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0800" tabRatio="818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AVAILABILITY'!$A$18:$J$1150</definedName>
    <definedName name="_xlnm.Print_Area" localSheetId="2">'RAP-HEAVY &amp; LIGHT OIL &amp; WTI'!$A$18:$H$1150</definedName>
    <definedName name="_xlnm.Print_Area" localSheetId="0">'RAP-NATURAL GAS PRICES'!$A$18:$R$1149</definedName>
    <definedName name="_xlnm.Print_Area" localSheetId="3">'RAP-SOLID FUEL PRICES'!$A$18:$O$1150</definedName>
    <definedName name="_xlnm.Print_Titles" localSheetId="1">'RAP TEMPLATE-GAS AVAILABILITY'!$1:$17</definedName>
    <definedName name="_xlnm.Print_Titles" localSheetId="2">'RAP-HEAVY &amp; LIGHT OIL &amp; WTI'!$1:$17</definedName>
    <definedName name="_xlnm.Print_Titles" localSheetId="0">'RAP-NATURAL GAS PRICES'!$1:$17</definedName>
    <definedName name="_xlnm.Print_Titles" localSheetId="3">'RAP-SOLID FUEL PRICES'!$1:$17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4" i="4" l="1"/>
  <c r="E14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B1066" i="4"/>
  <c r="N1071" i="4"/>
  <c r="L1085" i="4"/>
  <c r="N1086" i="4"/>
  <c r="J1122" i="4"/>
  <c r="H1125" i="4"/>
  <c r="C14" i="3"/>
  <c r="E14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1" i="3"/>
  <c r="C1061" i="3"/>
  <c r="D1061" i="3"/>
  <c r="E1061" i="3"/>
  <c r="B1063" i="3"/>
  <c r="D1063" i="3"/>
  <c r="E1063" i="3"/>
  <c r="B1064" i="3"/>
  <c r="C1064" i="3"/>
  <c r="D1064" i="3"/>
  <c r="B1065" i="3"/>
  <c r="D1065" i="3"/>
  <c r="E1065" i="3"/>
  <c r="B1066" i="3"/>
  <c r="D1066" i="3"/>
  <c r="E1066" i="3"/>
  <c r="B1067" i="3"/>
  <c r="D1067" i="3"/>
  <c r="E1067" i="3"/>
  <c r="B1068" i="3"/>
  <c r="D1068" i="3"/>
  <c r="E1068" i="3"/>
  <c r="B1069" i="3"/>
  <c r="D1069" i="3"/>
  <c r="E1069" i="3"/>
  <c r="B1070" i="3"/>
  <c r="C1070" i="3"/>
  <c r="E1070" i="3"/>
  <c r="B1071" i="3"/>
  <c r="D1071" i="3"/>
  <c r="E1071" i="3"/>
  <c r="B1072" i="3"/>
  <c r="C1072" i="3"/>
  <c r="D1072" i="3"/>
  <c r="E1072" i="3"/>
  <c r="B1073" i="3"/>
  <c r="D1073" i="3"/>
  <c r="E1073" i="3"/>
  <c r="B1074" i="3"/>
  <c r="D1074" i="3"/>
  <c r="E1074" i="3"/>
  <c r="B1075" i="3"/>
  <c r="D1075" i="3"/>
  <c r="E1075" i="3"/>
  <c r="B1076" i="3"/>
  <c r="C1076" i="3"/>
  <c r="D1076" i="3"/>
  <c r="E1076" i="3"/>
  <c r="B1077" i="3"/>
  <c r="E1077" i="3"/>
  <c r="B1078" i="3"/>
  <c r="C1078" i="3"/>
  <c r="D1078" i="3"/>
  <c r="E1078" i="3"/>
  <c r="B1079" i="3"/>
  <c r="D1079" i="3"/>
  <c r="E1079" i="3"/>
  <c r="B1080" i="3"/>
  <c r="D1080" i="3"/>
  <c r="E1080" i="3"/>
  <c r="B1081" i="3"/>
  <c r="D1081" i="3"/>
  <c r="E1081" i="3"/>
  <c r="B1082" i="3"/>
  <c r="D1082" i="3"/>
  <c r="E1082" i="3"/>
  <c r="B1083" i="3"/>
  <c r="D1083" i="3"/>
  <c r="E1083" i="3"/>
  <c r="B1084" i="3"/>
  <c r="D1084" i="3"/>
  <c r="E1084" i="3"/>
  <c r="B1085" i="3"/>
  <c r="D1085" i="3"/>
  <c r="E1085" i="3"/>
  <c r="B1086" i="3"/>
  <c r="C1086" i="3"/>
  <c r="E1086" i="3"/>
  <c r="A1087" i="3"/>
  <c r="B1087" i="3"/>
  <c r="D1087" i="3"/>
  <c r="E1087" i="3"/>
  <c r="A1088" i="3"/>
  <c r="A1089" i="3" s="1"/>
  <c r="A1090" i="3" s="1"/>
  <c r="B1088" i="3"/>
  <c r="D1088" i="3"/>
  <c r="B1089" i="3"/>
  <c r="D1089" i="3"/>
  <c r="E1089" i="3"/>
  <c r="B1090" i="3"/>
  <c r="D1090" i="3"/>
  <c r="E1090" i="3"/>
  <c r="A1091" i="3"/>
  <c r="A1092" i="3" s="1"/>
  <c r="A1093" i="3" s="1"/>
  <c r="A1094" i="3" s="1"/>
  <c r="A1095" i="3" s="1"/>
  <c r="A1096" i="3" s="1"/>
  <c r="B1091" i="3"/>
  <c r="D1091" i="3"/>
  <c r="E1091" i="3"/>
  <c r="B1092" i="3"/>
  <c r="D1092" i="3"/>
  <c r="E1092" i="3"/>
  <c r="B1093" i="3"/>
  <c r="B1094" i="3"/>
  <c r="C1094" i="3"/>
  <c r="D1094" i="3"/>
  <c r="E1094" i="3"/>
  <c r="B1095" i="3"/>
  <c r="D1095" i="3"/>
  <c r="E1095" i="3"/>
  <c r="B1096" i="3"/>
  <c r="D1096" i="3"/>
  <c r="A1097" i="3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B1097" i="3"/>
  <c r="D1097" i="3"/>
  <c r="E1097" i="3"/>
  <c r="B1098" i="3"/>
  <c r="D1098" i="3"/>
  <c r="E1098" i="3"/>
  <c r="B1099" i="3"/>
  <c r="D1099" i="3"/>
  <c r="E1099" i="3"/>
  <c r="B1100" i="3"/>
  <c r="D1100" i="3"/>
  <c r="B1101" i="3"/>
  <c r="C1101" i="3"/>
  <c r="E1101" i="3"/>
  <c r="B1102" i="3"/>
  <c r="C1102" i="3"/>
  <c r="E1102" i="3"/>
  <c r="B1103" i="3"/>
  <c r="D1103" i="3"/>
  <c r="E1103" i="3"/>
  <c r="B1104" i="3"/>
  <c r="D1104" i="3"/>
  <c r="B1105" i="3"/>
  <c r="D1105" i="3"/>
  <c r="E1105" i="3"/>
  <c r="B1106" i="3"/>
  <c r="D1106" i="3"/>
  <c r="E1106" i="3"/>
  <c r="B1107" i="3"/>
  <c r="D1107" i="3"/>
  <c r="B1108" i="3"/>
  <c r="D1108" i="3"/>
  <c r="E1108" i="3"/>
  <c r="B1109" i="3"/>
  <c r="C1109" i="3"/>
  <c r="B1110" i="3"/>
  <c r="D1110" i="3"/>
  <c r="E1110" i="3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B1086" i="2"/>
  <c r="C1086" i="2"/>
  <c r="D1086" i="2"/>
  <c r="E1086" i="2"/>
  <c r="F1086" i="2"/>
  <c r="G1086" i="2"/>
  <c r="H1086" i="2"/>
  <c r="I1086" i="2"/>
  <c r="J1086" i="2"/>
  <c r="A1087" i="2"/>
  <c r="B1087" i="2" s="1"/>
  <c r="C1087" i="2"/>
  <c r="D1087" i="2"/>
  <c r="E1087" i="2"/>
  <c r="F1087" i="2"/>
  <c r="G1087" i="2"/>
  <c r="H1087" i="2"/>
  <c r="I1087" i="2"/>
  <c r="J1087" i="2"/>
  <c r="A1088" i="2"/>
  <c r="A1089" i="2" s="1"/>
  <c r="B1088" i="2"/>
  <c r="C1088" i="2"/>
  <c r="D1088" i="2"/>
  <c r="E1088" i="2"/>
  <c r="F1088" i="2"/>
  <c r="G1088" i="2"/>
  <c r="H1088" i="2"/>
  <c r="I1088" i="2"/>
  <c r="J1088" i="2"/>
  <c r="B1089" i="2"/>
  <c r="C1089" i="2"/>
  <c r="D1089" i="2"/>
  <c r="E1089" i="2"/>
  <c r="F1089" i="2"/>
  <c r="G1089" i="2"/>
  <c r="H1089" i="2"/>
  <c r="I1089" i="2"/>
  <c r="J1089" i="2"/>
  <c r="A1090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C1110" i="2"/>
  <c r="D1110" i="2"/>
  <c r="E1110" i="2"/>
  <c r="F1110" i="2"/>
  <c r="G1110" i="2"/>
  <c r="H1110" i="2"/>
  <c r="I1110" i="2"/>
  <c r="J1110" i="2"/>
  <c r="D12" i="1"/>
  <c r="F1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K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R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B1061" i="1"/>
  <c r="C1061" i="1"/>
  <c r="D1061" i="1"/>
  <c r="E1061" i="1"/>
  <c r="F1061" i="1"/>
  <c r="G1061" i="1"/>
  <c r="H1061" i="1"/>
  <c r="I1061" i="1"/>
  <c r="J1061" i="1"/>
  <c r="D1063" i="1"/>
  <c r="F1063" i="1"/>
  <c r="L1063" i="1"/>
  <c r="M1063" i="1"/>
  <c r="N1063" i="1"/>
  <c r="O1063" i="1"/>
  <c r="P1063" i="1"/>
  <c r="R1063" i="1"/>
  <c r="C1064" i="1"/>
  <c r="L1064" i="1"/>
  <c r="M1064" i="1"/>
  <c r="N1064" i="1"/>
  <c r="O1064" i="1"/>
  <c r="P1064" i="1"/>
  <c r="L1065" i="1"/>
  <c r="M1065" i="1"/>
  <c r="N1065" i="1"/>
  <c r="O1065" i="1"/>
  <c r="P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H1071" i="1"/>
  <c r="L1071" i="1"/>
  <c r="M1071" i="1"/>
  <c r="N1071" i="1"/>
  <c r="O1071" i="1"/>
  <c r="P1071" i="1"/>
  <c r="Q1071" i="1"/>
  <c r="B1072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J1076" i="1"/>
  <c r="L1076" i="1"/>
  <c r="M1076" i="1"/>
  <c r="N1076" i="1"/>
  <c r="O1076" i="1"/>
  <c r="P1076" i="1"/>
  <c r="Q1076" i="1"/>
  <c r="E1077" i="1"/>
  <c r="L1077" i="1"/>
  <c r="M1077" i="1"/>
  <c r="N1077" i="1"/>
  <c r="O1077" i="1"/>
  <c r="P1077" i="1"/>
  <c r="Q1077" i="1"/>
  <c r="D1078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J1082" i="1"/>
  <c r="L1082" i="1"/>
  <c r="M1082" i="1"/>
  <c r="N1082" i="1"/>
  <c r="O1082" i="1"/>
  <c r="P1082" i="1"/>
  <c r="Q1082" i="1"/>
  <c r="F1083" i="1"/>
  <c r="L1083" i="1"/>
  <c r="M1083" i="1"/>
  <c r="N1083" i="1"/>
  <c r="O1083" i="1"/>
  <c r="P1083" i="1"/>
  <c r="Q1083" i="1"/>
  <c r="D1084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L1086" i="1"/>
  <c r="M1086" i="1"/>
  <c r="N1086" i="1"/>
  <c r="O1086" i="1"/>
  <c r="P1086" i="1"/>
  <c r="Q1086" i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L1087" i="1"/>
  <c r="M1087" i="1"/>
  <c r="N1087" i="1"/>
  <c r="O1087" i="1"/>
  <c r="P1087" i="1"/>
  <c r="Q1087" i="1"/>
  <c r="G1088" i="1"/>
  <c r="L1088" i="1"/>
  <c r="M1088" i="1"/>
  <c r="N1088" i="1"/>
  <c r="O1088" i="1"/>
  <c r="P1088" i="1"/>
  <c r="Q1088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H1092" i="1"/>
  <c r="L1092" i="1"/>
  <c r="M1092" i="1"/>
  <c r="N1092" i="1"/>
  <c r="O1092" i="1"/>
  <c r="P1092" i="1"/>
  <c r="Q1092" i="1"/>
  <c r="D1093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I1096" i="1"/>
  <c r="L1096" i="1"/>
  <c r="M1096" i="1"/>
  <c r="N1096" i="1"/>
  <c r="O1096" i="1"/>
  <c r="P1096" i="1"/>
  <c r="Q1096" i="1"/>
  <c r="B1097" i="1"/>
  <c r="L1097" i="1"/>
  <c r="M1097" i="1"/>
  <c r="N1097" i="1"/>
  <c r="O1097" i="1"/>
  <c r="P1097" i="1"/>
  <c r="Q1097" i="1"/>
  <c r="L1098" i="1"/>
  <c r="M1098" i="1"/>
  <c r="N1098" i="1"/>
  <c r="O1098" i="1"/>
  <c r="P1098" i="1"/>
  <c r="Q1098" i="1"/>
  <c r="L1099" i="1"/>
  <c r="M1099" i="1"/>
  <c r="N1099" i="1"/>
  <c r="O1099" i="1"/>
  <c r="P1099" i="1"/>
  <c r="Q1099" i="1"/>
  <c r="J1100" i="1"/>
  <c r="L1100" i="1"/>
  <c r="M1100" i="1"/>
  <c r="N1100" i="1"/>
  <c r="O1100" i="1"/>
  <c r="P1100" i="1"/>
  <c r="Q1100" i="1"/>
  <c r="E1101" i="1"/>
  <c r="L1101" i="1"/>
  <c r="M1101" i="1"/>
  <c r="N1101" i="1"/>
  <c r="O1101" i="1"/>
  <c r="P1101" i="1"/>
  <c r="Q1101" i="1"/>
  <c r="L1102" i="1"/>
  <c r="M1102" i="1"/>
  <c r="N1102" i="1"/>
  <c r="O1102" i="1"/>
  <c r="P1102" i="1"/>
  <c r="Q1102" i="1"/>
  <c r="I1103" i="1"/>
  <c r="L1103" i="1"/>
  <c r="M1103" i="1"/>
  <c r="N1103" i="1"/>
  <c r="O1103" i="1"/>
  <c r="P1103" i="1"/>
  <c r="Q1103" i="1"/>
  <c r="D1104" i="1"/>
  <c r="L1104" i="1"/>
  <c r="M1104" i="1"/>
  <c r="N1104" i="1"/>
  <c r="O1104" i="1"/>
  <c r="P1104" i="1"/>
  <c r="Q1104" i="1"/>
  <c r="L1105" i="1"/>
  <c r="M1105" i="1"/>
  <c r="N1105" i="1"/>
  <c r="O1105" i="1"/>
  <c r="P1105" i="1"/>
  <c r="Q1105" i="1"/>
  <c r="L1106" i="1"/>
  <c r="M1106" i="1"/>
  <c r="N1106" i="1"/>
  <c r="O1106" i="1"/>
  <c r="P1106" i="1"/>
  <c r="Q1106" i="1"/>
  <c r="H1107" i="1"/>
  <c r="L1107" i="1"/>
  <c r="M1107" i="1"/>
  <c r="N1107" i="1"/>
  <c r="O1107" i="1"/>
  <c r="P1107" i="1"/>
  <c r="Q1107" i="1"/>
  <c r="D1108" i="1"/>
  <c r="L1108" i="1"/>
  <c r="M1108" i="1"/>
  <c r="N1108" i="1"/>
  <c r="O1108" i="1"/>
  <c r="P1108" i="1"/>
  <c r="Q1108" i="1"/>
  <c r="L1109" i="1"/>
  <c r="M1109" i="1"/>
  <c r="N1109" i="1"/>
  <c r="O1109" i="1"/>
  <c r="P1109" i="1"/>
  <c r="Q1109" i="1"/>
  <c r="H1110" i="1"/>
  <c r="L1110" i="1"/>
  <c r="M1110" i="1"/>
  <c r="N1110" i="1"/>
  <c r="O1110" i="1"/>
  <c r="P1110" i="1"/>
  <c r="Q1110" i="1"/>
  <c r="F1110" i="1" l="1"/>
  <c r="B1110" i="1"/>
  <c r="I1109" i="1"/>
  <c r="B1109" i="1"/>
  <c r="E1108" i="1"/>
  <c r="H1108" i="1"/>
  <c r="I1107" i="1"/>
  <c r="F1107" i="1"/>
  <c r="F1106" i="1"/>
  <c r="C1106" i="1"/>
  <c r="J1105" i="1"/>
  <c r="B1105" i="1"/>
  <c r="D1105" i="1"/>
  <c r="E1104" i="1"/>
  <c r="C1104" i="1"/>
  <c r="C1103" i="1"/>
  <c r="H1103" i="1"/>
  <c r="J1102" i="1"/>
  <c r="B1101" i="1"/>
  <c r="I1101" i="1"/>
  <c r="J1101" i="1"/>
  <c r="I1100" i="1"/>
  <c r="D1100" i="1"/>
  <c r="H1099" i="1"/>
  <c r="D1098" i="1"/>
  <c r="H1097" i="1"/>
  <c r="H1096" i="1"/>
  <c r="D1096" i="1"/>
  <c r="F1095" i="1"/>
  <c r="H1093" i="1"/>
  <c r="E1092" i="1"/>
  <c r="B1092" i="1"/>
  <c r="D1092" i="1"/>
  <c r="H1091" i="1"/>
  <c r="D1090" i="1"/>
  <c r="H1089" i="1"/>
  <c r="D1088" i="1"/>
  <c r="J1087" i="1"/>
  <c r="D1087" i="1"/>
  <c r="E1083" i="1"/>
  <c r="F1082" i="1"/>
  <c r="C1081" i="1"/>
  <c r="G1081" i="1"/>
  <c r="H1080" i="1"/>
  <c r="D1077" i="1"/>
  <c r="G1076" i="1"/>
  <c r="E1075" i="1"/>
  <c r="G1075" i="1"/>
  <c r="H1074" i="1"/>
  <c r="F1071" i="1"/>
  <c r="H1070" i="1"/>
  <c r="D1070" i="1"/>
  <c r="E1069" i="1"/>
  <c r="J1068" i="1"/>
  <c r="J1066" i="1"/>
  <c r="D1066" i="1"/>
  <c r="F1066" i="1"/>
  <c r="J1065" i="1"/>
  <c r="B1065" i="1"/>
  <c r="D1065" i="1"/>
  <c r="D1064" i="1"/>
  <c r="H1063" i="1"/>
  <c r="C1087" i="3"/>
  <c r="C1145" i="4"/>
  <c r="J1110" i="1"/>
  <c r="C1110" i="1"/>
  <c r="F1109" i="1"/>
  <c r="J1108" i="1"/>
  <c r="B1106" i="1"/>
  <c r="F1105" i="1"/>
  <c r="J1104" i="1"/>
  <c r="B1102" i="1"/>
  <c r="C1102" i="1"/>
  <c r="F1101" i="1"/>
  <c r="F1099" i="1"/>
  <c r="J1096" i="1"/>
  <c r="J1094" i="1"/>
  <c r="G1093" i="1"/>
  <c r="B1088" i="1"/>
  <c r="F1087" i="1"/>
  <c r="J1086" i="1"/>
  <c r="F1085" i="1"/>
  <c r="J1084" i="1"/>
  <c r="G1083" i="1"/>
  <c r="J1080" i="1"/>
  <c r="B1080" i="1"/>
  <c r="F1079" i="1"/>
  <c r="G1079" i="1"/>
  <c r="F1077" i="1"/>
  <c r="F1075" i="1"/>
  <c r="B1074" i="1"/>
  <c r="G1073" i="1"/>
  <c r="F1069" i="1"/>
  <c r="F1067" i="1"/>
  <c r="J1064" i="1"/>
  <c r="K1064" i="1"/>
  <c r="J1140" i="4"/>
  <c r="J1066" i="4"/>
  <c r="H1064" i="4"/>
  <c r="E1109" i="3"/>
  <c r="E1107" i="3"/>
  <c r="E1100" i="3"/>
  <c r="E1093" i="3"/>
  <c r="J1109" i="1"/>
  <c r="I1108" i="1"/>
  <c r="C1107" i="1"/>
  <c r="E1106" i="1"/>
  <c r="E1105" i="1"/>
  <c r="B1103" i="1"/>
  <c r="D1103" i="1"/>
  <c r="H1102" i="1"/>
  <c r="E1100" i="1"/>
  <c r="I1099" i="1"/>
  <c r="C1099" i="1"/>
  <c r="D1099" i="1"/>
  <c r="E1098" i="1"/>
  <c r="G1098" i="1"/>
  <c r="I1097" i="1"/>
  <c r="E1096" i="1"/>
  <c r="J1095" i="1"/>
  <c r="B1095" i="1"/>
  <c r="D1095" i="1"/>
  <c r="F1094" i="1"/>
  <c r="H1094" i="1"/>
  <c r="I1093" i="1"/>
  <c r="I1092" i="1"/>
  <c r="J1091" i="1"/>
  <c r="D1091" i="1"/>
  <c r="E1091" i="1"/>
  <c r="F1090" i="1"/>
  <c r="G1090" i="1"/>
  <c r="I1089" i="1"/>
  <c r="D1089" i="1"/>
  <c r="H1088" i="1"/>
  <c r="I1088" i="1"/>
  <c r="B1087" i="1"/>
  <c r="G1086" i="1"/>
  <c r="H1086" i="1"/>
  <c r="D1085" i="1"/>
  <c r="E1085" i="1"/>
  <c r="G1084" i="1"/>
  <c r="E1082" i="1"/>
  <c r="E1081" i="1"/>
  <c r="F1080" i="1"/>
  <c r="I1079" i="1"/>
  <c r="B1079" i="1"/>
  <c r="H1078" i="1"/>
  <c r="I1078" i="1"/>
  <c r="F1076" i="1"/>
  <c r="B1075" i="1"/>
  <c r="E1074" i="1"/>
  <c r="I1073" i="1"/>
  <c r="B1073" i="1"/>
  <c r="E1073" i="1"/>
  <c r="G1072" i="1"/>
  <c r="H1072" i="1"/>
  <c r="I1071" i="1"/>
  <c r="B1071" i="1"/>
  <c r="G1070" i="1"/>
  <c r="D1069" i="1"/>
  <c r="F1068" i="1"/>
  <c r="G1068" i="1"/>
  <c r="D1067" i="1"/>
  <c r="E1067" i="1"/>
  <c r="C1063" i="1"/>
  <c r="D1102" i="3"/>
  <c r="D1086" i="3"/>
  <c r="D1077" i="3"/>
  <c r="D1070" i="3"/>
  <c r="D1126" i="4"/>
  <c r="L1115" i="4"/>
  <c r="H1100" i="1"/>
  <c r="H1095" i="1"/>
  <c r="H1087" i="1"/>
  <c r="H1085" i="1"/>
  <c r="D1082" i="1"/>
  <c r="H1081" i="1"/>
  <c r="D1080" i="1"/>
  <c r="H1079" i="1"/>
  <c r="D1076" i="1"/>
  <c r="D1074" i="1"/>
  <c r="D1072" i="1"/>
  <c r="H1069" i="1"/>
  <c r="F1064" i="1"/>
  <c r="R1064" i="1"/>
  <c r="K1063" i="1"/>
  <c r="J1063" i="1"/>
  <c r="B1063" i="1"/>
  <c r="E1109" i="1"/>
  <c r="D1106" i="1"/>
  <c r="H1106" i="1"/>
  <c r="F1102" i="1"/>
  <c r="D1110" i="1"/>
  <c r="H1105" i="1"/>
  <c r="I1104" i="1"/>
  <c r="D1102" i="1"/>
  <c r="H1101" i="1"/>
  <c r="H1109" i="1"/>
  <c r="D1107" i="1"/>
  <c r="G1111" i="1"/>
  <c r="P1111" i="1"/>
  <c r="E1111" i="1"/>
  <c r="O1111" i="1"/>
  <c r="F1111" i="1"/>
  <c r="Q1111" i="1"/>
  <c r="J1111" i="1"/>
  <c r="C1111" i="1"/>
  <c r="D1111" i="1"/>
  <c r="H1111" i="1"/>
  <c r="I1111" i="1"/>
  <c r="M1111" i="1"/>
  <c r="N1111" i="1"/>
  <c r="B1111" i="1"/>
  <c r="A1112" i="1"/>
  <c r="L1111" i="1"/>
  <c r="G1149" i="4"/>
  <c r="I1148" i="4"/>
  <c r="M1147" i="4"/>
  <c r="G1147" i="4"/>
  <c r="G1145" i="4"/>
  <c r="O1144" i="4"/>
  <c r="O1143" i="4"/>
  <c r="I1142" i="4"/>
  <c r="G1141" i="4"/>
  <c r="M1140" i="4"/>
  <c r="O1140" i="4"/>
  <c r="G1139" i="4"/>
  <c r="I1138" i="4"/>
  <c r="I1137" i="4"/>
  <c r="I1136" i="4"/>
  <c r="E1134" i="4"/>
  <c r="I1134" i="4"/>
  <c r="G1131" i="4"/>
  <c r="I1129" i="4"/>
  <c r="M1128" i="4"/>
  <c r="G1128" i="4"/>
  <c r="O1127" i="4"/>
  <c r="O1126" i="4"/>
  <c r="G1125" i="4"/>
  <c r="O1124" i="4"/>
  <c r="M1123" i="4"/>
  <c r="O1123" i="4"/>
  <c r="K1122" i="4"/>
  <c r="G1121" i="4"/>
  <c r="I1120" i="4"/>
  <c r="G1119" i="4"/>
  <c r="C1118" i="4"/>
  <c r="I1117" i="4"/>
  <c r="O1116" i="4"/>
  <c r="G1115" i="4"/>
  <c r="G1114" i="4"/>
  <c r="G1113" i="4"/>
  <c r="G1112" i="4"/>
  <c r="O1111" i="4"/>
  <c r="O1110" i="4"/>
  <c r="E1109" i="4"/>
  <c r="O1109" i="4"/>
  <c r="I1108" i="4"/>
  <c r="O1107" i="4"/>
  <c r="E1106" i="4"/>
  <c r="G1106" i="4"/>
  <c r="M1105" i="4"/>
  <c r="O1105" i="4"/>
  <c r="O1103" i="4"/>
  <c r="E1102" i="4"/>
  <c r="G1102" i="4"/>
  <c r="K1101" i="4"/>
  <c r="G1101" i="4"/>
  <c r="E1100" i="4"/>
  <c r="O1100" i="4"/>
  <c r="C1099" i="4"/>
  <c r="K1097" i="4"/>
  <c r="G1097" i="4"/>
  <c r="C1096" i="4"/>
  <c r="C1095" i="4"/>
  <c r="E1094" i="4"/>
  <c r="G1094" i="4"/>
  <c r="E1093" i="4"/>
  <c r="C1093" i="4"/>
  <c r="E1092" i="4"/>
  <c r="O1092" i="4"/>
  <c r="C1091" i="4"/>
  <c r="I1090" i="4"/>
  <c r="K1089" i="4"/>
  <c r="G1089" i="4"/>
  <c r="K1088" i="4"/>
  <c r="K1087" i="4"/>
  <c r="O1087" i="4"/>
  <c r="E1086" i="4"/>
  <c r="G1086" i="4"/>
  <c r="K1085" i="4"/>
  <c r="G1085" i="4"/>
  <c r="I1084" i="4"/>
  <c r="K1083" i="4"/>
  <c r="G1083" i="4"/>
  <c r="G1082" i="4"/>
  <c r="C1081" i="4"/>
  <c r="E1080" i="4"/>
  <c r="O1080" i="4"/>
  <c r="I1079" i="4"/>
  <c r="E1078" i="4"/>
  <c r="O1078" i="4"/>
  <c r="K1077" i="4"/>
  <c r="I1077" i="4"/>
  <c r="E1076" i="4"/>
  <c r="I1076" i="4"/>
  <c r="C1075" i="4"/>
  <c r="K1073" i="4"/>
  <c r="O1073" i="4"/>
  <c r="K1072" i="4"/>
  <c r="I1072" i="4"/>
  <c r="K1071" i="4"/>
  <c r="G1071" i="4"/>
  <c r="G1070" i="4"/>
  <c r="E1069" i="4"/>
  <c r="G1069" i="4"/>
  <c r="M1068" i="4"/>
  <c r="C1068" i="4"/>
  <c r="I1067" i="4"/>
  <c r="I1066" i="4"/>
  <c r="K1065" i="4"/>
  <c r="G1065" i="4"/>
  <c r="C1064" i="4"/>
  <c r="G1104" i="4"/>
  <c r="G1063" i="4"/>
  <c r="J1149" i="4"/>
  <c r="B1149" i="4"/>
  <c r="H1149" i="4"/>
  <c r="N1149" i="4"/>
  <c r="F1149" i="4"/>
  <c r="J1148" i="4"/>
  <c r="B1148" i="4"/>
  <c r="H1148" i="4"/>
  <c r="N1148" i="4"/>
  <c r="F1148" i="4"/>
  <c r="J1147" i="4"/>
  <c r="B1147" i="4"/>
  <c r="H1147" i="4"/>
  <c r="N1147" i="4"/>
  <c r="F1147" i="4"/>
  <c r="J1146" i="4"/>
  <c r="B1146" i="4"/>
  <c r="H1146" i="4"/>
  <c r="N1146" i="4"/>
  <c r="F1146" i="4"/>
  <c r="J1145" i="4"/>
  <c r="B1145" i="4"/>
  <c r="H1145" i="4"/>
  <c r="N1145" i="4"/>
  <c r="F1145" i="4"/>
  <c r="J1144" i="4"/>
  <c r="B1144" i="4"/>
  <c r="H1144" i="4"/>
  <c r="N1144" i="4"/>
  <c r="F1144" i="4"/>
  <c r="J1143" i="4"/>
  <c r="B1143" i="4"/>
  <c r="H1143" i="4"/>
  <c r="N1143" i="4"/>
  <c r="F1143" i="4"/>
  <c r="J1142" i="4"/>
  <c r="B1142" i="4"/>
  <c r="H1142" i="4"/>
  <c r="N1142" i="4"/>
  <c r="F1142" i="4"/>
  <c r="J1141" i="4"/>
  <c r="B1141" i="4"/>
  <c r="H1141" i="4"/>
  <c r="N1141" i="4"/>
  <c r="F1141" i="4"/>
  <c r="B1140" i="4"/>
  <c r="H1140" i="4"/>
  <c r="N1140" i="4"/>
  <c r="F1140" i="4"/>
  <c r="J1139" i="4"/>
  <c r="B1139" i="4"/>
  <c r="H1139" i="4"/>
  <c r="N1139" i="4"/>
  <c r="F1139" i="4"/>
  <c r="J1138" i="4"/>
  <c r="B1138" i="4"/>
  <c r="H1138" i="4"/>
  <c r="N1138" i="4"/>
  <c r="F1138" i="4"/>
  <c r="J1137" i="4"/>
  <c r="B1137" i="4"/>
  <c r="H1137" i="4"/>
  <c r="N1137" i="4"/>
  <c r="F1137" i="4"/>
  <c r="J1136" i="4"/>
  <c r="B1136" i="4"/>
  <c r="H1136" i="4"/>
  <c r="N1136" i="4"/>
  <c r="F1136" i="4"/>
  <c r="J1135" i="4"/>
  <c r="B1135" i="4"/>
  <c r="H1135" i="4"/>
  <c r="N1135" i="4"/>
  <c r="F1135" i="4"/>
  <c r="J1134" i="4"/>
  <c r="B1134" i="4"/>
  <c r="H1134" i="4"/>
  <c r="N1134" i="4"/>
  <c r="F1134" i="4"/>
  <c r="J1133" i="4"/>
  <c r="B1133" i="4"/>
  <c r="H1133" i="4"/>
  <c r="N1133" i="4"/>
  <c r="F1133" i="4"/>
  <c r="J1132" i="4"/>
  <c r="B1132" i="4"/>
  <c r="H1132" i="4"/>
  <c r="N1132" i="4"/>
  <c r="F1132" i="4"/>
  <c r="J1131" i="4"/>
  <c r="B1131" i="4"/>
  <c r="H1131" i="4"/>
  <c r="N1131" i="4"/>
  <c r="F1131" i="4"/>
  <c r="J1130" i="4"/>
  <c r="B1130" i="4"/>
  <c r="H1130" i="4"/>
  <c r="N1130" i="4"/>
  <c r="F1130" i="4"/>
  <c r="J1129" i="4"/>
  <c r="B1129" i="4"/>
  <c r="H1129" i="4"/>
  <c r="N1129" i="4"/>
  <c r="F1129" i="4"/>
  <c r="J1128" i="4"/>
  <c r="B1128" i="4"/>
  <c r="H1128" i="4"/>
  <c r="N1128" i="4"/>
  <c r="F1128" i="4"/>
  <c r="J1127" i="4"/>
  <c r="B1127" i="4"/>
  <c r="H1127" i="4"/>
  <c r="N1127" i="4"/>
  <c r="F1127" i="4"/>
  <c r="J1126" i="4"/>
  <c r="B1126" i="4"/>
  <c r="H1126" i="4"/>
  <c r="N1126" i="4"/>
  <c r="F1126" i="4"/>
  <c r="J1125" i="4"/>
  <c r="B1125" i="4"/>
  <c r="N1125" i="4"/>
  <c r="F1125" i="4"/>
  <c r="J1124" i="4"/>
  <c r="B1124" i="4"/>
  <c r="H1124" i="4"/>
  <c r="N1124" i="4"/>
  <c r="F1124" i="4"/>
  <c r="J1123" i="4"/>
  <c r="B1123" i="4"/>
  <c r="H1123" i="4"/>
  <c r="N1123" i="4"/>
  <c r="F1123" i="4"/>
  <c r="B1122" i="4"/>
  <c r="H1122" i="4"/>
  <c r="N1122" i="4"/>
  <c r="F1122" i="4"/>
  <c r="J1121" i="4"/>
  <c r="B1121" i="4"/>
  <c r="H1121" i="4"/>
  <c r="N1121" i="4"/>
  <c r="F1121" i="4"/>
  <c r="J1120" i="4"/>
  <c r="B1120" i="4"/>
  <c r="H1120" i="4"/>
  <c r="N1120" i="4"/>
  <c r="F1120" i="4"/>
  <c r="J1119" i="4"/>
  <c r="B1119" i="4"/>
  <c r="H1119" i="4"/>
  <c r="N1119" i="4"/>
  <c r="F1119" i="4"/>
  <c r="J1118" i="4"/>
  <c r="B1118" i="4"/>
  <c r="H1118" i="4"/>
  <c r="N1118" i="4"/>
  <c r="F1118" i="4"/>
  <c r="J1117" i="4"/>
  <c r="B1117" i="4"/>
  <c r="H1117" i="4"/>
  <c r="N1117" i="4"/>
  <c r="F1117" i="4"/>
  <c r="J1116" i="4"/>
  <c r="B1116" i="4"/>
  <c r="H1116" i="4"/>
  <c r="N1116" i="4"/>
  <c r="F1116" i="4"/>
  <c r="J1115" i="4"/>
  <c r="B1115" i="4"/>
  <c r="H1115" i="4"/>
  <c r="N1115" i="4"/>
  <c r="F1115" i="4"/>
  <c r="J1114" i="4"/>
  <c r="B1114" i="4"/>
  <c r="H1114" i="4"/>
  <c r="N1114" i="4"/>
  <c r="F1114" i="4"/>
  <c r="J1113" i="4"/>
  <c r="B1113" i="4"/>
  <c r="H1113" i="4"/>
  <c r="N1113" i="4"/>
  <c r="F1113" i="4"/>
  <c r="J1112" i="4"/>
  <c r="B1112" i="4"/>
  <c r="H1112" i="4"/>
  <c r="N1112" i="4"/>
  <c r="F1112" i="4"/>
  <c r="J1111" i="4"/>
  <c r="B1111" i="4"/>
  <c r="H1111" i="4"/>
  <c r="N1111" i="4"/>
  <c r="F1111" i="4"/>
  <c r="J1110" i="4"/>
  <c r="B1110" i="4"/>
  <c r="H1110" i="4"/>
  <c r="N1110" i="4"/>
  <c r="F1110" i="4"/>
  <c r="J1109" i="4"/>
  <c r="B1109" i="4"/>
  <c r="H1109" i="4"/>
  <c r="N1109" i="4"/>
  <c r="F1109" i="4"/>
  <c r="J1108" i="4"/>
  <c r="B1108" i="4"/>
  <c r="H1108" i="4"/>
  <c r="N1108" i="4"/>
  <c r="F1108" i="4"/>
  <c r="J1107" i="4"/>
  <c r="B1107" i="4"/>
  <c r="H1107" i="4"/>
  <c r="N1107" i="4"/>
  <c r="F1107" i="4"/>
  <c r="J1106" i="4"/>
  <c r="B1106" i="4"/>
  <c r="H1106" i="4"/>
  <c r="N1106" i="4"/>
  <c r="F1106" i="4"/>
  <c r="J1105" i="4"/>
  <c r="B1105" i="4"/>
  <c r="H1105" i="4"/>
  <c r="N1105" i="4"/>
  <c r="F1105" i="4"/>
  <c r="J1103" i="4"/>
  <c r="B1103" i="4"/>
  <c r="H1103" i="4"/>
  <c r="N1103" i="4"/>
  <c r="F1103" i="4"/>
  <c r="J1102" i="4"/>
  <c r="B1102" i="4"/>
  <c r="H1102" i="4"/>
  <c r="N1102" i="4"/>
  <c r="F1102" i="4"/>
  <c r="J1101" i="4"/>
  <c r="B1101" i="4"/>
  <c r="H1101" i="4"/>
  <c r="N1101" i="4"/>
  <c r="F1101" i="4"/>
  <c r="J1100" i="4"/>
  <c r="B1100" i="4"/>
  <c r="H1100" i="4"/>
  <c r="N1100" i="4"/>
  <c r="F1100" i="4"/>
  <c r="J1099" i="4"/>
  <c r="B1099" i="4"/>
  <c r="H1099" i="4"/>
  <c r="N1099" i="4"/>
  <c r="F1099" i="4"/>
  <c r="J1098" i="4"/>
  <c r="B1098" i="4"/>
  <c r="H1098" i="4"/>
  <c r="N1098" i="4"/>
  <c r="F1098" i="4"/>
  <c r="J1097" i="4"/>
  <c r="B1097" i="4"/>
  <c r="H1097" i="4"/>
  <c r="N1097" i="4"/>
  <c r="F1097" i="4"/>
  <c r="J1096" i="4"/>
  <c r="B1096" i="4"/>
  <c r="H1096" i="4"/>
  <c r="N1096" i="4"/>
  <c r="F1096" i="4"/>
  <c r="J1095" i="4"/>
  <c r="G1148" i="4"/>
  <c r="I1147" i="4"/>
  <c r="O1146" i="4"/>
  <c r="I1145" i="4"/>
  <c r="G1144" i="4"/>
  <c r="E1143" i="4"/>
  <c r="G1142" i="4"/>
  <c r="O1141" i="4"/>
  <c r="G1140" i="4"/>
  <c r="I1139" i="4"/>
  <c r="G1138" i="4"/>
  <c r="G1137" i="4"/>
  <c r="G1135" i="4"/>
  <c r="K1134" i="4"/>
  <c r="G1134" i="4"/>
  <c r="I1133" i="4"/>
  <c r="M1132" i="4"/>
  <c r="O1132" i="4"/>
  <c r="K1131" i="4"/>
  <c r="I1130" i="4"/>
  <c r="G1129" i="4"/>
  <c r="I1128" i="4"/>
  <c r="G1127" i="4"/>
  <c r="G1126" i="4"/>
  <c r="I1125" i="4"/>
  <c r="I1123" i="4"/>
  <c r="I1122" i="4"/>
  <c r="K1121" i="4"/>
  <c r="O1120" i="4"/>
  <c r="I1119" i="4"/>
  <c r="O1118" i="4"/>
  <c r="K1116" i="4"/>
  <c r="I1112" i="4"/>
  <c r="I1111" i="4"/>
  <c r="I1110" i="4"/>
  <c r="M1108" i="4"/>
  <c r="O1108" i="4"/>
  <c r="G1107" i="4"/>
  <c r="I1105" i="4"/>
  <c r="I1103" i="4"/>
  <c r="O1102" i="4"/>
  <c r="C1101" i="4"/>
  <c r="C1100" i="4"/>
  <c r="K1099" i="4"/>
  <c r="G1099" i="4"/>
  <c r="M1098" i="4"/>
  <c r="O1098" i="4"/>
  <c r="O1097" i="4"/>
  <c r="I1096" i="4"/>
  <c r="O1095" i="4"/>
  <c r="M1094" i="4"/>
  <c r="I1093" i="4"/>
  <c r="C1092" i="4"/>
  <c r="I1091" i="4"/>
  <c r="M1090" i="4"/>
  <c r="O1090" i="4"/>
  <c r="M1089" i="4"/>
  <c r="O1089" i="4"/>
  <c r="E1088" i="4"/>
  <c r="G1088" i="4"/>
  <c r="I1087" i="4"/>
  <c r="O1086" i="4"/>
  <c r="I1085" i="4"/>
  <c r="K1084" i="4"/>
  <c r="G1084" i="4"/>
  <c r="I1083" i="4"/>
  <c r="O1082" i="4"/>
  <c r="I1081" i="4"/>
  <c r="I1080" i="4"/>
  <c r="K1079" i="4"/>
  <c r="O1079" i="4"/>
  <c r="M1078" i="4"/>
  <c r="M1077" i="4"/>
  <c r="G1077" i="4"/>
  <c r="M1076" i="4"/>
  <c r="C1076" i="4"/>
  <c r="I1075" i="4"/>
  <c r="M1074" i="4"/>
  <c r="O1074" i="4"/>
  <c r="E1073" i="4"/>
  <c r="G1073" i="4"/>
  <c r="M1072" i="4"/>
  <c r="C1072" i="4"/>
  <c r="C1071" i="4"/>
  <c r="E1070" i="4"/>
  <c r="O1070" i="4"/>
  <c r="O1069" i="4"/>
  <c r="K1068" i="4"/>
  <c r="G1068" i="4"/>
  <c r="K1067" i="4"/>
  <c r="G1067" i="4"/>
  <c r="E1066" i="4"/>
  <c r="G1066" i="4"/>
  <c r="C1065" i="4"/>
  <c r="M1064" i="4"/>
  <c r="O1064" i="4"/>
  <c r="K1063" i="4"/>
  <c r="K1104" i="4"/>
  <c r="C1104" i="4"/>
  <c r="C1063" i="4"/>
  <c r="L1147" i="4"/>
  <c r="I1149" i="4"/>
  <c r="G1146" i="4"/>
  <c r="O1145" i="4"/>
  <c r="I1144" i="4"/>
  <c r="I1143" i="4"/>
  <c r="C1142" i="4"/>
  <c r="O1139" i="4"/>
  <c r="O1136" i="4"/>
  <c r="I1135" i="4"/>
  <c r="O1134" i="4"/>
  <c r="G1133" i="4"/>
  <c r="I1132" i="4"/>
  <c r="O1131" i="4"/>
  <c r="O1130" i="4"/>
  <c r="O1129" i="4"/>
  <c r="O1128" i="4"/>
  <c r="I1127" i="4"/>
  <c r="E1126" i="4"/>
  <c r="I1124" i="4"/>
  <c r="G1123" i="4"/>
  <c r="G1122" i="4"/>
  <c r="O1121" i="4"/>
  <c r="E1120" i="4"/>
  <c r="C1119" i="4"/>
  <c r="M1118" i="4"/>
  <c r="I1118" i="4"/>
  <c r="O1117" i="4"/>
  <c r="G1116" i="4"/>
  <c r="O1115" i="4"/>
  <c r="I1114" i="4"/>
  <c r="O1113" i="4"/>
  <c r="G1111" i="4"/>
  <c r="I1109" i="4"/>
  <c r="C1107" i="4"/>
  <c r="M1106" i="4"/>
  <c r="O1106" i="4"/>
  <c r="E1105" i="4"/>
  <c r="G1105" i="4"/>
  <c r="G1103" i="4"/>
  <c r="O1101" i="4"/>
  <c r="I1100" i="4"/>
  <c r="I1099" i="4"/>
  <c r="I1098" i="4"/>
  <c r="C1097" i="4"/>
  <c r="O1096" i="4"/>
  <c r="K1095" i="4"/>
  <c r="G1095" i="4"/>
  <c r="I1094" i="4"/>
  <c r="G1093" i="4"/>
  <c r="M1092" i="4"/>
  <c r="I1092" i="4"/>
  <c r="G1091" i="4"/>
  <c r="G1090" i="4"/>
  <c r="I1089" i="4"/>
  <c r="I1088" i="4"/>
  <c r="I1086" i="4"/>
  <c r="O1085" i="4"/>
  <c r="E1084" i="4"/>
  <c r="O1084" i="4"/>
  <c r="C1083" i="4"/>
  <c r="M1082" i="4"/>
  <c r="M1081" i="4"/>
  <c r="O1081" i="4"/>
  <c r="K1080" i="4"/>
  <c r="G1080" i="4"/>
  <c r="C1079" i="4"/>
  <c r="G1078" i="4"/>
  <c r="C1077" i="4"/>
  <c r="K1076" i="4"/>
  <c r="G1076" i="4"/>
  <c r="O1075" i="4"/>
  <c r="E1074" i="4"/>
  <c r="G1074" i="4"/>
  <c r="I1073" i="4"/>
  <c r="E1072" i="4"/>
  <c r="G1072" i="4"/>
  <c r="O1071" i="4"/>
  <c r="M1070" i="4"/>
  <c r="M1069" i="4"/>
  <c r="C1069" i="4"/>
  <c r="E1068" i="4"/>
  <c r="O1068" i="4"/>
  <c r="C1067" i="4"/>
  <c r="M1065" i="4"/>
  <c r="I1065" i="4"/>
  <c r="K1064" i="4"/>
  <c r="I1064" i="4"/>
  <c r="M1104" i="4"/>
  <c r="O1104" i="4"/>
  <c r="O1063" i="4"/>
  <c r="O1149" i="4"/>
  <c r="O1148" i="4"/>
  <c r="O1147" i="4"/>
  <c r="I1146" i="4"/>
  <c r="G1143" i="4"/>
  <c r="O1142" i="4"/>
  <c r="I1141" i="4"/>
  <c r="I1140" i="4"/>
  <c r="O1138" i="4"/>
  <c r="O1137" i="4"/>
  <c r="G1136" i="4"/>
  <c r="O1135" i="4"/>
  <c r="C1134" i="4"/>
  <c r="O1133" i="4"/>
  <c r="G1132" i="4"/>
  <c r="I1131" i="4"/>
  <c r="G1130" i="4"/>
  <c r="E1127" i="4"/>
  <c r="I1126" i="4"/>
  <c r="O1125" i="4"/>
  <c r="G1124" i="4"/>
  <c r="K1123" i="4"/>
  <c r="O1122" i="4"/>
  <c r="I1121" i="4"/>
  <c r="G1120" i="4"/>
  <c r="O1119" i="4"/>
  <c r="E1118" i="4"/>
  <c r="G1118" i="4"/>
  <c r="G1117" i="4"/>
  <c r="I1116" i="4"/>
  <c r="I1115" i="4"/>
  <c r="O1114" i="4"/>
  <c r="I1113" i="4"/>
  <c r="O1112" i="4"/>
  <c r="C1111" i="4"/>
  <c r="G1110" i="4"/>
  <c r="G1109" i="4"/>
  <c r="G1108" i="4"/>
  <c r="I1107" i="4"/>
  <c r="I1106" i="4"/>
  <c r="K1103" i="4"/>
  <c r="I1102" i="4"/>
  <c r="I1101" i="4"/>
  <c r="K1100" i="4"/>
  <c r="G1100" i="4"/>
  <c r="O1099" i="4"/>
  <c r="G1098" i="4"/>
  <c r="M1097" i="4"/>
  <c r="I1097" i="4"/>
  <c r="K1096" i="4"/>
  <c r="G1096" i="4"/>
  <c r="I1095" i="4"/>
  <c r="O1094" i="4"/>
  <c r="M1093" i="4"/>
  <c r="O1093" i="4"/>
  <c r="G1092" i="4"/>
  <c r="O1091" i="4"/>
  <c r="E1090" i="4"/>
  <c r="E1089" i="4"/>
  <c r="M1088" i="4"/>
  <c r="O1088" i="4"/>
  <c r="G1087" i="4"/>
  <c r="E1085" i="4"/>
  <c r="C1085" i="4"/>
  <c r="C1084" i="4"/>
  <c r="O1083" i="4"/>
  <c r="I1082" i="4"/>
  <c r="K1081" i="4"/>
  <c r="G1081" i="4"/>
  <c r="M1080" i="4"/>
  <c r="C1080" i="4"/>
  <c r="G1079" i="4"/>
  <c r="I1078" i="4"/>
  <c r="E1077" i="4"/>
  <c r="O1077" i="4"/>
  <c r="O1076" i="4"/>
  <c r="K1075" i="4"/>
  <c r="G1075" i="4"/>
  <c r="I1074" i="4"/>
  <c r="M1073" i="4"/>
  <c r="C1073" i="4"/>
  <c r="O1072" i="4"/>
  <c r="I1071" i="4"/>
  <c r="I1070" i="4"/>
  <c r="K1069" i="4"/>
  <c r="I1069" i="4"/>
  <c r="I1068" i="4"/>
  <c r="O1067" i="4"/>
  <c r="M1066" i="4"/>
  <c r="O1066" i="4"/>
  <c r="E1065" i="4"/>
  <c r="O1065" i="4"/>
  <c r="E1064" i="4"/>
  <c r="G1064" i="4"/>
  <c r="E1104" i="4"/>
  <c r="I1104" i="4"/>
  <c r="I1063" i="4"/>
  <c r="D1147" i="4"/>
  <c r="B1095" i="4"/>
  <c r="H1095" i="4"/>
  <c r="N1095" i="4"/>
  <c r="F1095" i="4"/>
  <c r="J1094" i="4"/>
  <c r="B1094" i="4"/>
  <c r="H1094" i="4"/>
  <c r="N1094" i="4"/>
  <c r="F1094" i="4"/>
  <c r="J1093" i="4"/>
  <c r="B1093" i="4"/>
  <c r="H1093" i="4"/>
  <c r="N1093" i="4"/>
  <c r="F1093" i="4"/>
  <c r="J1092" i="4"/>
  <c r="B1092" i="4"/>
  <c r="H1092" i="4"/>
  <c r="N1092" i="4"/>
  <c r="F1092" i="4"/>
  <c r="J1091" i="4"/>
  <c r="B1091" i="4"/>
  <c r="H1091" i="4"/>
  <c r="N1091" i="4"/>
  <c r="F1091" i="4"/>
  <c r="J1090" i="4"/>
  <c r="B1090" i="4"/>
  <c r="H1090" i="4"/>
  <c r="N1090" i="4"/>
  <c r="F1090" i="4"/>
  <c r="J1089" i="4"/>
  <c r="B1089" i="4"/>
  <c r="H1089" i="4"/>
  <c r="N1089" i="4"/>
  <c r="F1089" i="4"/>
  <c r="J1088" i="4"/>
  <c r="B1088" i="4"/>
  <c r="H1088" i="4"/>
  <c r="N1088" i="4"/>
  <c r="F1088" i="4"/>
  <c r="J1087" i="4"/>
  <c r="B1087" i="4"/>
  <c r="H1087" i="4"/>
  <c r="N1087" i="4"/>
  <c r="F1087" i="4"/>
  <c r="J1086" i="4"/>
  <c r="B1086" i="4"/>
  <c r="H1086" i="4"/>
  <c r="F1086" i="4"/>
  <c r="J1085" i="4"/>
  <c r="B1085" i="4"/>
  <c r="H1085" i="4"/>
  <c r="N1085" i="4"/>
  <c r="F1085" i="4"/>
  <c r="J1084" i="4"/>
  <c r="B1084" i="4"/>
  <c r="H1084" i="4"/>
  <c r="N1084" i="4"/>
  <c r="F1084" i="4"/>
  <c r="J1083" i="4"/>
  <c r="B1083" i="4"/>
  <c r="H1083" i="4"/>
  <c r="N1083" i="4"/>
  <c r="F1083" i="4"/>
  <c r="J1082" i="4"/>
  <c r="B1082" i="4"/>
  <c r="H1082" i="4"/>
  <c r="N1082" i="4"/>
  <c r="F1082" i="4"/>
  <c r="L1081" i="4"/>
  <c r="D1081" i="4"/>
  <c r="J1081" i="4"/>
  <c r="B1081" i="4"/>
  <c r="H1081" i="4"/>
  <c r="N1081" i="4"/>
  <c r="F1081" i="4"/>
  <c r="L1080" i="4"/>
  <c r="D1080" i="4"/>
  <c r="J1080" i="4"/>
  <c r="B1080" i="4"/>
  <c r="H1080" i="4"/>
  <c r="N1080" i="4"/>
  <c r="F1080" i="4"/>
  <c r="L1079" i="4"/>
  <c r="D1079" i="4"/>
  <c r="J1079" i="4"/>
  <c r="B1079" i="4"/>
  <c r="H1079" i="4"/>
  <c r="N1079" i="4"/>
  <c r="F1079" i="4"/>
  <c r="L1078" i="4"/>
  <c r="D1078" i="4"/>
  <c r="J1078" i="4"/>
  <c r="B1078" i="4"/>
  <c r="H1078" i="4"/>
  <c r="N1078" i="4"/>
  <c r="F1078" i="4"/>
  <c r="L1077" i="4"/>
  <c r="D1077" i="4"/>
  <c r="J1077" i="4"/>
  <c r="B1077" i="4"/>
  <c r="H1077" i="4"/>
  <c r="N1077" i="4"/>
  <c r="F1077" i="4"/>
  <c r="L1076" i="4"/>
  <c r="D1076" i="4"/>
  <c r="J1076" i="4"/>
  <c r="B1076" i="4"/>
  <c r="H1076" i="4"/>
  <c r="N1076" i="4"/>
  <c r="F1076" i="4"/>
  <c r="L1075" i="4"/>
  <c r="D1075" i="4"/>
  <c r="J1075" i="4"/>
  <c r="B1075" i="4"/>
  <c r="H1075" i="4"/>
  <c r="N1075" i="4"/>
  <c r="F1075" i="4"/>
  <c r="L1074" i="4"/>
  <c r="D1074" i="4"/>
  <c r="J1074" i="4"/>
  <c r="B1074" i="4"/>
  <c r="H1074" i="4"/>
  <c r="N1074" i="4"/>
  <c r="F1074" i="4"/>
  <c r="L1073" i="4"/>
  <c r="D1073" i="4"/>
  <c r="J1073" i="4"/>
  <c r="B1073" i="4"/>
  <c r="H1073" i="4"/>
  <c r="N1073" i="4"/>
  <c r="F1073" i="4"/>
  <c r="L1072" i="4"/>
  <c r="D1072" i="4"/>
  <c r="J1072" i="4"/>
  <c r="B1072" i="4"/>
  <c r="H1072" i="4"/>
  <c r="N1072" i="4"/>
  <c r="F1072" i="4"/>
  <c r="L1071" i="4"/>
  <c r="D1071" i="4"/>
  <c r="J1071" i="4"/>
  <c r="B1071" i="4"/>
  <c r="H1071" i="4"/>
  <c r="F1071" i="4"/>
  <c r="L1070" i="4"/>
  <c r="D1070" i="4"/>
  <c r="J1070" i="4"/>
  <c r="B1070" i="4"/>
  <c r="H1070" i="4"/>
  <c r="N1070" i="4"/>
  <c r="F1070" i="4"/>
  <c r="L1069" i="4"/>
  <c r="D1069" i="4"/>
  <c r="J1069" i="4"/>
  <c r="B1069" i="4"/>
  <c r="H1069" i="4"/>
  <c r="N1069" i="4"/>
  <c r="F1069" i="4"/>
  <c r="L1068" i="4"/>
  <c r="D1068" i="4"/>
  <c r="J1068" i="4"/>
  <c r="B1068" i="4"/>
  <c r="H1068" i="4"/>
  <c r="N1068" i="4"/>
  <c r="F1068" i="4"/>
  <c r="E1110" i="1"/>
  <c r="G1110" i="1"/>
  <c r="C1109" i="1"/>
  <c r="D1109" i="1"/>
  <c r="F1108" i="1"/>
  <c r="G1108" i="1"/>
  <c r="J1107" i="1"/>
  <c r="B1107" i="1"/>
  <c r="G1106" i="1"/>
  <c r="I1105" i="1"/>
  <c r="C1105" i="1"/>
  <c r="F1104" i="1"/>
  <c r="G1104" i="1"/>
  <c r="H1104" i="1"/>
  <c r="J1103" i="1"/>
  <c r="E1102" i="1"/>
  <c r="G1102" i="1"/>
  <c r="C1101" i="1"/>
  <c r="D1101" i="1"/>
  <c r="F1100" i="1"/>
  <c r="G1100" i="1"/>
  <c r="J1099" i="1"/>
  <c r="B1099" i="1"/>
  <c r="F1098" i="1"/>
  <c r="H1098" i="1"/>
  <c r="J1097" i="1"/>
  <c r="C1097" i="1"/>
  <c r="D1097" i="1"/>
  <c r="F1096" i="1"/>
  <c r="G1096" i="1"/>
  <c r="I1095" i="1"/>
  <c r="C1095" i="1"/>
  <c r="E1094" i="1"/>
  <c r="G1094" i="1"/>
  <c r="J1093" i="1"/>
  <c r="B1093" i="1"/>
  <c r="C1093" i="1"/>
  <c r="F1092" i="1"/>
  <c r="G1092" i="1"/>
  <c r="I1091" i="1"/>
  <c r="B1091" i="1"/>
  <c r="C1091" i="1"/>
  <c r="E1090" i="1"/>
  <c r="H1090" i="1"/>
  <c r="J1089" i="1"/>
  <c r="B1089" i="1"/>
  <c r="C1089" i="1"/>
  <c r="E1088" i="1"/>
  <c r="F1088" i="1"/>
  <c r="I1087" i="1"/>
  <c r="C1087" i="1"/>
  <c r="E1086" i="1"/>
  <c r="F1086" i="1"/>
  <c r="I1085" i="1"/>
  <c r="J1085" i="1"/>
  <c r="B1085" i="1"/>
  <c r="C1085" i="1"/>
  <c r="E1084" i="1"/>
  <c r="F1084" i="1"/>
  <c r="H1084" i="1"/>
  <c r="I1083" i="1"/>
  <c r="J1083" i="1"/>
  <c r="B1083" i="1"/>
  <c r="C1083" i="1"/>
  <c r="D1083" i="1"/>
  <c r="G1082" i="1"/>
  <c r="H1082" i="1"/>
  <c r="I1081" i="1"/>
  <c r="J1081" i="1"/>
  <c r="B1081" i="1"/>
  <c r="D1081" i="1"/>
  <c r="E1080" i="1"/>
  <c r="G1080" i="1"/>
  <c r="J1079" i="1"/>
  <c r="C1079" i="1"/>
  <c r="D1079" i="1"/>
  <c r="E1078" i="1"/>
  <c r="F1078" i="1"/>
  <c r="G1078" i="1"/>
  <c r="I1077" i="1"/>
  <c r="J1077" i="1"/>
  <c r="B1077" i="1"/>
  <c r="C1077" i="1"/>
  <c r="E1076" i="1"/>
  <c r="H1076" i="1"/>
  <c r="I1075" i="1"/>
  <c r="J1075" i="1"/>
  <c r="C1075" i="1"/>
  <c r="D1075" i="1"/>
  <c r="F1074" i="1"/>
  <c r="G1074" i="1"/>
  <c r="J1073" i="1"/>
  <c r="C1073" i="1"/>
  <c r="D1073" i="1"/>
  <c r="E1072" i="1"/>
  <c r="F1072" i="1"/>
  <c r="J1071" i="1"/>
  <c r="C1071" i="1"/>
  <c r="D1071" i="1"/>
  <c r="E1070" i="1"/>
  <c r="F1070" i="1"/>
  <c r="I1069" i="1"/>
  <c r="J1069" i="1"/>
  <c r="B1069" i="1"/>
  <c r="C1069" i="1"/>
  <c r="E1068" i="1"/>
  <c r="H1068" i="1"/>
  <c r="I1067" i="1"/>
  <c r="J1067" i="1"/>
  <c r="B1067" i="1"/>
  <c r="C1067" i="1"/>
  <c r="H1066" i="1"/>
  <c r="B1066" i="1"/>
  <c r="F1065" i="1"/>
  <c r="H1065" i="1"/>
  <c r="G1064" i="1"/>
  <c r="B1064" i="1"/>
  <c r="E1064" i="1"/>
  <c r="H1064" i="1"/>
  <c r="D1149" i="4"/>
  <c r="D1148" i="4"/>
  <c r="D1146" i="4"/>
  <c r="D1145" i="4"/>
  <c r="D1144" i="4"/>
  <c r="D1143" i="4"/>
  <c r="L1141" i="4"/>
  <c r="D1140" i="4"/>
  <c r="L1138" i="4"/>
  <c r="L1135" i="4"/>
  <c r="L1134" i="4"/>
  <c r="D1132" i="4"/>
  <c r="L1130" i="4"/>
  <c r="D1128" i="4"/>
  <c r="D1125" i="4"/>
  <c r="D1121" i="4"/>
  <c r="L1119" i="4"/>
  <c r="L1118" i="4"/>
  <c r="D1118" i="4"/>
  <c r="L1117" i="4"/>
  <c r="D1117" i="4"/>
  <c r="L1116" i="4"/>
  <c r="D1116" i="4"/>
  <c r="D1115" i="4"/>
  <c r="L1114" i="4"/>
  <c r="D1114" i="4"/>
  <c r="L1113" i="4"/>
  <c r="D1113" i="4"/>
  <c r="L1112" i="4"/>
  <c r="D1112" i="4"/>
  <c r="L1111" i="4"/>
  <c r="D1111" i="4"/>
  <c r="L1110" i="4"/>
  <c r="D1110" i="4"/>
  <c r="L1109" i="4"/>
  <c r="D1109" i="4"/>
  <c r="L1108" i="4"/>
  <c r="D1108" i="4"/>
  <c r="L1107" i="4"/>
  <c r="D1107" i="4"/>
  <c r="L1106" i="4"/>
  <c r="D1106" i="4"/>
  <c r="L1105" i="4"/>
  <c r="D1105" i="4"/>
  <c r="L1103" i="4"/>
  <c r="D1103" i="4"/>
  <c r="L1102" i="4"/>
  <c r="D1102" i="4"/>
  <c r="L1101" i="4"/>
  <c r="D1101" i="4"/>
  <c r="L1100" i="4"/>
  <c r="D1100" i="4"/>
  <c r="L1099" i="4"/>
  <c r="D1099" i="4"/>
  <c r="L1098" i="4"/>
  <c r="D1098" i="4"/>
  <c r="L1097" i="4"/>
  <c r="D1097" i="4"/>
  <c r="L1096" i="4"/>
  <c r="D1096" i="4"/>
  <c r="L1095" i="4"/>
  <c r="D1095" i="4"/>
  <c r="L1094" i="4"/>
  <c r="D1094" i="4"/>
  <c r="L1093" i="4"/>
  <c r="D1093" i="4"/>
  <c r="L1092" i="4"/>
  <c r="D1092" i="4"/>
  <c r="L1091" i="4"/>
  <c r="D1091" i="4"/>
  <c r="L1090" i="4"/>
  <c r="D1090" i="4"/>
  <c r="L1089" i="4"/>
  <c r="D1089" i="4"/>
  <c r="L1088" i="4"/>
  <c r="D1088" i="4"/>
  <c r="L1087" i="4"/>
  <c r="D1087" i="4"/>
  <c r="L1086" i="4"/>
  <c r="D1086" i="4"/>
  <c r="D1085" i="4"/>
  <c r="L1084" i="4"/>
  <c r="D1084" i="4"/>
  <c r="L1083" i="4"/>
  <c r="D1083" i="4"/>
  <c r="L1082" i="4"/>
  <c r="D1082" i="4"/>
  <c r="B1111" i="3"/>
  <c r="D1111" i="3"/>
  <c r="E1111" i="3"/>
  <c r="A1112" i="3"/>
  <c r="C1111" i="3"/>
  <c r="L1149" i="4"/>
  <c r="L1148" i="4"/>
  <c r="L1144" i="4"/>
  <c r="L1143" i="4"/>
  <c r="D1142" i="4"/>
  <c r="D1141" i="4"/>
  <c r="L1140" i="4"/>
  <c r="D1139" i="4"/>
  <c r="L1137" i="4"/>
  <c r="L1136" i="4"/>
  <c r="D1134" i="4"/>
  <c r="L1133" i="4"/>
  <c r="L1132" i="4"/>
  <c r="L1131" i="4"/>
  <c r="D1130" i="4"/>
  <c r="D1129" i="4"/>
  <c r="L1128" i="4"/>
  <c r="D1127" i="4"/>
  <c r="L1125" i="4"/>
  <c r="D1124" i="4"/>
  <c r="L1123" i="4"/>
  <c r="D1122" i="4"/>
  <c r="L1121" i="4"/>
  <c r="L1120" i="4"/>
  <c r="D1119" i="4"/>
  <c r="L1146" i="4"/>
  <c r="L1145" i="4"/>
  <c r="L1142" i="4"/>
  <c r="L1139" i="4"/>
  <c r="D1138" i="4"/>
  <c r="D1137" i="4"/>
  <c r="D1136" i="4"/>
  <c r="D1135" i="4"/>
  <c r="D1133" i="4"/>
  <c r="D1131" i="4"/>
  <c r="L1129" i="4"/>
  <c r="L1127" i="4"/>
  <c r="L1126" i="4"/>
  <c r="L1124" i="4"/>
  <c r="D1123" i="4"/>
  <c r="L1122" i="4"/>
  <c r="D1120" i="4"/>
  <c r="I1110" i="1"/>
  <c r="G1109" i="1"/>
  <c r="B1108" i="1"/>
  <c r="C1108" i="1"/>
  <c r="E1107" i="1"/>
  <c r="G1107" i="1"/>
  <c r="I1106" i="1"/>
  <c r="J1106" i="1"/>
  <c r="G1105" i="1"/>
  <c r="B1104" i="1"/>
  <c r="E1103" i="1"/>
  <c r="F1103" i="1"/>
  <c r="G1103" i="1"/>
  <c r="I1102" i="1"/>
  <c r="G1101" i="1"/>
  <c r="B1100" i="1"/>
  <c r="C1100" i="1"/>
  <c r="E1099" i="1"/>
  <c r="G1099" i="1"/>
  <c r="I1098" i="1"/>
  <c r="J1098" i="1"/>
  <c r="B1098" i="1"/>
  <c r="C1098" i="1"/>
  <c r="E1097" i="1"/>
  <c r="F1097" i="1"/>
  <c r="G1097" i="1"/>
  <c r="B1096" i="1"/>
  <c r="C1096" i="1"/>
  <c r="G1095" i="1"/>
  <c r="I1094" i="1"/>
  <c r="B1094" i="1"/>
  <c r="C1094" i="1"/>
  <c r="E1093" i="1"/>
  <c r="F1093" i="1"/>
  <c r="J1092" i="1"/>
  <c r="C1092" i="1"/>
  <c r="F1091" i="1"/>
  <c r="G1091" i="1"/>
  <c r="I1090" i="1"/>
  <c r="J1090" i="1"/>
  <c r="B1090" i="1"/>
  <c r="C1090" i="1"/>
  <c r="E1089" i="1"/>
  <c r="F1089" i="1"/>
  <c r="G1089" i="1"/>
  <c r="J1088" i="1"/>
  <c r="C1088" i="1"/>
  <c r="G1087" i="1"/>
  <c r="I1086" i="1"/>
  <c r="B1086" i="1"/>
  <c r="C1086" i="1"/>
  <c r="G1085" i="1"/>
  <c r="B1084" i="1"/>
  <c r="C1084" i="1"/>
  <c r="I1082" i="1"/>
  <c r="B1082" i="1"/>
  <c r="C1082" i="1"/>
  <c r="F1081" i="1"/>
  <c r="I1080" i="1"/>
  <c r="C1080" i="1"/>
  <c r="J1078" i="1"/>
  <c r="B1078" i="1"/>
  <c r="C1078" i="1"/>
  <c r="G1077" i="1"/>
  <c r="B1076" i="1"/>
  <c r="C1076" i="1"/>
  <c r="I1074" i="1"/>
  <c r="J1074" i="1"/>
  <c r="C1074" i="1"/>
  <c r="F1073" i="1"/>
  <c r="I1072" i="1"/>
  <c r="J1072" i="1"/>
  <c r="C1072" i="1"/>
  <c r="E1071" i="1"/>
  <c r="G1071" i="1"/>
  <c r="I1070" i="1"/>
  <c r="J1070" i="1"/>
  <c r="B1070" i="1"/>
  <c r="C1070" i="1"/>
  <c r="G1069" i="1"/>
  <c r="B1068" i="1"/>
  <c r="C1068" i="1"/>
  <c r="G1067" i="1"/>
  <c r="C1066" i="1"/>
  <c r="E1066" i="1"/>
  <c r="G1066" i="1"/>
  <c r="G1065" i="1"/>
  <c r="G1063" i="1"/>
  <c r="L1067" i="4"/>
  <c r="D1067" i="4"/>
  <c r="J1067" i="4"/>
  <c r="B1067" i="4"/>
  <c r="H1067" i="4"/>
  <c r="N1067" i="4"/>
  <c r="F1067" i="4"/>
  <c r="L1066" i="4"/>
  <c r="D1066" i="4"/>
  <c r="H1066" i="4"/>
  <c r="N1066" i="4"/>
  <c r="F1066" i="4"/>
  <c r="L1065" i="4"/>
  <c r="D1065" i="4"/>
  <c r="J1065" i="4"/>
  <c r="B1065" i="4"/>
  <c r="H1065" i="4"/>
  <c r="N1065" i="4"/>
  <c r="F1065" i="4"/>
  <c r="L1064" i="4"/>
  <c r="D1064" i="4"/>
  <c r="J1064" i="4"/>
  <c r="B1064" i="4"/>
  <c r="N1064" i="4"/>
  <c r="F1064" i="4"/>
  <c r="L1104" i="4"/>
  <c r="L1063" i="4"/>
  <c r="D1104" i="4"/>
  <c r="D1063" i="4"/>
  <c r="J1063" i="4"/>
  <c r="J1104" i="4"/>
  <c r="B1063" i="4"/>
  <c r="B1104" i="4"/>
  <c r="H1104" i="4"/>
  <c r="H1063" i="4"/>
  <c r="N1063" i="4"/>
  <c r="N1104" i="4"/>
  <c r="F1063" i="4"/>
  <c r="F1104" i="4"/>
  <c r="B1090" i="2"/>
  <c r="A1091" i="2"/>
  <c r="D1094" i="1"/>
  <c r="D1086" i="1"/>
  <c r="H1083" i="1"/>
  <c r="H1077" i="1"/>
  <c r="H1075" i="1"/>
  <c r="H1073" i="1"/>
  <c r="D1068" i="1"/>
  <c r="H1067" i="1"/>
  <c r="M1149" i="4"/>
  <c r="E1149" i="4"/>
  <c r="K1149" i="4"/>
  <c r="C1149" i="4"/>
  <c r="M1148" i="4"/>
  <c r="E1148" i="4"/>
  <c r="K1148" i="4"/>
  <c r="C1148" i="4"/>
  <c r="E1147" i="4"/>
  <c r="K1147" i="4"/>
  <c r="C1147" i="4"/>
  <c r="M1146" i="4"/>
  <c r="E1146" i="4"/>
  <c r="K1146" i="4"/>
  <c r="C1146" i="4"/>
  <c r="M1145" i="4"/>
  <c r="E1145" i="4"/>
  <c r="K1145" i="4"/>
  <c r="M1144" i="4"/>
  <c r="E1144" i="4"/>
  <c r="K1144" i="4"/>
  <c r="C1144" i="4"/>
  <c r="M1143" i="4"/>
  <c r="K1143" i="4"/>
  <c r="C1143" i="4"/>
  <c r="M1142" i="4"/>
  <c r="E1142" i="4"/>
  <c r="K1142" i="4"/>
  <c r="M1141" i="4"/>
  <c r="E1141" i="4"/>
  <c r="K1141" i="4"/>
  <c r="C1141" i="4"/>
  <c r="E1140" i="4"/>
  <c r="K1140" i="4"/>
  <c r="C1140" i="4"/>
  <c r="M1139" i="4"/>
  <c r="E1139" i="4"/>
  <c r="K1139" i="4"/>
  <c r="C1139" i="4"/>
  <c r="M1138" i="4"/>
  <c r="E1138" i="4"/>
  <c r="K1138" i="4"/>
  <c r="C1138" i="4"/>
  <c r="M1137" i="4"/>
  <c r="E1137" i="4"/>
  <c r="K1137" i="4"/>
  <c r="C1137" i="4"/>
  <c r="M1136" i="4"/>
  <c r="E1136" i="4"/>
  <c r="K1136" i="4"/>
  <c r="C1136" i="4"/>
  <c r="M1135" i="4"/>
  <c r="E1135" i="4"/>
  <c r="K1135" i="4"/>
  <c r="C1135" i="4"/>
  <c r="M1130" i="4"/>
  <c r="M1120" i="4"/>
  <c r="M1116" i="4"/>
  <c r="C1110" i="3"/>
  <c r="C1108" i="3"/>
  <c r="C1107" i="3"/>
  <c r="C1106" i="3"/>
  <c r="C1105" i="3"/>
  <c r="C1104" i="3"/>
  <c r="C1103" i="3"/>
  <c r="C1100" i="3"/>
  <c r="C1099" i="3"/>
  <c r="C1098" i="3"/>
  <c r="C1097" i="3"/>
  <c r="C1096" i="3"/>
  <c r="C1095" i="3"/>
  <c r="C1093" i="3"/>
  <c r="C1092" i="3"/>
  <c r="C1091" i="3"/>
  <c r="C1090" i="3"/>
  <c r="C1089" i="3"/>
  <c r="C1088" i="3"/>
  <c r="C1085" i="3"/>
  <c r="C1084" i="3"/>
  <c r="C1083" i="3"/>
  <c r="C1082" i="3"/>
  <c r="C1081" i="3"/>
  <c r="C1080" i="3"/>
  <c r="C1079" i="3"/>
  <c r="C1077" i="3"/>
  <c r="C1075" i="3"/>
  <c r="C1074" i="3"/>
  <c r="C1073" i="3"/>
  <c r="C1071" i="3"/>
  <c r="C1069" i="3"/>
  <c r="C1068" i="3"/>
  <c r="C1067" i="3"/>
  <c r="C1066" i="3"/>
  <c r="C1065" i="3"/>
  <c r="C1063" i="3"/>
  <c r="E1095" i="1"/>
  <c r="E1087" i="1"/>
  <c r="I1084" i="1"/>
  <c r="E1079" i="1"/>
  <c r="I1076" i="1"/>
  <c r="I1068" i="1"/>
  <c r="I1066" i="1"/>
  <c r="R1065" i="1"/>
  <c r="C1065" i="1"/>
  <c r="E1065" i="1"/>
  <c r="E1063" i="1"/>
  <c r="M1134" i="4"/>
  <c r="M1133" i="4"/>
  <c r="E1133" i="4"/>
  <c r="K1133" i="4"/>
  <c r="C1133" i="4"/>
  <c r="E1132" i="4"/>
  <c r="K1132" i="4"/>
  <c r="C1132" i="4"/>
  <c r="M1131" i="4"/>
  <c r="E1131" i="4"/>
  <c r="C1131" i="4"/>
  <c r="E1130" i="4"/>
  <c r="K1130" i="4"/>
  <c r="C1130" i="4"/>
  <c r="M1129" i="4"/>
  <c r="E1129" i="4"/>
  <c r="K1129" i="4"/>
  <c r="C1129" i="4"/>
  <c r="E1128" i="4"/>
  <c r="K1128" i="4"/>
  <c r="C1128" i="4"/>
  <c r="M1127" i="4"/>
  <c r="K1127" i="4"/>
  <c r="C1127" i="4"/>
  <c r="M1126" i="4"/>
  <c r="K1126" i="4"/>
  <c r="C1126" i="4"/>
  <c r="M1125" i="4"/>
  <c r="E1125" i="4"/>
  <c r="K1125" i="4"/>
  <c r="C1125" i="4"/>
  <c r="M1124" i="4"/>
  <c r="E1124" i="4"/>
  <c r="K1124" i="4"/>
  <c r="C1124" i="4"/>
  <c r="E1123" i="4"/>
  <c r="C1123" i="4"/>
  <c r="M1122" i="4"/>
  <c r="E1122" i="4"/>
  <c r="C1122" i="4"/>
  <c r="M1121" i="4"/>
  <c r="E1121" i="4"/>
  <c r="C1121" i="4"/>
  <c r="K1120" i="4"/>
  <c r="C1120" i="4"/>
  <c r="M1119" i="4"/>
  <c r="E1119" i="4"/>
  <c r="K1119" i="4"/>
  <c r="K1118" i="4"/>
  <c r="M1117" i="4"/>
  <c r="E1117" i="4"/>
  <c r="K1117" i="4"/>
  <c r="C1117" i="4"/>
  <c r="E1116" i="4"/>
  <c r="C1116" i="4"/>
  <c r="M1115" i="4"/>
  <c r="E1115" i="4"/>
  <c r="K1115" i="4"/>
  <c r="C1115" i="4"/>
  <c r="M1114" i="4"/>
  <c r="E1114" i="4"/>
  <c r="K1114" i="4"/>
  <c r="C1114" i="4"/>
  <c r="M1113" i="4"/>
  <c r="E1113" i="4"/>
  <c r="K1113" i="4"/>
  <c r="C1113" i="4"/>
  <c r="M1112" i="4"/>
  <c r="E1112" i="4"/>
  <c r="K1112" i="4"/>
  <c r="C1112" i="4"/>
  <c r="M1111" i="4"/>
  <c r="E1111" i="4"/>
  <c r="K1111" i="4"/>
  <c r="M1110" i="4"/>
  <c r="E1110" i="4"/>
  <c r="K1110" i="4"/>
  <c r="C1110" i="4"/>
  <c r="M1109" i="4"/>
  <c r="C1109" i="4"/>
  <c r="E1108" i="4"/>
  <c r="C1108" i="4"/>
  <c r="K1105" i="4"/>
  <c r="E1101" i="4"/>
  <c r="M1096" i="4"/>
  <c r="E1104" i="3"/>
  <c r="E1096" i="3"/>
  <c r="E1088" i="3"/>
  <c r="E1064" i="3"/>
  <c r="D1109" i="3"/>
  <c r="D1101" i="3"/>
  <c r="D1093" i="3"/>
  <c r="K1109" i="4"/>
  <c r="K1108" i="4"/>
  <c r="M1107" i="4"/>
  <c r="E1107" i="4"/>
  <c r="K1107" i="4"/>
  <c r="K1106" i="4"/>
  <c r="C1106" i="4"/>
  <c r="C1105" i="4"/>
  <c r="M1103" i="4"/>
  <c r="E1103" i="4"/>
  <c r="C1103" i="4"/>
  <c r="M1102" i="4"/>
  <c r="K1102" i="4"/>
  <c r="C1102" i="4"/>
  <c r="M1101" i="4"/>
  <c r="M1100" i="4"/>
  <c r="M1099" i="4"/>
  <c r="E1099" i="4"/>
  <c r="E1098" i="4"/>
  <c r="K1098" i="4"/>
  <c r="C1098" i="4"/>
  <c r="E1097" i="4"/>
  <c r="E1096" i="4"/>
  <c r="M1095" i="4"/>
  <c r="E1095" i="4"/>
  <c r="K1094" i="4"/>
  <c r="C1094" i="4"/>
  <c r="K1093" i="4"/>
  <c r="K1092" i="4"/>
  <c r="M1091" i="4"/>
  <c r="E1091" i="4"/>
  <c r="K1091" i="4"/>
  <c r="K1090" i="4"/>
  <c r="C1090" i="4"/>
  <c r="C1089" i="4"/>
  <c r="C1088" i="4"/>
  <c r="M1087" i="4"/>
  <c r="E1087" i="4"/>
  <c r="C1087" i="4"/>
  <c r="M1086" i="4"/>
  <c r="K1086" i="4"/>
  <c r="C1086" i="4"/>
  <c r="M1085" i="4"/>
  <c r="M1084" i="4"/>
  <c r="E1082" i="4"/>
  <c r="E1081" i="4"/>
  <c r="M1083" i="4"/>
  <c r="E1083" i="4"/>
  <c r="K1082" i="4"/>
  <c r="C1082" i="4"/>
  <c r="M1079" i="4"/>
  <c r="E1079" i="4"/>
  <c r="K1078" i="4"/>
  <c r="C1078" i="4"/>
  <c r="M1075" i="4"/>
  <c r="E1075" i="4"/>
  <c r="K1074" i="4"/>
  <c r="C1074" i="4"/>
  <c r="M1071" i="4"/>
  <c r="E1071" i="4"/>
  <c r="K1070" i="4"/>
  <c r="C1070" i="4"/>
  <c r="M1067" i="4"/>
  <c r="E1067" i="4"/>
  <c r="K1066" i="4"/>
  <c r="C1066" i="4"/>
  <c r="M1063" i="4"/>
  <c r="E1063" i="4"/>
  <c r="G1112" i="1" l="1"/>
  <c r="P1112" i="1"/>
  <c r="H1112" i="1"/>
  <c r="A1113" i="1"/>
  <c r="I1112" i="1"/>
  <c r="C1112" i="1"/>
  <c r="M1112" i="1"/>
  <c r="B1112" i="1"/>
  <c r="Q1112" i="1"/>
  <c r="E1112" i="1"/>
  <c r="D1112" i="1"/>
  <c r="F1112" i="1"/>
  <c r="L1112" i="1"/>
  <c r="J1112" i="1"/>
  <c r="N1112" i="1"/>
  <c r="O1112" i="1"/>
  <c r="E1112" i="3"/>
  <c r="D1112" i="3"/>
  <c r="C1112" i="3"/>
  <c r="A1113" i="3"/>
  <c r="B1112" i="3"/>
  <c r="B1091" i="2"/>
  <c r="A1092" i="2"/>
  <c r="A1093" i="2" l="1"/>
  <c r="B1092" i="2"/>
  <c r="C1113" i="3"/>
  <c r="D1113" i="3"/>
  <c r="E1113" i="3"/>
  <c r="B1113" i="3"/>
  <c r="A1114" i="3"/>
  <c r="G1113" i="1"/>
  <c r="P1113" i="1"/>
  <c r="J1113" i="1"/>
  <c r="B1113" i="1"/>
  <c r="L1113" i="1"/>
  <c r="E1113" i="1"/>
  <c r="O1113" i="1"/>
  <c r="Q1113" i="1"/>
  <c r="C1113" i="1"/>
  <c r="A1114" i="1"/>
  <c r="D1113" i="1"/>
  <c r="F1113" i="1"/>
  <c r="I1113" i="1"/>
  <c r="N1113" i="1"/>
  <c r="M1113" i="1"/>
  <c r="H1113" i="1"/>
  <c r="C1114" i="3" l="1"/>
  <c r="D1114" i="3"/>
  <c r="B1114" i="3"/>
  <c r="E1114" i="3"/>
  <c r="A1115" i="3"/>
  <c r="G1114" i="1"/>
  <c r="P1114" i="1"/>
  <c r="C1114" i="1"/>
  <c r="M1114" i="1"/>
  <c r="D1114" i="1"/>
  <c r="N1114" i="1"/>
  <c r="H1114" i="1"/>
  <c r="A1115" i="1"/>
  <c r="O1114" i="1"/>
  <c r="B1114" i="1"/>
  <c r="Q1114" i="1"/>
  <c r="E1114" i="1"/>
  <c r="I1114" i="1"/>
  <c r="F1114" i="1"/>
  <c r="J1114" i="1"/>
  <c r="L1114" i="1"/>
  <c r="B1093" i="2"/>
  <c r="A1094" i="2"/>
  <c r="G1115" i="1" l="1"/>
  <c r="P1115" i="1"/>
  <c r="E1115" i="1"/>
  <c r="O1115" i="1"/>
  <c r="F1115" i="1"/>
  <c r="Q1115" i="1"/>
  <c r="J1115" i="1"/>
  <c r="M1115" i="1"/>
  <c r="A1116" i="1"/>
  <c r="N1115" i="1"/>
  <c r="B1115" i="1"/>
  <c r="C1115" i="1"/>
  <c r="H1115" i="1"/>
  <c r="I1115" i="1"/>
  <c r="D1115" i="1"/>
  <c r="L1115" i="1"/>
  <c r="A1116" i="3"/>
  <c r="B1115" i="3"/>
  <c r="C1115" i="3"/>
  <c r="D1115" i="3"/>
  <c r="E1115" i="3"/>
  <c r="B1094" i="2"/>
  <c r="A1095" i="2"/>
  <c r="B1095" i="2" l="1"/>
  <c r="A1096" i="2"/>
  <c r="A1117" i="3"/>
  <c r="C1116" i="3"/>
  <c r="E1116" i="3"/>
  <c r="B1116" i="3"/>
  <c r="D1116" i="3"/>
  <c r="G1116" i="1"/>
  <c r="P1116" i="1"/>
  <c r="H1116" i="1"/>
  <c r="A1117" i="1"/>
  <c r="I1116" i="1"/>
  <c r="C1116" i="1"/>
  <c r="M1116" i="1"/>
  <c r="L1116" i="1"/>
  <c r="N1116" i="1"/>
  <c r="O1116" i="1"/>
  <c r="B1116" i="1"/>
  <c r="Q1116" i="1"/>
  <c r="E1116" i="1"/>
  <c r="J1116" i="1"/>
  <c r="D1116" i="1"/>
  <c r="F1116" i="1"/>
  <c r="G1117" i="1" l="1"/>
  <c r="P1117" i="1"/>
  <c r="J1117" i="1"/>
  <c r="B1117" i="1"/>
  <c r="L1117" i="1"/>
  <c r="E1117" i="1"/>
  <c r="O1117" i="1"/>
  <c r="I1117" i="1"/>
  <c r="M1117" i="1"/>
  <c r="N1117" i="1"/>
  <c r="Q1117" i="1"/>
  <c r="D1117" i="1"/>
  <c r="C1117" i="1"/>
  <c r="F1117" i="1"/>
  <c r="H1117" i="1"/>
  <c r="A1118" i="1"/>
  <c r="D1117" i="3"/>
  <c r="B1117" i="3"/>
  <c r="C1117" i="3"/>
  <c r="E1117" i="3"/>
  <c r="A1118" i="3"/>
  <c r="A1097" i="2"/>
  <c r="B1096" i="2"/>
  <c r="A1098" i="2" l="1"/>
  <c r="B1097" i="2"/>
  <c r="E1118" i="3"/>
  <c r="A1119" i="3"/>
  <c r="B1118" i="3"/>
  <c r="D1118" i="3"/>
  <c r="C1118" i="3"/>
  <c r="G1118" i="1"/>
  <c r="P1118" i="1"/>
  <c r="C1118" i="1"/>
  <c r="M1118" i="1"/>
  <c r="D1118" i="1"/>
  <c r="N1118" i="1"/>
  <c r="H1118" i="1"/>
  <c r="A1119" i="1"/>
  <c r="I1118" i="1"/>
  <c r="L1118" i="1"/>
  <c r="J1118" i="1"/>
  <c r="O1118" i="1"/>
  <c r="B1118" i="1"/>
  <c r="F1118" i="1"/>
  <c r="Q1118" i="1"/>
  <c r="E1118" i="1"/>
  <c r="B1119" i="3" l="1"/>
  <c r="C1119" i="3"/>
  <c r="A1120" i="3"/>
  <c r="E1119" i="3"/>
  <c r="D1119" i="3"/>
  <c r="G1119" i="1"/>
  <c r="P1119" i="1"/>
  <c r="E1119" i="1"/>
  <c r="O1119" i="1"/>
  <c r="F1119" i="1"/>
  <c r="Q1119" i="1"/>
  <c r="J1119" i="1"/>
  <c r="H1119" i="1"/>
  <c r="I1119" i="1"/>
  <c r="L1119" i="1"/>
  <c r="M1119" i="1"/>
  <c r="B1119" i="1"/>
  <c r="A1120" i="1"/>
  <c r="C1119" i="1"/>
  <c r="D1119" i="1"/>
  <c r="N1119" i="1"/>
  <c r="B1098" i="2"/>
  <c r="A1099" i="2"/>
  <c r="B1099" i="2" l="1"/>
  <c r="A1100" i="2"/>
  <c r="E1120" i="3"/>
  <c r="D1120" i="3"/>
  <c r="A1121" i="3"/>
  <c r="C1120" i="3"/>
  <c r="B1120" i="3"/>
  <c r="G1120" i="1"/>
  <c r="P1120" i="1"/>
  <c r="H1120" i="1"/>
  <c r="A1121" i="1"/>
  <c r="I1120" i="1"/>
  <c r="C1120" i="1"/>
  <c r="M1120" i="1"/>
  <c r="E1120" i="1"/>
  <c r="J1120" i="1"/>
  <c r="F1120" i="1"/>
  <c r="L1120" i="1"/>
  <c r="O1120" i="1"/>
  <c r="D1120" i="1"/>
  <c r="B1120" i="1"/>
  <c r="N1120" i="1"/>
  <c r="Q1120" i="1"/>
  <c r="B1121" i="3" l="1"/>
  <c r="E1121" i="3"/>
  <c r="C1121" i="3"/>
  <c r="D1121" i="3"/>
  <c r="A1122" i="3"/>
  <c r="G1121" i="1"/>
  <c r="P1121" i="1"/>
  <c r="J1121" i="1"/>
  <c r="B1121" i="1"/>
  <c r="L1121" i="1"/>
  <c r="E1121" i="1"/>
  <c r="O1121" i="1"/>
  <c r="D1121" i="1"/>
  <c r="F1121" i="1"/>
  <c r="H1121" i="1"/>
  <c r="I1121" i="1"/>
  <c r="N1121" i="1"/>
  <c r="M1121" i="1"/>
  <c r="C1121" i="1"/>
  <c r="Q1121" i="1"/>
  <c r="A1122" i="1"/>
  <c r="A1101" i="2"/>
  <c r="B1100" i="2"/>
  <c r="B1101" i="2" l="1"/>
  <c r="A1102" i="2"/>
  <c r="G1122" i="1"/>
  <c r="P1122" i="1"/>
  <c r="C1122" i="1"/>
  <c r="M1122" i="1"/>
  <c r="D1122" i="1"/>
  <c r="N1122" i="1"/>
  <c r="H1122" i="1"/>
  <c r="A1123" i="1"/>
  <c r="B1122" i="1"/>
  <c r="F1122" i="1"/>
  <c r="E1122" i="1"/>
  <c r="I1122" i="1"/>
  <c r="L1122" i="1"/>
  <c r="O1122" i="1"/>
  <c r="J1122" i="1"/>
  <c r="Q1122" i="1"/>
  <c r="C1122" i="3"/>
  <c r="D1122" i="3"/>
  <c r="E1122" i="3"/>
  <c r="A1123" i="3"/>
  <c r="B1122" i="3"/>
  <c r="A1124" i="3" l="1"/>
  <c r="D1123" i="3"/>
  <c r="C1123" i="3"/>
  <c r="B1123" i="3"/>
  <c r="E1123" i="3"/>
  <c r="G1123" i="1"/>
  <c r="P1123" i="1"/>
  <c r="E1123" i="1"/>
  <c r="O1123" i="1"/>
  <c r="F1123" i="1"/>
  <c r="Q1123" i="1"/>
  <c r="J1123" i="1"/>
  <c r="B1123" i="1"/>
  <c r="A1124" i="1"/>
  <c r="C1123" i="1"/>
  <c r="D1123" i="1"/>
  <c r="H1123" i="1"/>
  <c r="L1123" i="1"/>
  <c r="N1123" i="1"/>
  <c r="I1123" i="1"/>
  <c r="M1123" i="1"/>
  <c r="B1102" i="2"/>
  <c r="A1103" i="2"/>
  <c r="B1103" i="2" l="1"/>
  <c r="A1104" i="2"/>
  <c r="G1124" i="1"/>
  <c r="P1124" i="1"/>
  <c r="H1124" i="1"/>
  <c r="A1125" i="1"/>
  <c r="I1124" i="1"/>
  <c r="C1124" i="1"/>
  <c r="M1124" i="1"/>
  <c r="O1124" i="1"/>
  <c r="D1124" i="1"/>
  <c r="B1124" i="1"/>
  <c r="Q1124" i="1"/>
  <c r="E1124" i="1"/>
  <c r="J1124" i="1"/>
  <c r="F1124" i="1"/>
  <c r="L1124" i="1"/>
  <c r="N1124" i="1"/>
  <c r="C1124" i="3"/>
  <c r="D1124" i="3"/>
  <c r="E1124" i="3"/>
  <c r="B1124" i="3"/>
  <c r="A1125" i="3"/>
  <c r="D1125" i="3" l="1"/>
  <c r="C1125" i="3"/>
  <c r="E1125" i="3"/>
  <c r="A1126" i="3"/>
  <c r="B1125" i="3"/>
  <c r="G1125" i="1"/>
  <c r="P1125" i="1"/>
  <c r="J1125" i="1"/>
  <c r="L1125" i="1"/>
  <c r="B1125" i="1"/>
  <c r="E1125" i="1"/>
  <c r="O1125" i="1"/>
  <c r="N1125" i="1"/>
  <c r="A1126" i="1"/>
  <c r="Q1125" i="1"/>
  <c r="C1125" i="1"/>
  <c r="D1125" i="1"/>
  <c r="H1125" i="1"/>
  <c r="M1125" i="1"/>
  <c r="F1125" i="1"/>
  <c r="I1125" i="1"/>
  <c r="A1105" i="2"/>
  <c r="B1104" i="2"/>
  <c r="B1105" i="2" l="1"/>
  <c r="A1106" i="2"/>
  <c r="G1126" i="1"/>
  <c r="P1126" i="1"/>
  <c r="C1126" i="1"/>
  <c r="M1126" i="1"/>
  <c r="D1126" i="1"/>
  <c r="N1126" i="1"/>
  <c r="H1126" i="1"/>
  <c r="A1127" i="1"/>
  <c r="L1126" i="1"/>
  <c r="O1126" i="1"/>
  <c r="Q1126" i="1"/>
  <c r="B1126" i="1"/>
  <c r="F1126" i="1"/>
  <c r="I1126" i="1"/>
  <c r="J1126" i="1"/>
  <c r="E1126" i="1"/>
  <c r="B1126" i="3"/>
  <c r="C1126" i="3"/>
  <c r="D1126" i="3"/>
  <c r="A1127" i="3"/>
  <c r="E1126" i="3"/>
  <c r="B1127" i="3" l="1"/>
  <c r="A1128" i="3"/>
  <c r="C1127" i="3"/>
  <c r="E1127" i="3"/>
  <c r="D1127" i="3"/>
  <c r="G1127" i="1"/>
  <c r="P1127" i="1"/>
  <c r="E1127" i="1"/>
  <c r="O1127" i="1"/>
  <c r="F1127" i="1"/>
  <c r="Q1127" i="1"/>
  <c r="J1127" i="1"/>
  <c r="L1127" i="1"/>
  <c r="N1127" i="1"/>
  <c r="M1127" i="1"/>
  <c r="B1127" i="1"/>
  <c r="A1128" i="1"/>
  <c r="D1127" i="1"/>
  <c r="I1127" i="1"/>
  <c r="C1127" i="1"/>
  <c r="H1127" i="1"/>
  <c r="B1106" i="2"/>
  <c r="A1107" i="2"/>
  <c r="B1107" i="2" l="1"/>
  <c r="A1108" i="2"/>
  <c r="E1128" i="3"/>
  <c r="B1128" i="3"/>
  <c r="C1128" i="3"/>
  <c r="D1128" i="3"/>
  <c r="A1129" i="3"/>
  <c r="G1128" i="1"/>
  <c r="P1128" i="1"/>
  <c r="H1128" i="1"/>
  <c r="A1129" i="1"/>
  <c r="I1128" i="1"/>
  <c r="C1128" i="1"/>
  <c r="M1128" i="1"/>
  <c r="J1128" i="1"/>
  <c r="L1128" i="1"/>
  <c r="N1128" i="1"/>
  <c r="O1128" i="1"/>
  <c r="D1128" i="1"/>
  <c r="Q1128" i="1"/>
  <c r="E1128" i="1"/>
  <c r="F1128" i="1"/>
  <c r="B1128" i="1"/>
  <c r="E1129" i="3" l="1"/>
  <c r="A1130" i="3"/>
  <c r="B1129" i="3"/>
  <c r="D1129" i="3"/>
  <c r="C1129" i="3"/>
  <c r="G1129" i="1"/>
  <c r="P1129" i="1"/>
  <c r="J1129" i="1"/>
  <c r="L1129" i="1"/>
  <c r="B1129" i="1"/>
  <c r="E1129" i="1"/>
  <c r="O1129" i="1"/>
  <c r="H1129" i="1"/>
  <c r="I1129" i="1"/>
  <c r="M1129" i="1"/>
  <c r="N1129" i="1"/>
  <c r="C1129" i="1"/>
  <c r="A1130" i="1"/>
  <c r="D1129" i="1"/>
  <c r="F1129" i="1"/>
  <c r="Q1129" i="1"/>
  <c r="A1109" i="2"/>
  <c r="B1108" i="2"/>
  <c r="B1109" i="2" l="1"/>
  <c r="A1110" i="2"/>
  <c r="G1130" i="1"/>
  <c r="P1130" i="1"/>
  <c r="C1130" i="1"/>
  <c r="M1130" i="1"/>
  <c r="N1130" i="1"/>
  <c r="D1130" i="1"/>
  <c r="H1130" i="1"/>
  <c r="A1131" i="1"/>
  <c r="F1130" i="1"/>
  <c r="J1130" i="1"/>
  <c r="I1130" i="1"/>
  <c r="L1130" i="1"/>
  <c r="Q1130" i="1"/>
  <c r="B1130" i="1"/>
  <c r="E1130" i="1"/>
  <c r="O1130" i="1"/>
  <c r="C1130" i="3"/>
  <c r="B1130" i="3"/>
  <c r="A1131" i="3"/>
  <c r="D1130" i="3"/>
  <c r="E1130" i="3"/>
  <c r="A1132" i="3" l="1"/>
  <c r="D1131" i="3"/>
  <c r="E1131" i="3"/>
  <c r="C1131" i="3"/>
  <c r="B1131" i="3"/>
  <c r="G1131" i="1"/>
  <c r="P1131" i="1"/>
  <c r="E1131" i="1"/>
  <c r="O1131" i="1"/>
  <c r="Q1131" i="1"/>
  <c r="F1131" i="1"/>
  <c r="J1131" i="1"/>
  <c r="D1131" i="1"/>
  <c r="H1131" i="1"/>
  <c r="I1131" i="1"/>
  <c r="L1131" i="1"/>
  <c r="N1131" i="1"/>
  <c r="C1131" i="1"/>
  <c r="M1131" i="1"/>
  <c r="B1131" i="1"/>
  <c r="A1132" i="1"/>
  <c r="B1110" i="2"/>
  <c r="A1111" i="2"/>
  <c r="G1132" i="1" l="1"/>
  <c r="P1132" i="1"/>
  <c r="Q1132" i="1"/>
  <c r="H1132" i="1"/>
  <c r="C1132" i="1"/>
  <c r="L1132" i="1"/>
  <c r="D1132" i="1"/>
  <c r="A1133" i="1"/>
  <c r="F1132" i="1"/>
  <c r="E1132" i="1"/>
  <c r="I1132" i="1"/>
  <c r="M1132" i="1"/>
  <c r="O1132" i="1"/>
  <c r="B1132" i="1"/>
  <c r="J1132" i="1"/>
  <c r="N1132" i="1"/>
  <c r="H1111" i="2"/>
  <c r="I1111" i="2"/>
  <c r="B1111" i="2"/>
  <c r="J1111" i="2"/>
  <c r="E1111" i="2"/>
  <c r="C1111" i="2"/>
  <c r="D1111" i="2"/>
  <c r="G1111" i="2"/>
  <c r="F1111" i="2"/>
  <c r="A1112" i="2"/>
  <c r="B1132" i="3"/>
  <c r="E1132" i="3"/>
  <c r="C1132" i="3"/>
  <c r="D1132" i="3"/>
  <c r="A1133" i="3"/>
  <c r="G1133" i="1" l="1"/>
  <c r="P1133" i="1"/>
  <c r="Q1133" i="1"/>
  <c r="H1133" i="1"/>
  <c r="C1133" i="1"/>
  <c r="L1133" i="1"/>
  <c r="N1133" i="1"/>
  <c r="A1134" i="1"/>
  <c r="B1133" i="1"/>
  <c r="O1133" i="1"/>
  <c r="D1133" i="1"/>
  <c r="E1133" i="1"/>
  <c r="I1133" i="1"/>
  <c r="J1133" i="1"/>
  <c r="M1133" i="1"/>
  <c r="F1133" i="1"/>
  <c r="D1133" i="3"/>
  <c r="C1133" i="3"/>
  <c r="E1133" i="3"/>
  <c r="A1134" i="3"/>
  <c r="B1133" i="3"/>
  <c r="F1112" i="2"/>
  <c r="G1112" i="2"/>
  <c r="H1112" i="2"/>
  <c r="C1112" i="2"/>
  <c r="A1113" i="2"/>
  <c r="D1112" i="2"/>
  <c r="J1112" i="2"/>
  <c r="B1112" i="2"/>
  <c r="E1112" i="2"/>
  <c r="I1112" i="2"/>
  <c r="D1113" i="2" l="1"/>
  <c r="E1113" i="2"/>
  <c r="F1113" i="2"/>
  <c r="I1113" i="2"/>
  <c r="J1113" i="2"/>
  <c r="B1113" i="2"/>
  <c r="G1113" i="2"/>
  <c r="A1114" i="2"/>
  <c r="H1113" i="2"/>
  <c r="C1113" i="2"/>
  <c r="G1134" i="1"/>
  <c r="P1134" i="1"/>
  <c r="H1134" i="1"/>
  <c r="Q1134" i="1"/>
  <c r="C1134" i="1"/>
  <c r="L1134" i="1"/>
  <c r="J1134" i="1"/>
  <c r="M1134" i="1"/>
  <c r="N1134" i="1"/>
  <c r="B1134" i="1"/>
  <c r="O1134" i="1"/>
  <c r="E1134" i="1"/>
  <c r="I1134" i="1"/>
  <c r="D1134" i="1"/>
  <c r="F1134" i="1"/>
  <c r="A1135" i="1"/>
  <c r="D1134" i="3"/>
  <c r="A1135" i="3"/>
  <c r="E1134" i="3"/>
  <c r="B1134" i="3"/>
  <c r="C1134" i="3"/>
  <c r="B1135" i="3" l="1"/>
  <c r="C1135" i="3"/>
  <c r="D1135" i="3"/>
  <c r="E1135" i="3"/>
  <c r="A1136" i="3"/>
  <c r="B1114" i="2"/>
  <c r="J1114" i="2"/>
  <c r="C1114" i="2"/>
  <c r="A1115" i="2"/>
  <c r="D1114" i="2"/>
  <c r="G1114" i="2"/>
  <c r="H1114" i="2"/>
  <c r="I1114" i="2"/>
  <c r="E1114" i="2"/>
  <c r="F1114" i="2"/>
  <c r="G1135" i="1"/>
  <c r="P1135" i="1"/>
  <c r="H1135" i="1"/>
  <c r="Q1135" i="1"/>
  <c r="C1135" i="1"/>
  <c r="L1135" i="1"/>
  <c r="F1135" i="1"/>
  <c r="J1135" i="1"/>
  <c r="I1135" i="1"/>
  <c r="M1135" i="1"/>
  <c r="B1135" i="1"/>
  <c r="O1135" i="1"/>
  <c r="N1135" i="1"/>
  <c r="A1136" i="1"/>
  <c r="D1135" i="1"/>
  <c r="E1135" i="1"/>
  <c r="G1136" i="1" l="1"/>
  <c r="P1136" i="1"/>
  <c r="H1136" i="1"/>
  <c r="Q1136" i="1"/>
  <c r="C1136" i="1"/>
  <c r="L1136" i="1"/>
  <c r="D1136" i="1"/>
  <c r="A1137" i="1"/>
  <c r="E1136" i="1"/>
  <c r="F1136" i="1"/>
  <c r="I1136" i="1"/>
  <c r="M1136" i="1"/>
  <c r="B1136" i="1"/>
  <c r="J1136" i="1"/>
  <c r="N1136" i="1"/>
  <c r="O1136" i="1"/>
  <c r="E1136" i="3"/>
  <c r="C1136" i="3"/>
  <c r="B1136" i="3"/>
  <c r="A1137" i="3"/>
  <c r="D1136" i="3"/>
  <c r="H1115" i="2"/>
  <c r="I1115" i="2"/>
  <c r="B1115" i="2"/>
  <c r="J1115" i="2"/>
  <c r="E1115" i="2"/>
  <c r="F1115" i="2"/>
  <c r="D1115" i="2"/>
  <c r="A1116" i="2"/>
  <c r="C1115" i="2"/>
  <c r="G1115" i="2"/>
  <c r="F1116" i="2" l="1"/>
  <c r="G1116" i="2"/>
  <c r="H1116" i="2"/>
  <c r="C1116" i="2"/>
  <c r="A1117" i="2"/>
  <c r="E1116" i="2"/>
  <c r="I1116" i="2"/>
  <c r="B1116" i="2"/>
  <c r="D1116" i="2"/>
  <c r="J1116" i="2"/>
  <c r="B1137" i="3"/>
  <c r="C1137" i="3"/>
  <c r="D1137" i="3"/>
  <c r="A1138" i="3"/>
  <c r="E1137" i="3"/>
  <c r="G1137" i="1"/>
  <c r="P1137" i="1"/>
  <c r="H1137" i="1"/>
  <c r="Q1137" i="1"/>
  <c r="C1137" i="1"/>
  <c r="L1137" i="1"/>
  <c r="N1137" i="1"/>
  <c r="D1137" i="1"/>
  <c r="B1137" i="1"/>
  <c r="O1137" i="1"/>
  <c r="A1138" i="1"/>
  <c r="E1137" i="1"/>
  <c r="I1137" i="1"/>
  <c r="M1137" i="1"/>
  <c r="F1137" i="1"/>
  <c r="J1137" i="1"/>
  <c r="C1138" i="3" l="1"/>
  <c r="A1139" i="3"/>
  <c r="B1138" i="3"/>
  <c r="E1138" i="3"/>
  <c r="D1138" i="3"/>
  <c r="D1117" i="2"/>
  <c r="E1117" i="2"/>
  <c r="F1117" i="2"/>
  <c r="I1117" i="2"/>
  <c r="B1117" i="2"/>
  <c r="C1117" i="2"/>
  <c r="H1117" i="2"/>
  <c r="G1117" i="2"/>
  <c r="J1117" i="2"/>
  <c r="A1118" i="2"/>
  <c r="G1138" i="1"/>
  <c r="P1138" i="1"/>
  <c r="H1138" i="1"/>
  <c r="Q1138" i="1"/>
  <c r="C1138" i="1"/>
  <c r="L1138" i="1"/>
  <c r="J1138" i="1"/>
  <c r="N1138" i="1"/>
  <c r="M1138" i="1"/>
  <c r="B1138" i="1"/>
  <c r="O1138" i="1"/>
  <c r="E1138" i="1"/>
  <c r="D1138" i="1"/>
  <c r="A1139" i="1"/>
  <c r="F1138" i="1"/>
  <c r="I1138" i="1"/>
  <c r="B1118" i="2" l="1"/>
  <c r="J1118" i="2"/>
  <c r="C1118" i="2"/>
  <c r="A1119" i="2"/>
  <c r="D1118" i="2"/>
  <c r="G1118" i="2"/>
  <c r="H1118" i="2"/>
  <c r="E1118" i="2"/>
  <c r="F1118" i="2"/>
  <c r="I1118" i="2"/>
  <c r="G1139" i="1"/>
  <c r="P1139" i="1"/>
  <c r="H1139" i="1"/>
  <c r="Q1139" i="1"/>
  <c r="C1139" i="1"/>
  <c r="L1139" i="1"/>
  <c r="F1139" i="1"/>
  <c r="I1139" i="1"/>
  <c r="J1139" i="1"/>
  <c r="M1139" i="1"/>
  <c r="B1139" i="1"/>
  <c r="O1139" i="1"/>
  <c r="A1140" i="1"/>
  <c r="N1139" i="1"/>
  <c r="E1139" i="1"/>
  <c r="D1139" i="1"/>
  <c r="A1140" i="3"/>
  <c r="B1139" i="3"/>
  <c r="C1139" i="3"/>
  <c r="D1139" i="3"/>
  <c r="E1139" i="3"/>
  <c r="G1140" i="1" l="1"/>
  <c r="P1140" i="1"/>
  <c r="H1140" i="1"/>
  <c r="Q1140" i="1"/>
  <c r="C1140" i="1"/>
  <c r="L1140" i="1"/>
  <c r="D1140" i="1"/>
  <c r="A1141" i="1"/>
  <c r="F1140" i="1"/>
  <c r="E1140" i="1"/>
  <c r="I1140" i="1"/>
  <c r="M1140" i="1"/>
  <c r="O1140" i="1"/>
  <c r="B1140" i="1"/>
  <c r="J1140" i="1"/>
  <c r="N1140" i="1"/>
  <c r="H1119" i="2"/>
  <c r="I1119" i="2"/>
  <c r="B1119" i="2"/>
  <c r="J1119" i="2"/>
  <c r="E1119" i="2"/>
  <c r="C1119" i="2"/>
  <c r="F1119" i="2"/>
  <c r="G1119" i="2"/>
  <c r="D1119" i="2"/>
  <c r="A1120" i="2"/>
  <c r="E1140" i="3"/>
  <c r="A1141" i="3"/>
  <c r="B1140" i="3"/>
  <c r="C1140" i="3"/>
  <c r="D1140" i="3"/>
  <c r="G1141" i="1" l="1"/>
  <c r="P1141" i="1"/>
  <c r="Q1141" i="1"/>
  <c r="H1141" i="1"/>
  <c r="C1141" i="1"/>
  <c r="L1141" i="1"/>
  <c r="N1141" i="1"/>
  <c r="A1142" i="1"/>
  <c r="B1141" i="1"/>
  <c r="O1141" i="1"/>
  <c r="D1141" i="1"/>
  <c r="E1141" i="1"/>
  <c r="I1141" i="1"/>
  <c r="F1141" i="1"/>
  <c r="J1141" i="1"/>
  <c r="M1141" i="1"/>
  <c r="F1120" i="2"/>
  <c r="G1120" i="2"/>
  <c r="H1120" i="2"/>
  <c r="C1120" i="2"/>
  <c r="A1121" i="2"/>
  <c r="D1120" i="2"/>
  <c r="B1120" i="2"/>
  <c r="E1120" i="2"/>
  <c r="J1120" i="2"/>
  <c r="I1120" i="2"/>
  <c r="D1141" i="3"/>
  <c r="B1141" i="3"/>
  <c r="A1142" i="3"/>
  <c r="E1141" i="3"/>
  <c r="C1141" i="3"/>
  <c r="G1142" i="1" l="1"/>
  <c r="P1142" i="1"/>
  <c r="H1142" i="1"/>
  <c r="Q1142" i="1"/>
  <c r="C1142" i="1"/>
  <c r="L1142" i="1"/>
  <c r="J1142" i="1"/>
  <c r="M1142" i="1"/>
  <c r="N1142" i="1"/>
  <c r="B1142" i="1"/>
  <c r="O1142" i="1"/>
  <c r="E1142" i="1"/>
  <c r="D1142" i="1"/>
  <c r="F1142" i="1"/>
  <c r="I1142" i="1"/>
  <c r="A1143" i="1"/>
  <c r="D1142" i="3"/>
  <c r="E1142" i="3"/>
  <c r="A1143" i="3"/>
  <c r="C1142" i="3"/>
  <c r="B1142" i="3"/>
  <c r="D1121" i="2"/>
  <c r="E1121" i="2"/>
  <c r="F1121" i="2"/>
  <c r="I1121" i="2"/>
  <c r="J1121" i="2"/>
  <c r="A1122" i="2"/>
  <c r="C1121" i="2"/>
  <c r="B1121" i="2"/>
  <c r="G1121" i="2"/>
  <c r="H1121" i="2"/>
  <c r="G1143" i="1" l="1"/>
  <c r="P1143" i="1"/>
  <c r="H1143" i="1"/>
  <c r="Q1143" i="1"/>
  <c r="C1143" i="1"/>
  <c r="L1143" i="1"/>
  <c r="F1143" i="1"/>
  <c r="J1143" i="1"/>
  <c r="I1143" i="1"/>
  <c r="M1143" i="1"/>
  <c r="B1143" i="1"/>
  <c r="O1143" i="1"/>
  <c r="N1143" i="1"/>
  <c r="A1144" i="1"/>
  <c r="D1143" i="1"/>
  <c r="E1143" i="1"/>
  <c r="B1122" i="2"/>
  <c r="J1122" i="2"/>
  <c r="C1122" i="2"/>
  <c r="A1123" i="2"/>
  <c r="D1122" i="2"/>
  <c r="G1122" i="2"/>
  <c r="E1122" i="2"/>
  <c r="H1122" i="2"/>
  <c r="F1122" i="2"/>
  <c r="I1122" i="2"/>
  <c r="B1143" i="3"/>
  <c r="E1143" i="3"/>
  <c r="C1143" i="3"/>
  <c r="D1143" i="3"/>
  <c r="A1144" i="3"/>
  <c r="G1144" i="1" l="1"/>
  <c r="P1144" i="1"/>
  <c r="H1144" i="1"/>
  <c r="Q1144" i="1"/>
  <c r="C1144" i="1"/>
  <c r="L1144" i="1"/>
  <c r="D1144" i="1"/>
  <c r="A1145" i="1"/>
  <c r="E1144" i="1"/>
  <c r="F1144" i="1"/>
  <c r="I1144" i="1"/>
  <c r="M1144" i="1"/>
  <c r="B1144" i="1"/>
  <c r="J1144" i="1"/>
  <c r="N1144" i="1"/>
  <c r="O1144" i="1"/>
  <c r="H1123" i="2"/>
  <c r="I1123" i="2"/>
  <c r="B1123" i="2"/>
  <c r="J1123" i="2"/>
  <c r="E1123" i="2"/>
  <c r="F1123" i="2"/>
  <c r="A1124" i="2"/>
  <c r="C1123" i="2"/>
  <c r="D1123" i="2"/>
  <c r="G1123" i="2"/>
  <c r="E1144" i="3"/>
  <c r="C1144" i="3"/>
  <c r="D1144" i="3"/>
  <c r="A1145" i="3"/>
  <c r="B1144" i="3"/>
  <c r="F1124" i="2" l="1"/>
  <c r="G1124" i="2"/>
  <c r="H1124" i="2"/>
  <c r="C1124" i="2"/>
  <c r="A1125" i="2"/>
  <c r="B1124" i="2"/>
  <c r="E1124" i="2"/>
  <c r="J1124" i="2"/>
  <c r="I1124" i="2"/>
  <c r="D1124" i="2"/>
  <c r="D1145" i="3"/>
  <c r="A1146" i="3"/>
  <c r="B1145" i="3"/>
  <c r="C1145" i="3"/>
  <c r="E1145" i="3"/>
  <c r="G1145" i="1"/>
  <c r="P1145" i="1"/>
  <c r="H1145" i="1"/>
  <c r="Q1145" i="1"/>
  <c r="C1145" i="1"/>
  <c r="L1145" i="1"/>
  <c r="N1145" i="1"/>
  <c r="D1145" i="1"/>
  <c r="B1145" i="1"/>
  <c r="O1145" i="1"/>
  <c r="A1146" i="1"/>
  <c r="E1145" i="1"/>
  <c r="I1145" i="1"/>
  <c r="M1145" i="1"/>
  <c r="F1145" i="1"/>
  <c r="J1145" i="1"/>
  <c r="D1125" i="2" l="1"/>
  <c r="E1125" i="2"/>
  <c r="F1125" i="2"/>
  <c r="I1125" i="2"/>
  <c r="B1125" i="2"/>
  <c r="H1125" i="2"/>
  <c r="J1125" i="2"/>
  <c r="C1125" i="2"/>
  <c r="G1125" i="2"/>
  <c r="A1126" i="2"/>
  <c r="C1146" i="3"/>
  <c r="B1146" i="3"/>
  <c r="D1146" i="3"/>
  <c r="E1146" i="3"/>
  <c r="A1147" i="3"/>
  <c r="G1146" i="1"/>
  <c r="P1146" i="1"/>
  <c r="H1146" i="1"/>
  <c r="Q1146" i="1"/>
  <c r="C1146" i="1"/>
  <c r="L1146" i="1"/>
  <c r="J1146" i="1"/>
  <c r="N1146" i="1"/>
  <c r="M1146" i="1"/>
  <c r="B1146" i="1"/>
  <c r="O1146" i="1"/>
  <c r="E1146" i="1"/>
  <c r="F1146" i="1"/>
  <c r="I1146" i="1"/>
  <c r="A1147" i="1"/>
  <c r="D1146" i="1"/>
  <c r="A1148" i="3" l="1"/>
  <c r="C1147" i="3"/>
  <c r="B1147" i="3"/>
  <c r="E1147" i="3"/>
  <c r="D1147" i="3"/>
  <c r="G1147" i="1"/>
  <c r="P1147" i="1"/>
  <c r="H1147" i="1"/>
  <c r="Q1147" i="1"/>
  <c r="C1147" i="1"/>
  <c r="L1147" i="1"/>
  <c r="F1147" i="1"/>
  <c r="I1147" i="1"/>
  <c r="J1147" i="1"/>
  <c r="M1147" i="1"/>
  <c r="B1147" i="1"/>
  <c r="O1147" i="1"/>
  <c r="E1147" i="1"/>
  <c r="D1147" i="1"/>
  <c r="A1148" i="1"/>
  <c r="N1147" i="1"/>
  <c r="B1126" i="2"/>
  <c r="J1126" i="2"/>
  <c r="C1126" i="2"/>
  <c r="A1127" i="2"/>
  <c r="D1126" i="2"/>
  <c r="G1126" i="2"/>
  <c r="H1126" i="2"/>
  <c r="E1126" i="2"/>
  <c r="I1126" i="2"/>
  <c r="F1126" i="2"/>
  <c r="G1148" i="1" l="1"/>
  <c r="P1148" i="1"/>
  <c r="H1148" i="1"/>
  <c r="Q1148" i="1"/>
  <c r="C1148" i="1"/>
  <c r="L1148" i="1"/>
  <c r="D1148" i="1"/>
  <c r="A1149" i="1"/>
  <c r="F1148" i="1"/>
  <c r="E1148" i="1"/>
  <c r="I1148" i="1"/>
  <c r="M1148" i="1"/>
  <c r="J1148" i="1"/>
  <c r="B1148" i="1"/>
  <c r="N1148" i="1"/>
  <c r="O1148" i="1"/>
  <c r="H1127" i="2"/>
  <c r="I1127" i="2"/>
  <c r="B1127" i="2"/>
  <c r="J1127" i="2"/>
  <c r="E1127" i="2"/>
  <c r="F1127" i="2"/>
  <c r="G1127" i="2"/>
  <c r="C1127" i="2"/>
  <c r="D1127" i="2"/>
  <c r="A1128" i="2"/>
  <c r="B1148" i="3"/>
  <c r="C1148" i="3"/>
  <c r="D1148" i="3"/>
  <c r="E1148" i="3"/>
  <c r="A1149" i="3"/>
  <c r="G1149" i="1" l="1"/>
  <c r="P1149" i="1"/>
  <c r="H1149" i="1"/>
  <c r="Q1149" i="1"/>
  <c r="C1149" i="1"/>
  <c r="L1149" i="1"/>
  <c r="N1149" i="1"/>
  <c r="B1149" i="1"/>
  <c r="O1149" i="1"/>
  <c r="D1149" i="1"/>
  <c r="E1149" i="1"/>
  <c r="I1149" i="1"/>
  <c r="F1149" i="1"/>
  <c r="J1149" i="1"/>
  <c r="M1149" i="1"/>
  <c r="D1149" i="3"/>
  <c r="B1149" i="3"/>
  <c r="E1149" i="3"/>
  <c r="C1149" i="3"/>
  <c r="F1128" i="2"/>
  <c r="G1128" i="2"/>
  <c r="H1128" i="2"/>
  <c r="C1128" i="2"/>
  <c r="A1129" i="2"/>
  <c r="D1128" i="2"/>
  <c r="B1128" i="2"/>
  <c r="I1128" i="2"/>
  <c r="E1128" i="2"/>
  <c r="J1128" i="2"/>
  <c r="D1129" i="2" l="1"/>
  <c r="E1129" i="2"/>
  <c r="F1129" i="2"/>
  <c r="I1129" i="2"/>
  <c r="J1129" i="2"/>
  <c r="C1129" i="2"/>
  <c r="G1129" i="2"/>
  <c r="A1130" i="2"/>
  <c r="H1129" i="2"/>
  <c r="B1129" i="2"/>
  <c r="B1130" i="2" l="1"/>
  <c r="J1130" i="2"/>
  <c r="C1130" i="2"/>
  <c r="A1131" i="2"/>
  <c r="D1130" i="2"/>
  <c r="G1130" i="2"/>
  <c r="F1130" i="2"/>
  <c r="H1130" i="2"/>
  <c r="I1130" i="2"/>
  <c r="E1130" i="2"/>
  <c r="H1131" i="2" l="1"/>
  <c r="I1131" i="2"/>
  <c r="B1131" i="2"/>
  <c r="J1131" i="2"/>
  <c r="E1131" i="2"/>
  <c r="F1131" i="2"/>
  <c r="C1131" i="2"/>
  <c r="D1131" i="2"/>
  <c r="A1132" i="2"/>
  <c r="G1131" i="2"/>
  <c r="F1132" i="2" l="1"/>
  <c r="G1132" i="2"/>
  <c r="H1132" i="2"/>
  <c r="C1132" i="2"/>
  <c r="A1133" i="2"/>
  <c r="J1132" i="2"/>
  <c r="D1132" i="2"/>
  <c r="B1132" i="2"/>
  <c r="E1132" i="2"/>
  <c r="I1132" i="2"/>
  <c r="D1133" i="2" l="1"/>
  <c r="E1133" i="2"/>
  <c r="F1133" i="2"/>
  <c r="I1133" i="2"/>
  <c r="B1133" i="2"/>
  <c r="C1133" i="2"/>
  <c r="H1133" i="2"/>
  <c r="A1134" i="2"/>
  <c r="G1133" i="2"/>
  <c r="J1133" i="2"/>
  <c r="B1134" i="2" l="1"/>
  <c r="J1134" i="2"/>
  <c r="C1134" i="2"/>
  <c r="A1135" i="2"/>
  <c r="D1134" i="2"/>
  <c r="G1134" i="2"/>
  <c r="H1134" i="2"/>
  <c r="I1134" i="2"/>
  <c r="E1134" i="2"/>
  <c r="F1134" i="2"/>
  <c r="H1135" i="2" l="1"/>
  <c r="I1135" i="2"/>
  <c r="B1135" i="2"/>
  <c r="J1135" i="2"/>
  <c r="E1135" i="2"/>
  <c r="C1135" i="2"/>
  <c r="F1135" i="2"/>
  <c r="A1136" i="2"/>
  <c r="G1135" i="2"/>
  <c r="D1135" i="2"/>
  <c r="F1136" i="2" l="1"/>
  <c r="G1136" i="2"/>
  <c r="H1136" i="2"/>
  <c r="C1136" i="2"/>
  <c r="A1137" i="2"/>
  <c r="D1136" i="2"/>
  <c r="I1136" i="2"/>
  <c r="J1136" i="2"/>
  <c r="B1136" i="2"/>
  <c r="E1136" i="2"/>
  <c r="D1137" i="2" l="1"/>
  <c r="E1137" i="2"/>
  <c r="F1137" i="2"/>
  <c r="I1137" i="2"/>
  <c r="J1137" i="2"/>
  <c r="C1137" i="2"/>
  <c r="H1137" i="2"/>
  <c r="B1137" i="2"/>
  <c r="A1138" i="2"/>
  <c r="G1137" i="2"/>
  <c r="B1138" i="2" l="1"/>
  <c r="J1138" i="2"/>
  <c r="C1138" i="2"/>
  <c r="A1139" i="2"/>
  <c r="D1138" i="2"/>
  <c r="G1138" i="2"/>
  <c r="F1138" i="2"/>
  <c r="H1138" i="2"/>
  <c r="E1138" i="2"/>
  <c r="I1138" i="2"/>
  <c r="H1139" i="2" l="1"/>
  <c r="I1139" i="2"/>
  <c r="B1139" i="2"/>
  <c r="J1139" i="2"/>
  <c r="E1139" i="2"/>
  <c r="F1139" i="2"/>
  <c r="C1139" i="2"/>
  <c r="G1139" i="2"/>
  <c r="D1139" i="2"/>
  <c r="A1140" i="2"/>
  <c r="F1140" i="2" l="1"/>
  <c r="G1140" i="2"/>
  <c r="H1140" i="2"/>
  <c r="C1140" i="2"/>
  <c r="A1141" i="2"/>
  <c r="D1140" i="2"/>
  <c r="E1140" i="2"/>
  <c r="J1140" i="2"/>
  <c r="B1140" i="2"/>
  <c r="I1140" i="2"/>
  <c r="D1141" i="2" l="1"/>
  <c r="E1141" i="2"/>
  <c r="F1141" i="2"/>
  <c r="I1141" i="2"/>
  <c r="B1141" i="2"/>
  <c r="A1142" i="2"/>
  <c r="G1141" i="2"/>
  <c r="H1141" i="2"/>
  <c r="C1141" i="2"/>
  <c r="J1141" i="2"/>
  <c r="B1142" i="2" l="1"/>
  <c r="J1142" i="2"/>
  <c r="C1142" i="2"/>
  <c r="A1143" i="2"/>
  <c r="D1142" i="2"/>
  <c r="G1142" i="2"/>
  <c r="H1142" i="2"/>
  <c r="E1142" i="2"/>
  <c r="I1142" i="2"/>
  <c r="F1142" i="2"/>
  <c r="H1143" i="2" l="1"/>
  <c r="I1143" i="2"/>
  <c r="B1143" i="2"/>
  <c r="J1143" i="2"/>
  <c r="E1143" i="2"/>
  <c r="A1144" i="2"/>
  <c r="D1143" i="2"/>
  <c r="C1143" i="2"/>
  <c r="F1143" i="2"/>
  <c r="G1143" i="2"/>
  <c r="F1144" i="2" l="1"/>
  <c r="G1144" i="2"/>
  <c r="H1144" i="2"/>
  <c r="C1144" i="2"/>
  <c r="A1145" i="2"/>
  <c r="D1144" i="2"/>
  <c r="B1144" i="2"/>
  <c r="I1144" i="2"/>
  <c r="E1144" i="2"/>
  <c r="J1144" i="2"/>
  <c r="D1145" i="2" l="1"/>
  <c r="E1145" i="2"/>
  <c r="F1145" i="2"/>
  <c r="I1145" i="2"/>
  <c r="J1145" i="2"/>
  <c r="H1145" i="2"/>
  <c r="A1146" i="2"/>
  <c r="B1145" i="2"/>
  <c r="C1145" i="2"/>
  <c r="G1145" i="2"/>
  <c r="B1146" i="2" l="1"/>
  <c r="J1146" i="2"/>
  <c r="C1146" i="2"/>
  <c r="A1147" i="2"/>
  <c r="D1146" i="2"/>
  <c r="G1146" i="2"/>
  <c r="F1146" i="2"/>
  <c r="I1146" i="2"/>
  <c r="H1146" i="2"/>
  <c r="E1146" i="2"/>
  <c r="H1147" i="2" l="1"/>
  <c r="I1147" i="2"/>
  <c r="B1147" i="2"/>
  <c r="J1147" i="2"/>
  <c r="E1147" i="2"/>
  <c r="F1147" i="2"/>
  <c r="G1147" i="2"/>
  <c r="A1148" i="2"/>
  <c r="C1147" i="2"/>
  <c r="D1147" i="2"/>
  <c r="F1148" i="2" l="1"/>
  <c r="G1148" i="2"/>
  <c r="H1148" i="2"/>
  <c r="C1148" i="2"/>
  <c r="A1149" i="2"/>
  <c r="D1148" i="2"/>
  <c r="I1148" i="2"/>
  <c r="B1148" i="2"/>
  <c r="J1148" i="2"/>
  <c r="E1148" i="2"/>
  <c r="D1149" i="2" l="1"/>
  <c r="E1149" i="2"/>
  <c r="F1149" i="2"/>
  <c r="I1149" i="2"/>
  <c r="B1149" i="2"/>
  <c r="G1149" i="2"/>
  <c r="H1149" i="2"/>
  <c r="J1149" i="2"/>
  <c r="C1149" i="2"/>
</calcChain>
</file>

<file path=xl/sharedStrings.xml><?xml version="1.0" encoding="utf-8"?>
<sst xmlns="http://schemas.openxmlformats.org/spreadsheetml/2006/main" count="167" uniqueCount="74">
  <si>
    <t>MM$</t>
  </si>
  <si>
    <t>$/MMBTU</t>
  </si>
  <si>
    <t>MONTH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</si>
  <si>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</si>
  <si>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</si>
  <si>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</si>
  <si>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</si>
  <si>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</si>
  <si>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</si>
  <si>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</si>
  <si>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</si>
  <si>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</si>
  <si>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</si>
  <si>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</si>
  <si>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</si>
  <si>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</si>
  <si>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</si>
  <si>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</si>
  <si>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</si>
  <si>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</si>
  <si>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</si>
  <si>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</si>
  <si>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</si>
  <si>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</si>
  <si>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August 04,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</si>
  <si>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</si>
  <si>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</si>
  <si>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</si>
  <si>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</si>
  <si>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</si>
  <si>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</si>
  <si>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</si>
  <si>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</si>
  <si>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</si>
  <si>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</si>
  <si>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</si>
  <si>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</si>
  <si>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</si>
  <si>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</si>
  <si>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</si>
  <si>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</si>
  <si>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</si>
  <si>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</si>
  <si>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</si>
  <si>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</si>
  <si>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</si>
  <si>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</si>
  <si>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</si>
  <si>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</si>
  <si>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</si>
  <si>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</si>
  <si>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</si>
  <si>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</si>
  <si>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</si>
  <si>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</si>
  <si>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</si>
  <si>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</si>
  <si>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</si>
  <si>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</si>
  <si>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</si>
  <si>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</si>
  <si>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</si>
  <si>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</si>
  <si>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</si>
  <si>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</si>
  <si>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</si>
  <si>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</si>
  <si>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</si>
  <si>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</si>
  <si>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Tab 5 of 5</t>
  </si>
  <si>
    <t>Tab 4 of 5</t>
  </si>
  <si>
    <t>Tab 3 of 5</t>
  </si>
  <si>
    <t>Tab 2 of 5</t>
  </si>
  <si>
    <t>Attachment No.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</si>
</sst>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19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4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</cellStyleXfs>
  <cellXfs count="91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6" fontId="5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6" fontId="3" fillId="3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5" fillId="4" borderId="0" xfId="4" applyFont="1" applyFill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0" fontId="5" fillId="0" borderId="0" xfId="4" quotePrefix="1" applyFont="1" applyAlignment="1">
      <alignment horizontal="center" wrapText="1"/>
    </xf>
    <xf numFmtId="0" fontId="5" fillId="0" borderId="0" xfId="4" applyFont="1" applyAlignment="1">
      <alignment horizontal="center"/>
    </xf>
    <xf numFmtId="0" fontId="5" fillId="0" borderId="0" xfId="4" applyFont="1" applyAlignment="1"/>
    <xf numFmtId="10" fontId="7" fillId="5" borderId="0" xfId="4" applyNumberFormat="1" applyFont="1" applyFill="1" applyAlignment="1">
      <alignment horizontal="center"/>
    </xf>
    <xf numFmtId="0" fontId="5" fillId="5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5" fillId="0" borderId="0" xfId="4" applyNumberFormat="1" applyFont="1" applyAlignment="1">
      <alignment horizontal="left"/>
    </xf>
    <xf numFmtId="165" fontId="8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6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6" borderId="0" xfId="4" applyNumberFormat="1" applyFont="1" applyFill="1" applyAlignment="1">
      <alignment horizontal="center"/>
    </xf>
    <xf numFmtId="171" fontId="5" fillId="7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5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5" fillId="0" borderId="0" xfId="4" applyFont="1" applyFill="1" applyAlignment="1">
      <alignment horizontal="center" wrapText="1"/>
    </xf>
    <xf numFmtId="0" fontId="5" fillId="7" borderId="0" xfId="4" applyFont="1" applyFill="1" applyAlignment="1">
      <alignment horizontal="center" wrapText="1"/>
    </xf>
    <xf numFmtId="0" fontId="5" fillId="2" borderId="0" xfId="4" quotePrefix="1" applyFont="1" applyFill="1" applyAlignment="1">
      <alignment horizontal="center" wrapText="1"/>
    </xf>
    <xf numFmtId="0" fontId="5" fillId="0" borderId="0" xfId="4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4" applyFont="1" applyFill="1" applyAlignment="1"/>
    <xf numFmtId="0" fontId="5" fillId="8" borderId="0" xfId="4" applyFont="1" applyFill="1" applyAlignment="1">
      <alignment horizontal="center"/>
    </xf>
    <xf numFmtId="0" fontId="5" fillId="0" borderId="0" xfId="4" applyFont="1"/>
    <xf numFmtId="0" fontId="2" fillId="0" borderId="0" xfId="4" applyFont="1" applyAlignment="1">
      <alignment horizontal="center" wrapText="1"/>
    </xf>
    <xf numFmtId="0" fontId="5" fillId="0" borderId="0" xfId="4" quotePrefix="1" applyFont="1" applyFill="1" applyAlignment="1">
      <alignment horizontal="center" wrapText="1"/>
    </xf>
    <xf numFmtId="0" fontId="5" fillId="6" borderId="0" xfId="4" applyFont="1" applyFill="1" applyAlignment="1"/>
    <xf numFmtId="15" fontId="5" fillId="0" borderId="0" xfId="4" applyNumberFormat="1" applyFont="1" applyFill="1" applyAlignment="1">
      <alignment horizontal="left"/>
    </xf>
    <xf numFmtId="9" fontId="10" fillId="10" borderId="0" xfId="3" applyFont="1" applyFill="1" applyAlignment="1">
      <alignment horizontal="center"/>
    </xf>
    <xf numFmtId="0" fontId="11" fillId="10" borderId="0" xfId="4" applyFont="1" applyFill="1" applyAlignment="1">
      <alignment horizontal="center"/>
    </xf>
    <xf numFmtId="0" fontId="2" fillId="0" borderId="0" xfId="4" applyFont="1" applyFill="1"/>
    <xf numFmtId="0" fontId="12" fillId="0" borderId="0" xfId="4" applyFont="1" applyFill="1"/>
    <xf numFmtId="0" fontId="13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4" fillId="0" borderId="0" xfId="2" applyFont="1" applyAlignment="1">
      <alignment horizontal="center"/>
    </xf>
    <xf numFmtId="44" fontId="5" fillId="0" borderId="0" xfId="2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5" fillId="11" borderId="0" xfId="0" quotePrefix="1" applyNumberFormat="1" applyFont="1" applyFill="1" applyAlignment="1">
      <alignment horizontal="center" vertical="center" wrapText="1"/>
    </xf>
    <xf numFmtId="165" fontId="5" fillId="2" borderId="0" xfId="0" quotePrefix="1" applyNumberFormat="1" applyFont="1" applyFill="1" applyAlignment="1">
      <alignment horizontal="center" vertical="center" wrapText="1"/>
    </xf>
    <xf numFmtId="165" fontId="5" fillId="8" borderId="0" xfId="0" quotePrefix="1" applyNumberFormat="1" applyFont="1" applyFill="1" applyAlignment="1">
      <alignment horizontal="center" vertical="center" wrapText="1"/>
    </xf>
    <xf numFmtId="0" fontId="15" fillId="0" borderId="0" xfId="4" applyFont="1"/>
    <xf numFmtId="10" fontId="7" fillId="5" borderId="0" xfId="4" quotePrefix="1" applyNumberFormat="1" applyFont="1" applyFill="1" applyAlignment="1">
      <alignment horizontal="center"/>
    </xf>
    <xf numFmtId="15" fontId="5" fillId="5" borderId="0" xfId="4" applyNumberFormat="1" applyFont="1" applyFill="1" applyAlignment="1">
      <alignment horizontal="left"/>
    </xf>
    <xf numFmtId="15" fontId="5" fillId="0" borderId="0" xfId="4" quotePrefix="1" applyNumberFormat="1" applyFont="1" applyAlignment="1">
      <alignment horizontal="left"/>
    </xf>
    <xf numFmtId="0" fontId="16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7" fillId="0" borderId="1" xfId="0" quotePrefix="1" applyNumberFormat="1" applyFont="1" applyBorder="1" applyAlignment="1">
      <alignment horizontal="left"/>
    </xf>
    <xf numFmtId="165" fontId="17" fillId="0" borderId="3" xfId="0" quotePrefix="1" applyNumberFormat="1" applyFont="1" applyBorder="1" applyAlignment="1">
      <alignment horizontal="left"/>
    </xf>
    <xf numFmtId="165" fontId="18" fillId="0" borderId="4" xfId="0" applyNumberFormat="1" applyFont="1" applyBorder="1" applyAlignment="1"/>
    <xf numFmtId="165" fontId="17" fillId="0" borderId="1" xfId="0" applyNumberFormat="1" applyFont="1" applyBorder="1" applyAlignment="1"/>
    <xf numFmtId="165" fontId="17" fillId="0" borderId="3" xfId="0" applyNumberFormat="1" applyFont="1" applyBorder="1" applyAlignment="1"/>
    <xf numFmtId="165" fontId="18" fillId="0" borderId="0" xfId="0" applyNumberFormat="1" applyFont="1" applyAlignment="1">
      <alignment horizontal="left"/>
    </xf>
    <xf numFmtId="0" fontId="5" fillId="4" borderId="0" xfId="4" quotePrefix="1" applyFont="1" applyFill="1" applyAlignment="1">
      <alignment horizontal="center"/>
    </xf>
    <xf numFmtId="0" fontId="5" fillId="9" borderId="0" xfId="4" quotePrefix="1" applyFont="1" applyFill="1" applyAlignment="1">
      <alignment horizontal="center"/>
    </xf>
    <xf numFmtId="0" fontId="5" fillId="3" borderId="0" xfId="4" applyFont="1" applyFill="1" applyAlignment="1">
      <alignment horizontal="center"/>
    </xf>
    <xf numFmtId="165" fontId="5" fillId="9" borderId="0" xfId="0" quotePrefix="1" applyNumberFormat="1" applyFont="1" applyFill="1" applyAlignment="1">
      <alignment horizontal="center"/>
    </xf>
    <xf numFmtId="0" fontId="5" fillId="0" borderId="0" xfId="4" applyFont="1" applyAlignment="1">
      <alignment horizontal="center"/>
    </xf>
    <xf numFmtId="0" fontId="5" fillId="7" borderId="0" xfId="4" quotePrefix="1" applyFont="1" applyFill="1" applyAlignment="1">
      <alignment horizontal="center"/>
    </xf>
    <xf numFmtId="0" fontId="5" fillId="7" borderId="0" xfId="4" applyFont="1" applyFill="1" applyAlignment="1">
      <alignment horizontal="center"/>
    </xf>
    <xf numFmtId="0" fontId="5" fillId="9" borderId="0" xfId="4" applyFont="1" applyFill="1" applyAlignment="1">
      <alignment horizontal="center"/>
    </xf>
    <xf numFmtId="165" fontId="17" fillId="0" borderId="2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</cellXfs>
  <cellStyles count="37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urrency" xfId="2" builtinId="4"/>
    <cellStyle name="Normal" xfId="0" builtinId="0"/>
    <cellStyle name="Normal 2" xfId="27"/>
    <cellStyle name="Normal 2 2" xfId="28"/>
    <cellStyle name="Normal 2 3" xfId="29"/>
    <cellStyle name="Normal 2 4" xfId="30"/>
    <cellStyle name="Normal 2 5" xfId="31"/>
    <cellStyle name="Normal 3" xfId="32"/>
    <cellStyle name="Normal 4" xfId="33"/>
    <cellStyle name="Normal 5" xfId="34"/>
    <cellStyle name="Normal 6" xfId="35"/>
    <cellStyle name="Normal 7" xfId="36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20" fmlaRange="CONTROL!$B$20:$B$22" sel="2" val="0"/>
</file>

<file path=xl/ctrlProps/ctrlProp2.xml><?xml version="1.0" encoding="utf-8"?>
<formControlPr xmlns="http://schemas.microsoft.com/office/spreadsheetml/2009/9/main" objectType="Drop" dropLines="2" dropStyle="combo" dx="18" fmlaLink="CONTROL!$C$37" fmlaRange="CONTROL!$B$37:$B$38" val="0"/>
</file>

<file path=xl/ctrlProps/ctrlProp3.xml><?xml version="1.0" encoding="utf-8"?>
<formControlPr xmlns="http://schemas.microsoft.com/office/spreadsheetml/2009/9/main" objectType="Drop" dropLines="3" dropStyle="combo" dx="18" fmlaLink="CONTROL!$C$14" fmlaRange="CONTROL!$B$14:$B$16" sel="2" val="0"/>
</file>

<file path=xl/ctrlProps/ctrlProp4.xml><?xml version="1.0" encoding="utf-8"?>
<formControlPr xmlns="http://schemas.microsoft.com/office/spreadsheetml/2009/9/main" objectType="Drop" dropLines="2" dropStyle="combo" dx="18" fmlaLink="CONTROL!$C$33" fmlaRange="CONTROL!$B$33:$B$34" val="0"/>
</file>

<file path=xl/ctrlProps/ctrlProp5.xml><?xml version="1.0" encoding="utf-8"?>
<formControlPr xmlns="http://schemas.microsoft.com/office/spreadsheetml/2009/9/main" objectType="Drop" dropLines="3" dropStyle="combo" dx="18" fmlaLink="CONTROL!$C$27" fmlaRange="CONTROL!$B$27:$B$29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533400</xdr:colOff>
          <xdr:row>14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12</xdr:row>
          <xdr:rowOff>180975</xdr:rowOff>
        </xdr:from>
        <xdr:to>
          <xdr:col>6</xdr:col>
          <xdr:colOff>257175</xdr:colOff>
          <xdr:row>14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171450</xdr:rowOff>
        </xdr:from>
        <xdr:to>
          <xdr:col>2</xdr:col>
          <xdr:colOff>666750</xdr:colOff>
          <xdr:row>12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171450</xdr:rowOff>
        </xdr:from>
        <xdr:to>
          <xdr:col>4</xdr:col>
          <xdr:colOff>371475</xdr:colOff>
          <xdr:row>12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38100</xdr:rowOff>
        </xdr:from>
        <xdr:to>
          <xdr:col>6</xdr:col>
          <xdr:colOff>381000</xdr:colOff>
          <xdr:row>13</xdr:row>
          <xdr:rowOff>133350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8.%20August\140805%202014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R1164"/>
  <sheetViews>
    <sheetView tabSelected="1" zoomScale="70" zoomScaleNormal="70" workbookViewId="0">
      <pane xSplit="1" ySplit="17" topLeftCell="B18" activePane="bottomRight" state="frozen"/>
      <selection activeCell="J39" sqref="J39"/>
      <selection pane="topRight" activeCell="J39" sqref="J39"/>
      <selection pane="bottomLeft" activeCell="J39" sqref="J39"/>
      <selection pane="bottomRight" activeCell="A6" sqref="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10.21875" style="1" customWidth="1"/>
    <col min="20" max="20" width="11.77734375" style="1" customWidth="1"/>
    <col min="21" max="21" width="7.109375" style="1" customWidth="1"/>
    <col min="22" max="22" width="8.77734375" style="1" customWidth="1"/>
    <col min="23" max="23" width="9.21875" style="1" customWidth="1"/>
    <col min="24" max="24" width="11.77734375" style="1" customWidth="1"/>
    <col min="25" max="25" width="7.109375" style="1" customWidth="1"/>
    <col min="26" max="26" width="9.21875" style="1" customWidth="1"/>
    <col min="27" max="27" width="9.33203125" style="1" customWidth="1"/>
    <col min="28" max="28" width="8.21875" style="1" customWidth="1"/>
    <col min="29" max="29" width="9" style="1" customWidth="1"/>
    <col min="30" max="16384" width="7.109375" style="1"/>
  </cols>
  <sheetData>
    <row r="1" spans="1:18" ht="15.75">
      <c r="A1" s="79" t="s">
        <v>64</v>
      </c>
    </row>
    <row r="2" spans="1:18" ht="15.75">
      <c r="A2" s="79" t="s">
        <v>65</v>
      </c>
    </row>
    <row r="3" spans="1:18" ht="15.75">
      <c r="A3" s="79" t="s">
        <v>66</v>
      </c>
    </row>
    <row r="4" spans="1:18" ht="15.75">
      <c r="A4" s="79" t="s">
        <v>67</v>
      </c>
    </row>
    <row r="5" spans="1:18" ht="15.75">
      <c r="A5" s="79" t="s">
        <v>73</v>
      </c>
    </row>
    <row r="6" spans="1:18" ht="15.75">
      <c r="A6" s="79" t="s">
        <v>68</v>
      </c>
    </row>
    <row r="9" spans="1:18" ht="24.75" customHeight="1">
      <c r="A9" s="26" t="s">
        <v>25</v>
      </c>
    </row>
    <row r="10" spans="1:18" ht="15" customHeight="1">
      <c r="A10" s="25" t="s">
        <v>24</v>
      </c>
    </row>
    <row r="11" spans="1:18" ht="15" customHeight="1">
      <c r="A11" s="1"/>
      <c r="G11" s="24"/>
      <c r="N11" s="23"/>
    </row>
    <row r="12" spans="1:18" ht="15" customHeight="1">
      <c r="C12" s="22" t="s">
        <v>23</v>
      </c>
      <c r="D12" s="21">
        <f>1-0.209</f>
        <v>0.79100000000000004</v>
      </c>
      <c r="E12" s="22" t="s">
        <v>22</v>
      </c>
      <c r="F12" s="21">
        <f>1+0.209</f>
        <v>1.2090000000000001</v>
      </c>
    </row>
    <row r="13" spans="1:18" ht="15" customHeight="1">
      <c r="A13" s="1"/>
    </row>
    <row r="14" spans="1:18" ht="15" customHeight="1">
      <c r="D14" s="9"/>
      <c r="E14" s="9"/>
      <c r="F14" s="9"/>
      <c r="G14" s="9"/>
      <c r="I14" s="9"/>
      <c r="K14" s="20"/>
      <c r="L14" s="80" t="s">
        <v>21</v>
      </c>
      <c r="M14" s="80"/>
      <c r="N14" s="80"/>
      <c r="O14" s="80"/>
      <c r="P14" s="80"/>
      <c r="Q14" s="80"/>
      <c r="R14" s="80"/>
    </row>
    <row r="15" spans="1:18" ht="15" customHeight="1">
      <c r="B15" s="9"/>
      <c r="C15" s="9"/>
      <c r="D15" s="9"/>
      <c r="E15" s="9"/>
      <c r="F15" s="9"/>
      <c r="G15" s="9"/>
      <c r="I15" s="9"/>
      <c r="K15" s="19"/>
      <c r="L15" s="80" t="s">
        <v>20</v>
      </c>
      <c r="M15" s="80"/>
      <c r="N15" s="80"/>
      <c r="O15" s="80"/>
      <c r="P15" s="80"/>
      <c r="Q15" s="80"/>
      <c r="R15" s="80"/>
    </row>
    <row r="16" spans="1:18" s="14" customFormat="1" ht="112.5" customHeight="1">
      <c r="B16" s="17" t="s">
        <v>19</v>
      </c>
      <c r="C16" s="17" t="s">
        <v>18</v>
      </c>
      <c r="D16" s="17" t="s">
        <v>17</v>
      </c>
      <c r="E16" s="17" t="s">
        <v>16</v>
      </c>
      <c r="F16" s="16" t="s">
        <v>15</v>
      </c>
      <c r="G16" s="17" t="s">
        <v>14</v>
      </c>
      <c r="H16" s="16" t="s">
        <v>13</v>
      </c>
      <c r="I16" s="17" t="s">
        <v>12</v>
      </c>
      <c r="J16" s="16" t="s">
        <v>11</v>
      </c>
      <c r="K16" s="18" t="s">
        <v>10</v>
      </c>
      <c r="L16" s="15" t="s">
        <v>9</v>
      </c>
      <c r="M16" s="15" t="s">
        <v>8</v>
      </c>
      <c r="N16" s="15" t="s">
        <v>7</v>
      </c>
      <c r="O16" s="15" t="s">
        <v>6</v>
      </c>
      <c r="P16" s="15" t="s">
        <v>5</v>
      </c>
      <c r="Q16" s="15" t="s">
        <v>4</v>
      </c>
      <c r="R16" s="15" t="s">
        <v>3</v>
      </c>
    </row>
    <row r="17" spans="1:18" s="14" customFormat="1" ht="15" customHeight="1">
      <c r="A17" s="16" t="s">
        <v>2</v>
      </c>
      <c r="B17" s="17" t="s">
        <v>1</v>
      </c>
      <c r="C17" s="17" t="s">
        <v>1</v>
      </c>
      <c r="D17" s="17" t="s">
        <v>1</v>
      </c>
      <c r="E17" s="17" t="s">
        <v>1</v>
      </c>
      <c r="F17" s="16" t="s">
        <v>1</v>
      </c>
      <c r="G17" s="17" t="s">
        <v>1</v>
      </c>
      <c r="H17" s="16" t="s">
        <v>1</v>
      </c>
      <c r="I17" s="17" t="s">
        <v>1</v>
      </c>
      <c r="J17" s="16" t="s">
        <v>1</v>
      </c>
      <c r="K17" s="16" t="s">
        <v>1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</row>
    <row r="18" spans="1:18" ht="15" customHeight="1">
      <c r="A18" s="11">
        <v>41640</v>
      </c>
      <c r="B18" s="7">
        <v>4.5403508981821297</v>
      </c>
      <c r="C18" s="7">
        <v>4.5453053729014501</v>
      </c>
      <c r="D18" s="7">
        <v>4.5474406031906298</v>
      </c>
      <c r="E18" s="10">
        <v>4.5470654716081098</v>
      </c>
      <c r="F18" s="4">
        <v>5.2054822160436602</v>
      </c>
      <c r="G18" s="7">
        <v>4.5299185954854799</v>
      </c>
      <c r="H18" s="4">
        <v>5.1810010193679901</v>
      </c>
      <c r="I18" s="7">
        <v>4.5333202317294603</v>
      </c>
      <c r="J18" s="4">
        <v>4.407</v>
      </c>
      <c r="K18" s="4">
        <v>4.4959996929375601</v>
      </c>
      <c r="L18" s="8">
        <v>29.253942540000001</v>
      </c>
      <c r="M18" s="8">
        <v>12.063650000000001</v>
      </c>
      <c r="N18" s="8">
        <v>4.9444999999999997</v>
      </c>
      <c r="O18" s="8">
        <v>0.71033400000000002</v>
      </c>
      <c r="P18" s="8">
        <v>0.77903628000000003</v>
      </c>
      <c r="Q18" s="8"/>
      <c r="R18" s="8">
        <v>0.4</v>
      </c>
    </row>
    <row r="19" spans="1:18" ht="15" customHeight="1">
      <c r="A19" s="11">
        <v>41671</v>
      </c>
      <c r="B19" s="7">
        <v>5.7253939823975104</v>
      </c>
      <c r="C19" s="7">
        <v>5.7303484571168299</v>
      </c>
      <c r="D19" s="7">
        <v>5.7503593719377601</v>
      </c>
      <c r="E19" s="10">
        <v>5.7440587165890404</v>
      </c>
      <c r="F19" s="4">
        <v>6.4008229009180804</v>
      </c>
      <c r="G19" s="7">
        <v>5.7195685555344298</v>
      </c>
      <c r="H19" s="4">
        <v>6.3642786331106604</v>
      </c>
      <c r="I19" s="7">
        <v>5.77879893816087</v>
      </c>
      <c r="J19" s="4">
        <v>5.55779533908155</v>
      </c>
      <c r="K19" s="4">
        <v>5.6800276756208303</v>
      </c>
      <c r="L19" s="8">
        <v>26.512149040000001</v>
      </c>
      <c r="M19" s="8">
        <v>10.8962</v>
      </c>
      <c r="N19" s="8">
        <v>4.4660000000000002</v>
      </c>
      <c r="O19" s="8">
        <v>0.64159200000000005</v>
      </c>
      <c r="P19" s="8">
        <v>0.77903628000000003</v>
      </c>
      <c r="Q19" s="8"/>
      <c r="R19" s="8">
        <v>0.4</v>
      </c>
    </row>
    <row r="20" spans="1:18" ht="15" customHeight="1">
      <c r="A20" s="11">
        <v>41699</v>
      </c>
      <c r="B20" s="7">
        <v>5.0025024161324501</v>
      </c>
      <c r="C20" s="7">
        <v>5.0074568908517696</v>
      </c>
      <c r="D20" s="7">
        <v>5.0614249041503099</v>
      </c>
      <c r="E20" s="10">
        <v>5.0429066154505398</v>
      </c>
      <c r="F20" s="4">
        <v>5.7088241366301604</v>
      </c>
      <c r="G20" s="7">
        <v>5.0372470232526201</v>
      </c>
      <c r="H20" s="4">
        <v>5.6792633425907804</v>
      </c>
      <c r="I20" s="7">
        <v>5.0444680614808997</v>
      </c>
      <c r="J20" s="4">
        <v>4.85579533908155</v>
      </c>
      <c r="K20" s="4">
        <v>4.9655957411274896</v>
      </c>
      <c r="L20" s="8">
        <v>29.394616540000001</v>
      </c>
      <c r="M20" s="8">
        <v>12.063650000000001</v>
      </c>
      <c r="N20" s="8">
        <v>4.9444999999999997</v>
      </c>
      <c r="O20" s="8">
        <v>0.71033400000000002</v>
      </c>
      <c r="P20" s="8">
        <v>0.77903628000000003</v>
      </c>
      <c r="Q20" s="8"/>
      <c r="R20" s="8">
        <v>0.4</v>
      </c>
    </row>
    <row r="21" spans="1:18" ht="15" customHeight="1">
      <c r="A21" s="11">
        <v>41730</v>
      </c>
      <c r="B21" s="7">
        <v>4.7242193852928898</v>
      </c>
      <c r="C21" s="7">
        <v>4.7285916418283396</v>
      </c>
      <c r="D21" s="7">
        <v>4.8068059613357903</v>
      </c>
      <c r="E21" s="10">
        <v>4.7822326339714403</v>
      </c>
      <c r="F21" s="4">
        <v>5.4863959623947602</v>
      </c>
      <c r="G21" s="7">
        <v>4.7603316510110698</v>
      </c>
      <c r="H21" s="4">
        <v>5.4590798563522398</v>
      </c>
      <c r="I21" s="7">
        <v>4.7562598941315004</v>
      </c>
      <c r="J21" s="4">
        <v>4.5847953390815501</v>
      </c>
      <c r="K21" s="4">
        <v>4.68923954870169</v>
      </c>
      <c r="L21" s="8">
        <v>30.193848039999999</v>
      </c>
      <c r="M21" s="8">
        <v>11.6745</v>
      </c>
      <c r="N21" s="8">
        <v>4.7850000000000001</v>
      </c>
      <c r="O21" s="8">
        <v>0.68742000000000003</v>
      </c>
      <c r="P21" s="8">
        <v>0.77903628000000003</v>
      </c>
      <c r="Q21" s="8"/>
      <c r="R21" s="8">
        <v>0.3</v>
      </c>
    </row>
    <row r="22" spans="1:18" ht="15" customHeight="1">
      <c r="A22" s="11">
        <v>41760</v>
      </c>
      <c r="B22" s="7">
        <v>4.9381176608916197</v>
      </c>
      <c r="C22" s="7">
        <v>4.9461153623711702</v>
      </c>
      <c r="D22" s="7">
        <v>5.0065241995266598</v>
      </c>
      <c r="E22" s="10">
        <v>4.99187975990304</v>
      </c>
      <c r="F22" s="4">
        <v>5.7148753737689901</v>
      </c>
      <c r="G22" s="7">
        <v>4.9585702312142796</v>
      </c>
      <c r="H22" s="4">
        <v>5.93206327334065</v>
      </c>
      <c r="I22" s="7">
        <v>4.9481720595449401</v>
      </c>
      <c r="J22" s="4">
        <v>4.7961753344205196</v>
      </c>
      <c r="K22" s="4">
        <v>4.8989427169094304</v>
      </c>
      <c r="L22" s="8">
        <v>32.596418040000003</v>
      </c>
      <c r="M22" s="8">
        <v>12.063650000000001</v>
      </c>
      <c r="N22" s="8">
        <v>4.9444999999999997</v>
      </c>
      <c r="O22" s="8">
        <v>0.71033400000000002</v>
      </c>
      <c r="P22" s="8">
        <v>0.80500415599999997</v>
      </c>
      <c r="Q22" s="8"/>
      <c r="R22" s="8">
        <v>0.3</v>
      </c>
    </row>
    <row r="23" spans="1:18" ht="15" customHeight="1">
      <c r="A23" s="11">
        <v>41791</v>
      </c>
      <c r="B23" s="7">
        <f>CHOOSE( CONTROL!$C$37, 4.7568, 4.7551) * CHOOSE(CONTROL!$C$20, $D$12, 100%, $F$12)</f>
        <v>4.7568000000000001</v>
      </c>
      <c r="C23" s="7">
        <f>CHOOSE( CONTROL!$C$37, 4.7648, 4.7631) * CHOOSE(CONTROL!$C$20, $D$12, 100%, $F$12)</f>
        <v>4.7648000000000001</v>
      </c>
      <c r="D23" s="7">
        <f>CHOOSE( CONTROL!$C$37, 4.7931, 4.7914) * CHOOSE( CONTROL!$C$20, $D$12, 100%, $F$12)</f>
        <v>4.7930999999999999</v>
      </c>
      <c r="E23" s="10">
        <f>CHOOSE( CONTROL!$C$37, 4.7821, 4.7804) * CHOOSE( CONTROL!$C$20, $D$12, 100%, $F$12)</f>
        <v>4.7820999999999998</v>
      </c>
      <c r="F23" s="4">
        <f>CHOOSE( CONTROL!$C$37, 5.5002, 5.4985) * CHOOSE(CONTROL!$C$20, $D$12, 100%, $F$12)</f>
        <v>5.5002000000000004</v>
      </c>
      <c r="G23" s="7">
        <f>CHOOSE( CONTROL!$C$37, 4.7599, 4.7583) * CHOOSE( CONTROL!$C$20, $D$12, 100%, $F$12)</f>
        <v>4.7599</v>
      </c>
      <c r="H23" s="4">
        <f>CHOOSE( CONTROL!$C$37, 5.6973, 5.6956) * CHOOSE(CONTROL!$C$20, $D$12, 100%, $F$12)</f>
        <v>5.6973000000000003</v>
      </c>
      <c r="I23" s="7">
        <f>CHOOSE( CONTROL!$C$37, 4.752, 4.7504) * CHOOSE(CONTROL!$C$20, $D$12, 100%, $F$12)</f>
        <v>4.7519999999999998</v>
      </c>
      <c r="J23" s="4">
        <f>CHOOSE( CONTROL!$C$37, 4.6206, 4.619) * CHOOSE(CONTROL!$C$20, $D$12, 100%, $F$12)</f>
        <v>4.6205999999999996</v>
      </c>
      <c r="K23" s="4">
        <f>CHOOSE( CONTROL!$C$37, 4.7131, 4.7115) * CHOOSE(CONTROL!$C$20, $D$12, 100%, $F$12)</f>
        <v>4.7130999999999998</v>
      </c>
      <c r="L23" s="8">
        <v>30.775700000000001</v>
      </c>
      <c r="M23" s="8">
        <v>11.6745</v>
      </c>
      <c r="N23" s="8">
        <v>4.3724999999999996</v>
      </c>
      <c r="O23" s="8">
        <v>0.59589999999999999</v>
      </c>
      <c r="P23" s="8">
        <v>0.78300000000000003</v>
      </c>
      <c r="Q23" s="8"/>
      <c r="R23" s="8">
        <v>0.3</v>
      </c>
    </row>
    <row r="24" spans="1:18" ht="15" customHeight="1">
      <c r="A24" s="11">
        <v>41821</v>
      </c>
      <c r="B24" s="7">
        <f>CHOOSE( CONTROL!$C$37, 4.5306, 4.529) * CHOOSE(CONTROL!$C$20, $D$12, 100%, $F$12)</f>
        <v>4.5305999999999997</v>
      </c>
      <c r="C24" s="7">
        <f>CHOOSE( CONTROL!$C$37, 4.5386, 4.537) * CHOOSE(CONTROL!$C$20, $D$12, 100%, $F$12)</f>
        <v>4.5385999999999997</v>
      </c>
      <c r="D24" s="7">
        <f>CHOOSE( CONTROL!$C$37, 4.5808, 4.5791) * CHOOSE( CONTROL!$C$20, $D$12, 100%, $F$12)</f>
        <v>4.5808</v>
      </c>
      <c r="E24" s="10">
        <f>CHOOSE( CONTROL!$C$37, 4.5649, 4.5632) * CHOOSE( CONTROL!$C$20, $D$12, 100%, $F$12)</f>
        <v>4.5648999999999997</v>
      </c>
      <c r="F24" s="4">
        <f>CHOOSE( CONTROL!$C$37, 5.2854, 5.2837) * CHOOSE(CONTROL!$C$20, $D$12, 100%, $F$12)</f>
        <v>5.2854000000000001</v>
      </c>
      <c r="G24" s="7">
        <f>CHOOSE( CONTROL!$C$37, 4.5508, 4.5492) * CHOOSE( CONTROL!$C$20, $D$12, 100%, $F$12)</f>
        <v>4.5507999999999997</v>
      </c>
      <c r="H24" s="4">
        <f>CHOOSE( CONTROL!$C$37, 5.4855, 5.4838) * CHOOSE(CONTROL!$C$20, $D$12, 100%, $F$12)</f>
        <v>5.4855</v>
      </c>
      <c r="I24" s="7">
        <f>CHOOSE( CONTROL!$C$37, 4.5446, 4.543) * CHOOSE(CONTROL!$C$20, $D$12, 100%, $F$12)</f>
        <v>4.5446</v>
      </c>
      <c r="J24" s="4">
        <f>CHOOSE( CONTROL!$C$37, 4.4016, 4.4) * CHOOSE(CONTROL!$C$20, $D$12, 100%, $F$12)</f>
        <v>4.4016000000000002</v>
      </c>
      <c r="K24" s="4">
        <f>CHOOSE( CONTROL!$C$37, 4.5094, 4.5078) * CHOOSE(CONTROL!$C$20, $D$12, 100%, $F$12)</f>
        <v>4.5094000000000003</v>
      </c>
      <c r="L24" s="8">
        <v>31.801500000000001</v>
      </c>
      <c r="M24" s="8">
        <v>12.063700000000001</v>
      </c>
      <c r="N24" s="8">
        <v>4.5183</v>
      </c>
      <c r="O24" s="8">
        <v>0.61570000000000003</v>
      </c>
      <c r="P24" s="8">
        <v>0.80910000000000004</v>
      </c>
      <c r="Q24" s="8"/>
      <c r="R24" s="8">
        <f t="shared" ref="R24:R57" si="0">(0.12*2500000)/1000000</f>
        <v>0.3</v>
      </c>
    </row>
    <row r="25" spans="1:18" ht="15" customHeight="1">
      <c r="A25" s="11">
        <v>41852</v>
      </c>
      <c r="B25" s="7">
        <f>CHOOSE( CONTROL!$C$37, 3.9193, 3.9176) * CHOOSE(CONTROL!$C$20, $D$12, 100%, $F$12)</f>
        <v>3.9192999999999998</v>
      </c>
      <c r="C25" s="7">
        <f>CHOOSE( CONTROL!$C$37, 3.9273, 3.9256) * CHOOSE(CONTROL!$C$20, $D$12, 100%, $F$12)</f>
        <v>3.9272999999999998</v>
      </c>
      <c r="D25" s="7">
        <f>CHOOSE( CONTROL!$C$37, 3.9347, 3.933) * CHOOSE( CONTROL!$C$20, $D$12, 100%, $F$12)</f>
        <v>3.9346999999999999</v>
      </c>
      <c r="E25" s="10">
        <f>CHOOSE( CONTROL!$C$37, 3.9309, 3.9292) * CHOOSE( CONTROL!$C$20, $D$12, 100%, $F$12)</f>
        <v>3.9308999999999998</v>
      </c>
      <c r="F25" s="4">
        <f>CHOOSE( CONTROL!$C$37, 4.6006, 4.599) * CHOOSE(CONTROL!$C$20, $D$12, 100%, $F$12)</f>
        <v>4.6006</v>
      </c>
      <c r="G25" s="7">
        <f>CHOOSE( CONTROL!$C$37, 3.9104, 3.9088) * CHOOSE( CONTROL!$C$20, $D$12, 100%, $F$12)</f>
        <v>3.9104000000000001</v>
      </c>
      <c r="H25" s="4">
        <f>CHOOSE( CONTROL!$C$37, 4.8103, 4.8087) * CHOOSE(CONTROL!$C$20, $D$12, 100%, $F$12)</f>
        <v>4.8102999999999998</v>
      </c>
      <c r="I25" s="7">
        <f>CHOOSE( CONTROL!$C$37, 3.9352, 3.9336) * CHOOSE(CONTROL!$C$20, $D$12, 100%, $F$12)</f>
        <v>3.9352</v>
      </c>
      <c r="J25" s="4">
        <f>CHOOSE( CONTROL!$C$37, 3.8096, 3.808) * CHOOSE(CONTROL!$C$20, $D$12, 100%, $F$12)</f>
        <v>3.8096000000000001</v>
      </c>
      <c r="K25" s="4">
        <f>CHOOSE( CONTROL!$C$37, 3.9009, 3.8993) * CHOOSE(CONTROL!$C$20, $D$12, 100%, $F$12)</f>
        <v>3.9009</v>
      </c>
      <c r="L25" s="8">
        <v>31.801500000000001</v>
      </c>
      <c r="M25" s="8">
        <v>12.063700000000001</v>
      </c>
      <c r="N25" s="8">
        <v>4.5183</v>
      </c>
      <c r="O25" s="8">
        <v>0.61570000000000003</v>
      </c>
      <c r="P25" s="8">
        <v>0.80910000000000004</v>
      </c>
      <c r="Q25" s="8"/>
      <c r="R25" s="8">
        <f t="shared" si="0"/>
        <v>0.3</v>
      </c>
    </row>
    <row r="26" spans="1:18" ht="15" customHeight="1">
      <c r="A26" s="11">
        <v>41883</v>
      </c>
      <c r="B26" s="7">
        <f>CHOOSE( CONTROL!$C$37, 3.9461, 3.9444) * CHOOSE(CONTROL!$C$20, $D$12, 100%, $F$12)</f>
        <v>3.9460999999999999</v>
      </c>
      <c r="C26" s="7">
        <f>CHOOSE( CONTROL!$C$37, 3.9541, 3.9524) * CHOOSE(CONTROL!$C$20, $D$12, 100%, $F$12)</f>
        <v>3.9540999999999999</v>
      </c>
      <c r="D26" s="7">
        <f>CHOOSE( CONTROL!$C$37, 3.9565, 3.9549) * CHOOSE( CONTROL!$C$20, $D$12, 100%, $F$12)</f>
        <v>3.9565000000000001</v>
      </c>
      <c r="E26" s="10">
        <f>CHOOSE( CONTROL!$C$37, 3.9545, 3.9529) * CHOOSE( CONTROL!$C$20, $D$12, 100%, $F$12)</f>
        <v>3.9544999999999999</v>
      </c>
      <c r="F26" s="4">
        <f>CHOOSE( CONTROL!$C$37, 4.6198, 4.6181) * CHOOSE(CONTROL!$C$20, $D$12, 100%, $F$12)</f>
        <v>4.6197999999999997</v>
      </c>
      <c r="G26" s="7">
        <f>CHOOSE( CONTROL!$C$37, 3.932, 3.9304) * CHOOSE( CONTROL!$C$20, $D$12, 100%, $F$12)</f>
        <v>3.9319999999999999</v>
      </c>
      <c r="H26" s="4">
        <f>CHOOSE( CONTROL!$C$37, 4.8291, 4.8275) * CHOOSE(CONTROL!$C$20, $D$12, 100%, $F$12)</f>
        <v>4.8291000000000004</v>
      </c>
      <c r="I26" s="7">
        <f>CHOOSE( CONTROL!$C$37, 3.9466, 3.945) * CHOOSE(CONTROL!$C$20, $D$12, 100%, $F$12)</f>
        <v>3.9466000000000001</v>
      </c>
      <c r="J26" s="4">
        <f>CHOOSE( CONTROL!$C$37, 3.8356, 3.834) * CHOOSE(CONTROL!$C$20, $D$12, 100%, $F$12)</f>
        <v>3.8355999999999999</v>
      </c>
      <c r="K26" s="4">
        <f>CHOOSE( CONTROL!$C$37, 3.9188, 3.9172) * CHOOSE(CONTROL!$C$20, $D$12, 100%, $F$12)</f>
        <v>3.9188000000000001</v>
      </c>
      <c r="L26" s="8">
        <v>30.775700000000001</v>
      </c>
      <c r="M26" s="8">
        <v>11.6745</v>
      </c>
      <c r="N26" s="8">
        <v>4.3724999999999996</v>
      </c>
      <c r="O26" s="8">
        <v>0.59589999999999999</v>
      </c>
      <c r="P26" s="8">
        <v>0.78300000000000003</v>
      </c>
      <c r="Q26" s="8"/>
      <c r="R26" s="8">
        <f t="shared" si="0"/>
        <v>0.3</v>
      </c>
    </row>
    <row r="27" spans="1:18" ht="15" customHeight="1">
      <c r="A27" s="11">
        <v>41913</v>
      </c>
      <c r="B27" s="7">
        <f>CHOOSE( CONTROL!$C$37, 3.9696, 3.9685) * CHOOSE(CONTROL!$C$20, $D$12, 100%, $F$12)</f>
        <v>3.9695999999999998</v>
      </c>
      <c r="C27" s="7">
        <f>CHOOSE( CONTROL!$C$37, 3.975, 3.9739) * CHOOSE(CONTROL!$C$20, $D$12, 100%, $F$12)</f>
        <v>3.9750000000000001</v>
      </c>
      <c r="D27" s="7">
        <f>CHOOSE( CONTROL!$C$37, 3.9757, 3.9746) * CHOOSE( CONTROL!$C$20, $D$12, 100%, $F$12)</f>
        <v>3.9756999999999998</v>
      </c>
      <c r="E27" s="10">
        <f>CHOOSE( CONTROL!$C$37, 3.9749, 3.9738) * CHOOSE( CONTROL!$C$20, $D$12, 100%, $F$12)</f>
        <v>3.9748999999999999</v>
      </c>
      <c r="F27" s="4">
        <f>CHOOSE( CONTROL!$C$37, 4.6295, 4.6284) * CHOOSE(CONTROL!$C$20, $D$12, 100%, $F$12)</f>
        <v>4.6295000000000002</v>
      </c>
      <c r="G27" s="7">
        <f>CHOOSE( CONTROL!$C$37, 3.9432, 3.9421) * CHOOSE( CONTROL!$C$20, $D$12, 100%, $F$12)</f>
        <v>3.9432</v>
      </c>
      <c r="H27" s="4">
        <f>CHOOSE( CONTROL!$C$37, 4.8388, 4.8377) * CHOOSE(CONTROL!$C$20, $D$12, 100%, $F$12)</f>
        <v>4.8388</v>
      </c>
      <c r="I27" s="7">
        <f>CHOOSE( CONTROL!$C$37, 3.9743, 3.9733) * CHOOSE(CONTROL!$C$20, $D$12, 100%, $F$12)</f>
        <v>3.9742999999999999</v>
      </c>
      <c r="J27" s="4">
        <f>CHOOSE( CONTROL!$C$37, 3.8601, 3.859) * CHOOSE(CONTROL!$C$20, $D$12, 100%, $F$12)</f>
        <v>3.8601000000000001</v>
      </c>
      <c r="K27" s="4">
        <f>CHOOSE( CONTROL!$C$37, 3.9439, 3.9428) * CHOOSE(CONTROL!$C$20, $D$12, 100%, $F$12)</f>
        <v>3.9439000000000002</v>
      </c>
      <c r="L27" s="8">
        <v>30.661300000000001</v>
      </c>
      <c r="M27" s="8">
        <v>12.063700000000001</v>
      </c>
      <c r="N27" s="8">
        <v>4.9444999999999997</v>
      </c>
      <c r="O27" s="8">
        <v>0.61570000000000003</v>
      </c>
      <c r="P27" s="8">
        <v>0.80910000000000004</v>
      </c>
      <c r="Q27" s="8"/>
      <c r="R27" s="8">
        <f t="shared" si="0"/>
        <v>0.3</v>
      </c>
    </row>
    <row r="28" spans="1:18" ht="15" customHeight="1">
      <c r="A28" s="11">
        <v>41944</v>
      </c>
      <c r="B28" s="7">
        <f>CHOOSE( CONTROL!$C$37, 4.0384, 4.0373) * CHOOSE(CONTROL!$C$20, $D$12, 100%, $F$12)</f>
        <v>4.0384000000000002</v>
      </c>
      <c r="C28" s="7">
        <f>CHOOSE( CONTROL!$C$37, 4.0435, 4.0424) * CHOOSE(CONTROL!$C$20, $D$12, 100%, $F$12)</f>
        <v>4.0434999999999999</v>
      </c>
      <c r="D28" s="7">
        <f>CHOOSE( CONTROL!$C$37, 4.0441, 4.043) * CHOOSE( CONTROL!$C$20, $D$12, 100%, $F$12)</f>
        <v>4.0441000000000003</v>
      </c>
      <c r="E28" s="10">
        <f>CHOOSE( CONTROL!$C$37, 4.0433, 4.0422) * CHOOSE( CONTROL!$C$20, $D$12, 100%, $F$12)</f>
        <v>4.0433000000000003</v>
      </c>
      <c r="F28" s="4">
        <f>CHOOSE( CONTROL!$C$37, 4.691, 4.6899) * CHOOSE(CONTROL!$C$20, $D$12, 100%, $F$12)</f>
        <v>4.6909999999999998</v>
      </c>
      <c r="G28" s="7">
        <f>CHOOSE( CONTROL!$C$37, 4.0235, 4.0224) * CHOOSE( CONTROL!$C$20, $D$12, 100%, $F$12)</f>
        <v>4.0235000000000003</v>
      </c>
      <c r="H28" s="13">
        <f>CHOOSE( CONTROL!$C$37, 4.8994, 4.8983) * CHOOSE(CONTROL!$C$20, $D$12, 100%, $F$12)</f>
        <v>4.8994</v>
      </c>
      <c r="I28" s="7">
        <f>CHOOSE( CONTROL!$C$37, 4.0767, 4.0757) * CHOOSE(CONTROL!$C$20, $D$12, 100%, $F$12)</f>
        <v>4.0766999999999998</v>
      </c>
      <c r="J28" s="4">
        <f>CHOOSE( CONTROL!$C$37, 3.9271, 3.926) * CHOOSE(CONTROL!$C$20, $D$12, 100%, $F$12)</f>
        <v>3.9270999999999998</v>
      </c>
      <c r="K28" s="4">
        <f>CHOOSE( CONTROL!$C$37, 4.016, 4.0149) * CHOOSE(CONTROL!$C$20, $D$12, 100%, $F$12)</f>
        <v>4.016</v>
      </c>
      <c r="L28" s="8">
        <v>27.9406</v>
      </c>
      <c r="M28" s="8">
        <v>11.6745</v>
      </c>
      <c r="N28" s="8">
        <v>4.7850000000000001</v>
      </c>
      <c r="O28" s="8">
        <v>0.59589999999999999</v>
      </c>
      <c r="P28" s="8">
        <v>0</v>
      </c>
      <c r="Q28" s="8"/>
      <c r="R28" s="8">
        <f t="shared" si="0"/>
        <v>0.3</v>
      </c>
    </row>
    <row r="29" spans="1:18" ht="15" customHeight="1">
      <c r="A29" s="11">
        <v>41974</v>
      </c>
      <c r="B29" s="7">
        <f>CHOOSE( CONTROL!$C$37, 4.1262, 4.1251) * CHOOSE(CONTROL!$C$20, $D$12, 100%, $F$12)</f>
        <v>4.1261999999999999</v>
      </c>
      <c r="C29" s="7">
        <f>CHOOSE( CONTROL!$C$37, 4.1313, 4.1302) * CHOOSE(CONTROL!$C$20, $D$12, 100%, $F$12)</f>
        <v>4.1313000000000004</v>
      </c>
      <c r="D29" s="7">
        <f>CHOOSE( CONTROL!$C$37, 4.1324, 4.1313) * CHOOSE( CONTROL!$C$20, $D$12, 100%, $F$12)</f>
        <v>4.1323999999999996</v>
      </c>
      <c r="E29" s="10">
        <f>CHOOSE( CONTROL!$C$37, 4.1315, 4.1304) * CHOOSE( CONTROL!$C$20, $D$12, 100%, $F$12)</f>
        <v>4.1315</v>
      </c>
      <c r="F29" s="4">
        <f>CHOOSE( CONTROL!$C$37, 4.7787, 4.7776) * CHOOSE(CONTROL!$C$20, $D$12, 100%, $F$12)</f>
        <v>4.7786999999999997</v>
      </c>
      <c r="G29" s="7">
        <f>CHOOSE( CONTROL!$C$37, 4.1105, 4.1094) * CHOOSE( CONTROL!$C$20, $D$12, 100%, $F$12)</f>
        <v>4.1105</v>
      </c>
      <c r="H29" s="4">
        <f>CHOOSE( CONTROL!$C$37, 4.9859, 4.9848) * CHOOSE(CONTROL!$C$20, $D$12, 100%, $F$12)</f>
        <v>4.9859</v>
      </c>
      <c r="I29" s="7">
        <f>CHOOSE( CONTROL!$C$37, 4.1642, 4.1632) * CHOOSE(CONTROL!$C$20, $D$12, 100%, $F$12)</f>
        <v>4.1642000000000001</v>
      </c>
      <c r="J29" s="13">
        <f>CHOOSE( CONTROL!$C$37, 4.0121, 4.011) * CHOOSE(CONTROL!$C$20, $D$12, 100%, $F$12)</f>
        <v>4.0121000000000002</v>
      </c>
      <c r="K29" s="4">
        <f>CHOOSE( CONTROL!$C$37, 4.103, 4.1019) * CHOOSE(CONTROL!$C$20, $D$12, 100%, $F$12)</f>
        <v>4.1029999999999998</v>
      </c>
      <c r="L29" s="8">
        <v>28.872</v>
      </c>
      <c r="M29" s="8">
        <v>12.063700000000001</v>
      </c>
      <c r="N29" s="8">
        <v>4.9444999999999997</v>
      </c>
      <c r="O29" s="8">
        <v>0.61570000000000003</v>
      </c>
      <c r="P29" s="8">
        <v>0</v>
      </c>
      <c r="Q29" s="8"/>
      <c r="R29" s="8">
        <f t="shared" si="0"/>
        <v>0.3</v>
      </c>
    </row>
    <row r="30" spans="1:18" ht="15" customHeight="1">
      <c r="A30" s="11">
        <v>42005</v>
      </c>
      <c r="B30" s="7">
        <f>CHOOSE( CONTROL!$C$37, 4.1995, 4.1984) * CHOOSE(CONTROL!$C$20, $D$12, 100%, $F$12)</f>
        <v>4.1994999999999996</v>
      </c>
      <c r="C30" s="7">
        <f>CHOOSE( CONTROL!$C$37, 4.2046, 4.2035) * CHOOSE(CONTROL!$C$20, $D$12, 100%, $F$12)</f>
        <v>4.2046000000000001</v>
      </c>
      <c r="D30" s="7">
        <f>CHOOSE( CONTROL!$C$37, 4.2061, 4.205) * CHOOSE( CONTROL!$C$20, $D$12, 100%, $F$12)</f>
        <v>4.2061000000000002</v>
      </c>
      <c r="E30" s="10">
        <f>CHOOSE( CONTROL!$C$37, 4.205, 4.2039) * CHOOSE( CONTROL!$C$20, $D$12, 100%, $F$12)</f>
        <v>4.2050000000000001</v>
      </c>
      <c r="F30" s="4">
        <f>CHOOSE( CONTROL!$C$37, 4.8521, 4.851) * CHOOSE(CONTROL!$C$20, $D$12, 100%, $F$12)</f>
        <v>4.8521000000000001</v>
      </c>
      <c r="G30" s="7">
        <f>CHOOSE( CONTROL!$C$37, 4.1832, 4.1821) * CHOOSE( CONTROL!$C$20, $D$12, 100%, $F$12)</f>
        <v>4.1832000000000003</v>
      </c>
      <c r="H30" s="4">
        <f>CHOOSE( CONTROL!$C$37, 5.0582, 5.0571) * CHOOSE(CONTROL!$C$20, $D$12, 100%, $F$12)</f>
        <v>5.0582000000000003</v>
      </c>
      <c r="I30" s="7">
        <f>CHOOSE( CONTROL!$C$37, 4.2373, 4.2362) * CHOOSE(CONTROL!$C$20, $D$12, 100%, $F$12)</f>
        <v>4.2373000000000003</v>
      </c>
      <c r="J30" s="4">
        <f>CHOOSE( CONTROL!$C$37, 4.0831, 4.082) * CHOOSE(CONTROL!$C$20, $D$12, 100%, $F$12)</f>
        <v>4.0831</v>
      </c>
      <c r="K30" s="4">
        <f>CHOOSE( CONTROL!$C$37, 4.1757, 4.1746) * CHOOSE(CONTROL!$C$20, $D$12, 100%, $F$12)</f>
        <v>4.1757</v>
      </c>
      <c r="L30" s="8">
        <v>28.872</v>
      </c>
      <c r="M30" s="8">
        <v>12.063700000000001</v>
      </c>
      <c r="N30" s="8">
        <v>4.9444999999999997</v>
      </c>
      <c r="O30" s="8">
        <v>0.61570000000000003</v>
      </c>
      <c r="P30" s="8">
        <v>0</v>
      </c>
      <c r="Q30" s="8"/>
      <c r="R30" s="8">
        <f t="shared" si="0"/>
        <v>0.3</v>
      </c>
    </row>
    <row r="31" spans="1:18" ht="15" customHeight="1">
      <c r="A31" s="11">
        <v>42036</v>
      </c>
      <c r="B31" s="7">
        <f>CHOOSE( CONTROL!$C$37, 4.1902, 4.1891) * CHOOSE(CONTROL!$C$20, $D$12, 100%, $F$12)</f>
        <v>4.1901999999999999</v>
      </c>
      <c r="C31" s="7">
        <f>CHOOSE( CONTROL!$C$37, 4.1953, 4.1942) * CHOOSE(CONTROL!$C$20, $D$12, 100%, $F$12)</f>
        <v>4.1952999999999996</v>
      </c>
      <c r="D31" s="7">
        <f>CHOOSE( CONTROL!$C$37, 4.1968, 4.1957) * CHOOSE( CONTROL!$C$20, $D$12, 100%, $F$12)</f>
        <v>4.1967999999999996</v>
      </c>
      <c r="E31" s="10">
        <f>CHOOSE( CONTROL!$C$37, 4.1957, 4.1946) * CHOOSE( CONTROL!$C$20, $D$12, 100%, $F$12)</f>
        <v>4.1957000000000004</v>
      </c>
      <c r="F31" s="4">
        <f>CHOOSE( CONTROL!$C$37, 4.8428, 4.8417) * CHOOSE(CONTROL!$C$20, $D$12, 100%, $F$12)</f>
        <v>4.8428000000000004</v>
      </c>
      <c r="G31" s="7">
        <f>CHOOSE( CONTROL!$C$37, 4.174, 4.1729) * CHOOSE( CONTROL!$C$20, $D$12, 100%, $F$12)</f>
        <v>4.1740000000000004</v>
      </c>
      <c r="H31" s="4">
        <f>CHOOSE( CONTROL!$C$37, 5.049, 5.048) * CHOOSE(CONTROL!$C$20, $D$12, 100%, $F$12)</f>
        <v>5.0490000000000004</v>
      </c>
      <c r="I31" s="7">
        <f>CHOOSE( CONTROL!$C$37, 4.228, 4.227) * CHOOSE(CONTROL!$C$20, $D$12, 100%, $F$12)</f>
        <v>4.2279999999999998</v>
      </c>
      <c r="J31" s="4">
        <f>CHOOSE( CONTROL!$C$37, 4.0741, 4.073) * CHOOSE(CONTROL!$C$20, $D$12, 100%, $F$12)</f>
        <v>4.0740999999999996</v>
      </c>
      <c r="K31" s="4">
        <f>CHOOSE( CONTROL!$C$37, 4.1665, 4.1654) * CHOOSE(CONTROL!$C$20, $D$12, 100%, $F$12)</f>
        <v>4.1665000000000001</v>
      </c>
      <c r="L31" s="8">
        <v>26.0779</v>
      </c>
      <c r="M31" s="8">
        <v>10.8962</v>
      </c>
      <c r="N31" s="8">
        <v>4.4660000000000002</v>
      </c>
      <c r="O31" s="8">
        <v>0.55610000000000004</v>
      </c>
      <c r="P31" s="8">
        <v>0</v>
      </c>
      <c r="Q31" s="8"/>
      <c r="R31" s="8">
        <f t="shared" si="0"/>
        <v>0.3</v>
      </c>
    </row>
    <row r="32" spans="1:18" ht="15" customHeight="1">
      <c r="A32" s="11">
        <v>42064</v>
      </c>
      <c r="B32" s="7">
        <f>CHOOSE( CONTROL!$C$37, 4.121, 4.1199) * CHOOSE(CONTROL!$C$20, $D$12, 100%, $F$12)</f>
        <v>4.1210000000000004</v>
      </c>
      <c r="C32" s="7">
        <f>CHOOSE( CONTROL!$C$37, 4.1261, 4.125) * CHOOSE(CONTROL!$C$20, $D$12, 100%, $F$12)</f>
        <v>4.1261000000000001</v>
      </c>
      <c r="D32" s="7">
        <f>CHOOSE( CONTROL!$C$37, 4.1272, 4.1261) * CHOOSE( CONTROL!$C$20, $D$12, 100%, $F$12)</f>
        <v>4.1272000000000002</v>
      </c>
      <c r="E32" s="10">
        <f>CHOOSE( CONTROL!$C$37, 4.1263, 4.1252) * CHOOSE( CONTROL!$C$20, $D$12, 100%, $F$12)</f>
        <v>4.1262999999999996</v>
      </c>
      <c r="F32" s="4">
        <f>CHOOSE( CONTROL!$C$37, 4.7736, 4.7725) * CHOOSE(CONTROL!$C$20, $D$12, 100%, $F$12)</f>
        <v>4.7736000000000001</v>
      </c>
      <c r="G32" s="7">
        <f>CHOOSE( CONTROL!$C$37, 4.1054, 4.1043) * CHOOSE( CONTROL!$C$20, $D$12, 100%, $F$12)</f>
        <v>4.1054000000000004</v>
      </c>
      <c r="H32" s="4">
        <f>CHOOSE( CONTROL!$C$37, 4.9808, 4.9797) * CHOOSE(CONTROL!$C$20, $D$12, 100%, $F$12)</f>
        <v>4.9808000000000003</v>
      </c>
      <c r="I32" s="7">
        <f>CHOOSE( CONTROL!$C$37, 4.1591, 4.158) * CHOOSE(CONTROL!$C$20, $D$12, 100%, $F$12)</f>
        <v>4.1590999999999996</v>
      </c>
      <c r="J32" s="4">
        <f>CHOOSE( CONTROL!$C$37, 4.0071, 4.006) * CHOOSE(CONTROL!$C$20, $D$12, 100%, $F$12)</f>
        <v>4.0071000000000003</v>
      </c>
      <c r="K32" s="4">
        <f>CHOOSE( CONTROL!$C$37, 4.0979, 4.0968) * CHOOSE(CONTROL!$C$20, $D$12, 100%, $F$12)</f>
        <v>4.0979000000000001</v>
      </c>
      <c r="L32" s="8">
        <v>28.872</v>
      </c>
      <c r="M32" s="8">
        <v>12.063700000000001</v>
      </c>
      <c r="N32" s="8">
        <v>4.9444999999999997</v>
      </c>
      <c r="O32" s="8">
        <v>0.61570000000000003</v>
      </c>
      <c r="P32" s="8">
        <v>0</v>
      </c>
      <c r="Q32" s="8"/>
      <c r="R32" s="8">
        <f t="shared" si="0"/>
        <v>0.3</v>
      </c>
    </row>
    <row r="33" spans="1:18" ht="15" customHeight="1">
      <c r="A33" s="11">
        <v>42095</v>
      </c>
      <c r="B33" s="7">
        <f>CHOOSE( CONTROL!$C$37, 3.877, 3.8759) * CHOOSE(CONTROL!$C$20, $D$12, 100%, $F$12)</f>
        <v>3.8769999999999998</v>
      </c>
      <c r="C33" s="7">
        <f>CHOOSE( CONTROL!$C$37, 3.8816, 3.8805) * CHOOSE(CONTROL!$C$20, $D$12, 100%, $F$12)</f>
        <v>3.8816000000000002</v>
      </c>
      <c r="D33" s="7">
        <f>CHOOSE( CONTROL!$C$37, 3.8737, 3.8726) * CHOOSE( CONTROL!$C$20, $D$12, 100%, $F$12)</f>
        <v>3.8736999999999999</v>
      </c>
      <c r="E33" s="10">
        <f>CHOOSE( CONTROL!$C$37, 3.8758, 3.8747) * CHOOSE( CONTROL!$C$20, $D$12, 100%, $F$12)</f>
        <v>3.8757999999999999</v>
      </c>
      <c r="F33" s="4">
        <f>CHOOSE( CONTROL!$C$37, 4.6037, 4.6026) * CHOOSE(CONTROL!$C$20, $D$12, 100%, $F$12)</f>
        <v>4.6036999999999999</v>
      </c>
      <c r="G33" s="7">
        <f>CHOOSE( CONTROL!$C$37, 3.8468, 3.8457) * CHOOSE( CONTROL!$C$20, $D$12, 100%, $F$12)</f>
        <v>3.8468</v>
      </c>
      <c r="H33" s="4">
        <f>CHOOSE( CONTROL!$C$37, 4.8133, 4.8122) * CHOOSE(CONTROL!$C$20, $D$12, 100%, $F$12)</f>
        <v>4.8132999999999999</v>
      </c>
      <c r="I33" s="7">
        <f>CHOOSE( CONTROL!$C$37, 3.8945, 3.8935) * CHOOSE(CONTROL!$C$20, $D$12, 100%, $F$12)</f>
        <v>3.8944999999999999</v>
      </c>
      <c r="J33" s="4">
        <f>CHOOSE( CONTROL!$C$37, 3.7701, 3.769) * CHOOSE(CONTROL!$C$20, $D$12, 100%, $F$12)</f>
        <v>3.7700999999999998</v>
      </c>
      <c r="K33" s="4">
        <f>CHOOSE( CONTROL!$C$37, 3.84, 3.8389) * CHOOSE(CONTROL!$C$20, $D$12, 100%, $F$12)</f>
        <v>3.84</v>
      </c>
      <c r="L33" s="8">
        <v>30.092199999999998</v>
      </c>
      <c r="M33" s="8">
        <v>11.6745</v>
      </c>
      <c r="N33" s="8">
        <v>4.7850000000000001</v>
      </c>
      <c r="O33" s="8">
        <v>0.59589999999999999</v>
      </c>
      <c r="P33" s="8">
        <v>2.0339999999999998</v>
      </c>
      <c r="Q33" s="8"/>
      <c r="R33" s="8">
        <f t="shared" si="0"/>
        <v>0.3</v>
      </c>
    </row>
    <row r="34" spans="1:18" ht="15" customHeight="1">
      <c r="A34" s="11">
        <v>42125</v>
      </c>
      <c r="B34" s="7">
        <f>CHOOSE( CONTROL!$C$37, 3.8686, 3.867) * CHOOSE(CONTROL!$C$20, $D$12, 100%, $F$12)</f>
        <v>3.8685999999999998</v>
      </c>
      <c r="C34" s="7">
        <f>CHOOSE( CONTROL!$C$37, 3.8766, 3.875) * CHOOSE(CONTROL!$C$20, $D$12, 100%, $F$12)</f>
        <v>3.8765999999999998</v>
      </c>
      <c r="D34" s="7">
        <f>CHOOSE( CONTROL!$C$37, 3.8586, 3.8569) * CHOOSE( CONTROL!$C$20, $D$12, 100%, $F$12)</f>
        <v>3.8586</v>
      </c>
      <c r="E34" s="10">
        <f>CHOOSE( CONTROL!$C$37, 3.8637, 3.862) * CHOOSE( CONTROL!$C$20, $D$12, 100%, $F$12)</f>
        <v>3.8637000000000001</v>
      </c>
      <c r="F34" s="4">
        <f>CHOOSE( CONTROL!$C$37, 4.5939, 4.5923) * CHOOSE(CONTROL!$C$20, $D$12, 100%, $F$12)</f>
        <v>4.5938999999999997</v>
      </c>
      <c r="G34" s="7">
        <f>CHOOSE( CONTROL!$C$37, 3.8502, 3.8485) * CHOOSE( CONTROL!$C$20, $D$12, 100%, $F$12)</f>
        <v>3.8502000000000001</v>
      </c>
      <c r="H34" s="4">
        <f>CHOOSE( CONTROL!$C$37, 4.8037, 4.802) * CHOOSE(CONTROL!$C$20, $D$12, 100%, $F$12)</f>
        <v>4.8037000000000001</v>
      </c>
      <c r="I34" s="7">
        <f>CHOOSE( CONTROL!$C$37, 3.8848, 3.8832) * CHOOSE(CONTROL!$C$20, $D$12, 100%, $F$12)</f>
        <v>3.8847999999999998</v>
      </c>
      <c r="J34" s="4">
        <f>CHOOSE( CONTROL!$C$37, 3.7606, 3.759) * CHOOSE(CONTROL!$C$20, $D$12, 100%, $F$12)</f>
        <v>3.7606000000000002</v>
      </c>
      <c r="K34" s="4">
        <f>CHOOSE( CONTROL!$C$37, 3.8303, 3.8287) * CHOOSE(CONTROL!$C$20, $D$12, 100%, $F$12)</f>
        <v>3.8302999999999998</v>
      </c>
      <c r="L34" s="8">
        <v>32.235500000000002</v>
      </c>
      <c r="M34" s="8">
        <v>12.063700000000001</v>
      </c>
      <c r="N34" s="8">
        <v>4.5183</v>
      </c>
      <c r="O34" s="8">
        <v>0.61570000000000003</v>
      </c>
      <c r="P34" s="8">
        <v>2.1017999999999999</v>
      </c>
      <c r="Q34" s="8"/>
      <c r="R34" s="8">
        <f t="shared" si="0"/>
        <v>0.3</v>
      </c>
    </row>
    <row r="35" spans="1:18" ht="15" customHeight="1">
      <c r="A35" s="11">
        <v>42156</v>
      </c>
      <c r="B35" s="7">
        <f>CHOOSE( CONTROL!$C$37, 3.9027, 3.9011) * CHOOSE(CONTROL!$C$20, $D$12, 100%, $F$12)</f>
        <v>3.9026999999999998</v>
      </c>
      <c r="C35" s="7">
        <f>CHOOSE( CONTROL!$C$37, 3.9107, 3.9091) * CHOOSE(CONTROL!$C$20, $D$12, 100%, $F$12)</f>
        <v>3.9106999999999998</v>
      </c>
      <c r="D35" s="7">
        <f>CHOOSE( CONTROL!$C$37, 3.893, 3.8913) * CHOOSE( CONTROL!$C$20, $D$12, 100%, $F$12)</f>
        <v>3.8929999999999998</v>
      </c>
      <c r="E35" s="10">
        <f>CHOOSE( CONTROL!$C$37, 3.898, 3.8963) * CHOOSE( CONTROL!$C$20, $D$12, 100%, $F$12)</f>
        <v>3.8980000000000001</v>
      </c>
      <c r="F35" s="4">
        <f>CHOOSE( CONTROL!$C$37, 4.628, 4.6264) * CHOOSE(CONTROL!$C$20, $D$12, 100%, $F$12)</f>
        <v>4.6280000000000001</v>
      </c>
      <c r="G35" s="7">
        <f>CHOOSE( CONTROL!$C$37, 3.884, 3.8824) * CHOOSE( CONTROL!$C$20, $D$12, 100%, $F$12)</f>
        <v>3.8839999999999999</v>
      </c>
      <c r="H35" s="4">
        <f>CHOOSE( CONTROL!$C$37, 4.8373, 4.8357) * CHOOSE(CONTROL!$C$20, $D$12, 100%, $F$12)</f>
        <v>4.8372999999999999</v>
      </c>
      <c r="I35" s="7">
        <f>CHOOSE( CONTROL!$C$37, 3.9188, 3.9172) * CHOOSE(CONTROL!$C$20, $D$12, 100%, $F$12)</f>
        <v>3.9188000000000001</v>
      </c>
      <c r="J35" s="4">
        <f>CHOOSE( CONTROL!$C$37, 3.7936, 3.792) * CHOOSE(CONTROL!$C$20, $D$12, 100%, $F$12)</f>
        <v>3.7936000000000001</v>
      </c>
      <c r="K35" s="4">
        <f>CHOOSE( CONTROL!$C$37, 3.8641, 3.8624) * CHOOSE(CONTROL!$C$20, $D$12, 100%, $F$12)</f>
        <v>3.8641000000000001</v>
      </c>
      <c r="L35" s="8">
        <v>31.195699999999999</v>
      </c>
      <c r="M35" s="8">
        <v>11.6745</v>
      </c>
      <c r="N35" s="8">
        <v>4.3724999999999996</v>
      </c>
      <c r="O35" s="8">
        <v>0.59589999999999999</v>
      </c>
      <c r="P35" s="8">
        <v>2.0339999999999998</v>
      </c>
      <c r="Q35" s="8"/>
      <c r="R35" s="8">
        <f t="shared" si="0"/>
        <v>0.3</v>
      </c>
    </row>
    <row r="36" spans="1:18" ht="15" customHeight="1">
      <c r="A36" s="11">
        <v>42186</v>
      </c>
      <c r="B36" s="7">
        <f>CHOOSE( CONTROL!$C$37, 3.9399, 3.9382) * CHOOSE(CONTROL!$C$20, $D$12, 100%, $F$12)</f>
        <v>3.9399000000000002</v>
      </c>
      <c r="C36" s="7">
        <f>CHOOSE( CONTROL!$C$37, 3.9479, 3.9462) * CHOOSE(CONTROL!$C$20, $D$12, 100%, $F$12)</f>
        <v>3.9479000000000002</v>
      </c>
      <c r="D36" s="7">
        <f>CHOOSE( CONTROL!$C$37, 3.9305, 3.9289) * CHOOSE( CONTROL!$C$20, $D$12, 100%, $F$12)</f>
        <v>3.9304999999999999</v>
      </c>
      <c r="E36" s="10">
        <f>CHOOSE( CONTROL!$C$37, 3.9354, 3.9338) * CHOOSE( CONTROL!$C$20, $D$12, 100%, $F$12)</f>
        <v>3.9354</v>
      </c>
      <c r="F36" s="4">
        <f>CHOOSE( CONTROL!$C$37, 4.6652, 4.6635) * CHOOSE(CONTROL!$C$20, $D$12, 100%, $F$12)</f>
        <v>4.6651999999999996</v>
      </c>
      <c r="G36" s="7">
        <f>CHOOSE( CONTROL!$C$37, 3.921, 3.9194) * CHOOSE( CONTROL!$C$20, $D$12, 100%, $F$12)</f>
        <v>3.9209999999999998</v>
      </c>
      <c r="H36" s="4">
        <f>CHOOSE( CONTROL!$C$37, 4.874, 4.8723) * CHOOSE(CONTROL!$C$20, $D$12, 100%, $F$12)</f>
        <v>4.8739999999999997</v>
      </c>
      <c r="I36" s="7">
        <f>CHOOSE( CONTROL!$C$37, 3.9558, 3.9542) * CHOOSE(CONTROL!$C$20, $D$12, 100%, $F$12)</f>
        <v>3.9558</v>
      </c>
      <c r="J36" s="4">
        <f>CHOOSE( CONTROL!$C$37, 3.8296, 3.828) * CHOOSE(CONTROL!$C$20, $D$12, 100%, $F$12)</f>
        <v>3.8296000000000001</v>
      </c>
      <c r="K36" s="4">
        <f>CHOOSE( CONTROL!$C$37, 3.9009, 3.8993) * CHOOSE(CONTROL!$C$20, $D$12, 100%, $F$12)</f>
        <v>3.9009</v>
      </c>
      <c r="L36" s="8">
        <v>32.235500000000002</v>
      </c>
      <c r="M36" s="8">
        <v>12.063700000000001</v>
      </c>
      <c r="N36" s="8">
        <v>4.5183</v>
      </c>
      <c r="O36" s="8">
        <v>0.61570000000000003</v>
      </c>
      <c r="P36" s="8">
        <v>2.1017999999999999</v>
      </c>
      <c r="Q36" s="8"/>
      <c r="R36" s="8">
        <f t="shared" si="0"/>
        <v>0.3</v>
      </c>
    </row>
    <row r="37" spans="1:18" ht="15" customHeight="1">
      <c r="A37" s="11">
        <v>42217</v>
      </c>
      <c r="B37" s="7">
        <f>CHOOSE( CONTROL!$C$37, 3.9502, 3.9486) * CHOOSE(CONTROL!$C$20, $D$12, 100%, $F$12)</f>
        <v>3.9502000000000002</v>
      </c>
      <c r="C37" s="7">
        <f>CHOOSE( CONTROL!$C$37, 3.9582, 3.9566) * CHOOSE(CONTROL!$C$20, $D$12, 100%, $F$12)</f>
        <v>3.9582000000000002</v>
      </c>
      <c r="D37" s="7">
        <f>CHOOSE( CONTROL!$C$37, 3.941, 3.9393) * CHOOSE( CONTROL!$C$20, $D$12, 100%, $F$12)</f>
        <v>3.9409999999999998</v>
      </c>
      <c r="E37" s="10">
        <f>CHOOSE( CONTROL!$C$37, 3.9458, 3.9442) * CHOOSE( CONTROL!$C$20, $D$12, 100%, $F$12)</f>
        <v>3.9458000000000002</v>
      </c>
      <c r="F37" s="4">
        <f>CHOOSE( CONTROL!$C$37, 4.6755, 4.6739) * CHOOSE(CONTROL!$C$20, $D$12, 100%, $F$12)</f>
        <v>4.6755000000000004</v>
      </c>
      <c r="G37" s="7">
        <f>CHOOSE( CONTROL!$C$37, 3.9313, 3.9296) * CHOOSE( CONTROL!$C$20, $D$12, 100%, $F$12)</f>
        <v>3.9312999999999998</v>
      </c>
      <c r="H37" s="4">
        <f>CHOOSE( CONTROL!$C$37, 4.8841, 4.8825) * CHOOSE(CONTROL!$C$20, $D$12, 100%, $F$12)</f>
        <v>4.8841000000000001</v>
      </c>
      <c r="I37" s="7">
        <f>CHOOSE( CONTROL!$C$37, 3.9661, 3.9645) * CHOOSE(CONTROL!$C$20, $D$12, 100%, $F$12)</f>
        <v>3.9661</v>
      </c>
      <c r="J37" s="4">
        <f>CHOOSE( CONTROL!$C$37, 3.8396, 3.838) * CHOOSE(CONTROL!$C$20, $D$12, 100%, $F$12)</f>
        <v>3.8395999999999999</v>
      </c>
      <c r="K37" s="4">
        <f>CHOOSE( CONTROL!$C$37, 3.9112, 3.9095) * CHOOSE(CONTROL!$C$20, $D$12, 100%, $F$12)</f>
        <v>3.9112</v>
      </c>
      <c r="L37" s="8">
        <v>32.235500000000002</v>
      </c>
      <c r="M37" s="8">
        <v>12.063700000000001</v>
      </c>
      <c r="N37" s="8">
        <v>4.5183</v>
      </c>
      <c r="O37" s="8">
        <v>0.61570000000000003</v>
      </c>
      <c r="P37" s="8">
        <v>2.1017999999999999</v>
      </c>
      <c r="Q37" s="8"/>
      <c r="R37" s="8">
        <f t="shared" si="0"/>
        <v>0.3</v>
      </c>
    </row>
    <row r="38" spans="1:18" ht="15" customHeight="1">
      <c r="A38" s="11">
        <v>42248</v>
      </c>
      <c r="B38" s="7">
        <f>CHOOSE( CONTROL!$C$37, 3.9368, 3.9351) * CHOOSE(CONTROL!$C$20, $D$12, 100%, $F$12)</f>
        <v>3.9367999999999999</v>
      </c>
      <c r="C38" s="7">
        <f>CHOOSE( CONTROL!$C$37, 3.9448, 3.9431) * CHOOSE(CONTROL!$C$20, $D$12, 100%, $F$12)</f>
        <v>3.9447999999999999</v>
      </c>
      <c r="D38" s="7">
        <f>CHOOSE( CONTROL!$C$37, 3.9274, 3.9257) * CHOOSE( CONTROL!$C$20, $D$12, 100%, $F$12)</f>
        <v>3.9274</v>
      </c>
      <c r="E38" s="10">
        <f>CHOOSE( CONTROL!$C$37, 3.9323, 3.9306) * CHOOSE( CONTROL!$C$20, $D$12, 100%, $F$12)</f>
        <v>3.9323000000000001</v>
      </c>
      <c r="F38" s="4">
        <f>CHOOSE( CONTROL!$C$37, 4.6621, 4.6604) * CHOOSE(CONTROL!$C$20, $D$12, 100%, $F$12)</f>
        <v>4.6620999999999997</v>
      </c>
      <c r="G38" s="7">
        <f>CHOOSE( CONTROL!$C$37, 3.9179, 3.9163) * CHOOSE( CONTROL!$C$20, $D$12, 100%, $F$12)</f>
        <v>3.9178999999999999</v>
      </c>
      <c r="H38" s="4">
        <f>CHOOSE( CONTROL!$C$37, 4.8709, 4.8693) * CHOOSE(CONTROL!$C$20, $D$12, 100%, $F$12)</f>
        <v>4.8708999999999998</v>
      </c>
      <c r="I38" s="7">
        <f>CHOOSE( CONTROL!$C$37, 3.9527, 3.9511) * CHOOSE(CONTROL!$C$20, $D$12, 100%, $F$12)</f>
        <v>3.9527000000000001</v>
      </c>
      <c r="J38" s="4">
        <f>CHOOSE( CONTROL!$C$37, 3.8266, 3.825) * CHOOSE(CONTROL!$C$20, $D$12, 100%, $F$12)</f>
        <v>3.8266</v>
      </c>
      <c r="K38" s="4">
        <f>CHOOSE( CONTROL!$C$37, 3.8979, 3.8962) * CHOOSE(CONTROL!$C$20, $D$12, 100%, $F$12)</f>
        <v>3.8978999999999999</v>
      </c>
      <c r="L38" s="8">
        <v>31.195699999999999</v>
      </c>
      <c r="M38" s="8">
        <v>11.6745</v>
      </c>
      <c r="N38" s="8">
        <v>4.3724999999999996</v>
      </c>
      <c r="O38" s="8">
        <v>0.59589999999999999</v>
      </c>
      <c r="P38" s="8">
        <v>2.0339999999999998</v>
      </c>
      <c r="Q38" s="8"/>
      <c r="R38" s="8">
        <f t="shared" si="0"/>
        <v>0.3</v>
      </c>
    </row>
    <row r="39" spans="1:18" ht="15" customHeight="1">
      <c r="A39" s="11">
        <v>42278</v>
      </c>
      <c r="B39" s="7">
        <f>CHOOSE( CONTROL!$C$37, 3.9583, 3.9572) * CHOOSE(CONTROL!$C$20, $D$12, 100%, $F$12)</f>
        <v>3.9582999999999999</v>
      </c>
      <c r="C39" s="7">
        <f>CHOOSE( CONTROL!$C$37, 3.9636, 3.9625) * CHOOSE(CONTROL!$C$20, $D$12, 100%, $F$12)</f>
        <v>3.9636</v>
      </c>
      <c r="D39" s="7">
        <f>CHOOSE( CONTROL!$C$37, 3.9368, 3.9358) * CHOOSE( CONTROL!$C$20, $D$12, 100%, $F$12)</f>
        <v>3.9367999999999999</v>
      </c>
      <c r="E39" s="10">
        <f>CHOOSE( CONTROL!$C$37, 3.9451, 3.9441) * CHOOSE( CONTROL!$C$20, $D$12, 100%, $F$12)</f>
        <v>3.9451000000000001</v>
      </c>
      <c r="F39" s="4">
        <f>CHOOSE( CONTROL!$C$37, 4.6853, 4.6842) * CHOOSE(CONTROL!$C$20, $D$12, 100%, $F$12)</f>
        <v>4.6852999999999998</v>
      </c>
      <c r="G39" s="7">
        <f>CHOOSE( CONTROL!$C$37, 3.9528, 3.9517) * CHOOSE( CONTROL!$C$20, $D$12, 100%, $F$12)</f>
        <v>3.9527999999999999</v>
      </c>
      <c r="H39" s="4">
        <f>CHOOSE( CONTROL!$C$37, 4.8937, 4.8927) * CHOOSE(CONTROL!$C$20, $D$12, 100%, $F$12)</f>
        <v>4.8936999999999999</v>
      </c>
      <c r="I39" s="7">
        <f>CHOOSE( CONTROL!$C$37, 3.9759, 3.9748) * CHOOSE(CONTROL!$C$20, $D$12, 100%, $F$12)</f>
        <v>3.9759000000000002</v>
      </c>
      <c r="J39" s="4">
        <f>CHOOSE( CONTROL!$C$37, 3.8491, 3.848) * CHOOSE(CONTROL!$C$20, $D$12, 100%, $F$12)</f>
        <v>3.8491</v>
      </c>
      <c r="K39" s="4">
        <f>CHOOSE( CONTROL!$C$37, 3.9208, 3.9197) * CHOOSE(CONTROL!$C$20, $D$12, 100%, $F$12)</f>
        <v>3.9207999999999998</v>
      </c>
      <c r="L39" s="8">
        <v>31.095300000000002</v>
      </c>
      <c r="M39" s="8">
        <v>12.063700000000001</v>
      </c>
      <c r="N39" s="8">
        <v>4.9444999999999997</v>
      </c>
      <c r="O39" s="8">
        <v>0.61570000000000003</v>
      </c>
      <c r="P39" s="8">
        <v>2.1017999999999999</v>
      </c>
      <c r="Q39" s="8"/>
      <c r="R39" s="8">
        <f t="shared" si="0"/>
        <v>0.3</v>
      </c>
    </row>
    <row r="40" spans="1:18" ht="15" customHeight="1">
      <c r="A40" s="11">
        <v>42309</v>
      </c>
      <c r="B40" s="7">
        <f>CHOOSE( CONTROL!$C$37, 4.0394, 4.0384) * CHOOSE(CONTROL!$C$20, $D$12, 100%, $F$12)</f>
        <v>4.0393999999999997</v>
      </c>
      <c r="C40" s="7">
        <f>CHOOSE( CONTROL!$C$37, 4.0445, 4.0435) * CHOOSE(CONTROL!$C$20, $D$12, 100%, $F$12)</f>
        <v>4.0445000000000002</v>
      </c>
      <c r="D40" s="7">
        <f>CHOOSE( CONTROL!$C$37, 4.0259, 4.0249) * CHOOSE( CONTROL!$C$20, $D$12, 100%, $F$12)</f>
        <v>4.0259</v>
      </c>
      <c r="E40" s="10">
        <f>CHOOSE( CONTROL!$C$37, 4.0322, 4.0312) * CHOOSE( CONTROL!$C$20, $D$12, 100%, $F$12)</f>
        <v>4.0321999999999996</v>
      </c>
      <c r="F40" s="4">
        <f>CHOOSE( CONTROL!$C$37, 4.692, 4.6909) * CHOOSE(CONTROL!$C$20, $D$12, 100%, $F$12)</f>
        <v>4.6920000000000002</v>
      </c>
      <c r="G40" s="7">
        <f>CHOOSE( CONTROL!$C$37, 4.0156, 4.0145) * CHOOSE( CONTROL!$C$20, $D$12, 100%, $F$12)</f>
        <v>4.0156000000000001</v>
      </c>
      <c r="H40" s="4">
        <f>CHOOSE( CONTROL!$C$37, 4.9004, 4.8993) * CHOOSE(CONTROL!$C$20, $D$12, 100%, $F$12)</f>
        <v>4.9004000000000003</v>
      </c>
      <c r="I40" s="7">
        <f>CHOOSE( CONTROL!$C$37, 4.1061, 4.105) * CHOOSE(CONTROL!$C$20, $D$12, 100%, $F$12)</f>
        <v>4.1060999999999996</v>
      </c>
      <c r="J40" s="4">
        <f>CHOOSE( CONTROL!$C$37, 3.9281, 3.927) * CHOOSE(CONTROL!$C$20, $D$12, 100%, $F$12)</f>
        <v>3.9281000000000001</v>
      </c>
      <c r="K40" s="4">
        <f>CHOOSE( CONTROL!$C$37, 4.017, 4.016) * CHOOSE(CONTROL!$C$20, $D$12, 100%, $F$12)</f>
        <v>4.0170000000000003</v>
      </c>
      <c r="L40" s="8">
        <v>28.360600000000002</v>
      </c>
      <c r="M40" s="8">
        <v>11.6745</v>
      </c>
      <c r="N40" s="8">
        <v>4.7850000000000001</v>
      </c>
      <c r="O40" s="8">
        <v>0.59589999999999999</v>
      </c>
      <c r="P40" s="8">
        <v>1.1791</v>
      </c>
      <c r="Q40" s="8"/>
      <c r="R40" s="8">
        <f t="shared" si="0"/>
        <v>0.3</v>
      </c>
    </row>
    <row r="41" spans="1:18" ht="15" customHeight="1">
      <c r="A41" s="11">
        <v>42339</v>
      </c>
      <c r="B41" s="7">
        <f>CHOOSE( CONTROL!$C$37, 4.214, 4.2129) * CHOOSE(CONTROL!$C$20, $D$12, 100%, $F$12)</f>
        <v>4.2140000000000004</v>
      </c>
      <c r="C41" s="7">
        <f>CHOOSE( CONTROL!$C$37, 4.2191, 4.218) * CHOOSE(CONTROL!$C$20, $D$12, 100%, $F$12)</f>
        <v>4.2191000000000001</v>
      </c>
      <c r="D41" s="7">
        <f>CHOOSE( CONTROL!$C$37, 4.2021, 4.201) * CHOOSE( CONTROL!$C$20, $D$12, 100%, $F$12)</f>
        <v>4.2020999999999997</v>
      </c>
      <c r="E41" s="10">
        <f>CHOOSE( CONTROL!$C$37, 4.2078, 4.2067) * CHOOSE( CONTROL!$C$20, $D$12, 100%, $F$12)</f>
        <v>4.2077999999999998</v>
      </c>
      <c r="F41" s="4">
        <f>CHOOSE( CONTROL!$C$37, 4.8665, 4.8654) * CHOOSE(CONTROL!$C$20, $D$12, 100%, $F$12)</f>
        <v>4.8665000000000003</v>
      </c>
      <c r="G41" s="7">
        <f>CHOOSE( CONTROL!$C$37, 4.1888, 4.1877) * CHOOSE( CONTROL!$C$20, $D$12, 100%, $F$12)</f>
        <v>4.1887999999999996</v>
      </c>
      <c r="H41" s="4">
        <f>CHOOSE( CONTROL!$C$37, 5.0725, 5.0714) * CHOOSE(CONTROL!$C$20, $D$12, 100%, $F$12)</f>
        <v>5.0724999999999998</v>
      </c>
      <c r="I41" s="7">
        <f>CHOOSE( CONTROL!$C$37, 4.28, 4.279) * CHOOSE(CONTROL!$C$20, $D$12, 100%, $F$12)</f>
        <v>4.28</v>
      </c>
      <c r="J41" s="4">
        <f>CHOOSE( CONTROL!$C$37, 4.0971, 4.096) * CHOOSE(CONTROL!$C$20, $D$12, 100%, $F$12)</f>
        <v>4.0971000000000002</v>
      </c>
      <c r="K41" s="4">
        <f>CHOOSE( CONTROL!$C$37, 4.19, 4.1889) * CHOOSE(CONTROL!$C$20, $D$12, 100%, $F$12)</f>
        <v>4.1900000000000004</v>
      </c>
      <c r="L41" s="8">
        <v>29.306000000000001</v>
      </c>
      <c r="M41" s="8">
        <v>12.063700000000001</v>
      </c>
      <c r="N41" s="8">
        <v>4.9444999999999997</v>
      </c>
      <c r="O41" s="8">
        <v>0.61570000000000003</v>
      </c>
      <c r="P41" s="8">
        <v>1.2183999999999999</v>
      </c>
      <c r="Q41" s="8"/>
      <c r="R41" s="8">
        <f t="shared" si="0"/>
        <v>0.3</v>
      </c>
    </row>
    <row r="42" spans="1:18" ht="15" customHeight="1">
      <c r="A42" s="11">
        <v>42370</v>
      </c>
      <c r="B42" s="7">
        <f>CHOOSE( CONTROL!$C$37, 4.342, 4.3409) * CHOOSE(CONTROL!$C$20, $D$12, 100%, $F$12)</f>
        <v>4.3419999999999996</v>
      </c>
      <c r="C42" s="7">
        <f>CHOOSE( CONTROL!$C$37, 4.3471, 4.346) * CHOOSE(CONTROL!$C$20, $D$12, 100%, $F$12)</f>
        <v>4.3471000000000002</v>
      </c>
      <c r="D42" s="7">
        <f>CHOOSE( CONTROL!$C$37, 4.3393, 4.3382) * CHOOSE( CONTROL!$C$20, $D$12, 100%, $F$12)</f>
        <v>4.3392999999999997</v>
      </c>
      <c r="E42" s="10">
        <f>CHOOSE( CONTROL!$C$37, 4.3416, 4.3405) * CHOOSE( CONTROL!$C$20, $D$12, 100%, $F$12)</f>
        <v>4.3415999999999997</v>
      </c>
      <c r="F42" s="4">
        <f>CHOOSE( CONTROL!$C$37, 4.9946, 4.9935) * CHOOSE(CONTROL!$C$20, $D$12, 100%, $F$12)</f>
        <v>4.9946000000000002</v>
      </c>
      <c r="G42" s="7">
        <f>CHOOSE( CONTROL!$C$37, 4.3204, 4.3194) * CHOOSE( CONTROL!$C$20, $D$12, 100%, $F$12)</f>
        <v>4.3204000000000002</v>
      </c>
      <c r="H42" s="4">
        <f>CHOOSE( CONTROL!$C$37, 5.1987, 5.1977) * CHOOSE(CONTROL!$C$20, $D$12, 100%, $F$12)</f>
        <v>5.1986999999999997</v>
      </c>
      <c r="I42" s="7">
        <f>CHOOSE( CONTROL!$C$37, 4.3754, 4.3743) * CHOOSE(CONTROL!$C$20, $D$12, 100%, $F$12)</f>
        <v>4.3754</v>
      </c>
      <c r="J42" s="4">
        <f>CHOOSE( CONTROL!$C$37, 4.2211, 4.22) * CHOOSE(CONTROL!$C$20, $D$12, 100%, $F$12)</f>
        <v>4.2210999999999999</v>
      </c>
      <c r="K42" s="4"/>
      <c r="L42" s="8">
        <v>29.306000000000001</v>
      </c>
      <c r="M42" s="8">
        <v>12.063700000000001</v>
      </c>
      <c r="N42" s="8">
        <v>4.9444999999999997</v>
      </c>
      <c r="O42" s="8">
        <v>0.61570000000000003</v>
      </c>
      <c r="P42" s="8">
        <v>1.2183999999999999</v>
      </c>
      <c r="Q42" s="8"/>
      <c r="R42" s="8">
        <f t="shared" si="0"/>
        <v>0.3</v>
      </c>
    </row>
    <row r="43" spans="1:18" ht="15" customHeight="1">
      <c r="A43" s="11">
        <v>42401</v>
      </c>
      <c r="B43" s="7">
        <f>CHOOSE( CONTROL!$C$37, 4.3203, 4.3193) * CHOOSE(CONTROL!$C$20, $D$12, 100%, $F$12)</f>
        <v>4.3202999999999996</v>
      </c>
      <c r="C43" s="7">
        <f>CHOOSE( CONTROL!$C$37, 4.3254, 4.3244) * CHOOSE(CONTROL!$C$20, $D$12, 100%, $F$12)</f>
        <v>4.3254000000000001</v>
      </c>
      <c r="D43" s="7">
        <f>CHOOSE( CONTROL!$C$37, 4.3175, 4.3165) * CHOOSE( CONTROL!$C$20, $D$12, 100%, $F$12)</f>
        <v>4.3174999999999999</v>
      </c>
      <c r="E43" s="10">
        <f>CHOOSE( CONTROL!$C$37, 4.3198, 4.3188) * CHOOSE( CONTROL!$C$20, $D$12, 100%, $F$12)</f>
        <v>4.3197999999999999</v>
      </c>
      <c r="F43" s="4">
        <f>CHOOSE( CONTROL!$C$37, 4.9729, 4.9718) * CHOOSE(CONTROL!$C$20, $D$12, 100%, $F$12)</f>
        <v>4.9729000000000001</v>
      </c>
      <c r="G43" s="7">
        <f>CHOOSE( CONTROL!$C$37, 4.299, 4.2979) * CHOOSE( CONTROL!$C$20, $D$12, 100%, $F$12)</f>
        <v>4.2990000000000004</v>
      </c>
      <c r="H43" s="4">
        <f>CHOOSE( CONTROL!$C$37, 5.1774, 5.1763) * CHOOSE(CONTROL!$C$20, $D$12, 100%, $F$12)</f>
        <v>5.1773999999999996</v>
      </c>
      <c r="I43" s="7">
        <f>CHOOSE( CONTROL!$C$37, 4.3541, 4.353) * CHOOSE(CONTROL!$C$20, $D$12, 100%, $F$12)</f>
        <v>4.3540999999999999</v>
      </c>
      <c r="J43" s="4">
        <f>CHOOSE( CONTROL!$C$37, 4.2001, 4.199) * CHOOSE(CONTROL!$C$20, $D$12, 100%, $F$12)</f>
        <v>4.2000999999999999</v>
      </c>
      <c r="K43" s="4"/>
      <c r="L43" s="8">
        <v>27.415299999999998</v>
      </c>
      <c r="M43" s="8">
        <v>11.285299999999999</v>
      </c>
      <c r="N43" s="8">
        <v>4.6254999999999997</v>
      </c>
      <c r="O43" s="8">
        <v>0.57599999999999996</v>
      </c>
      <c r="P43" s="8">
        <v>1.1397999999999999</v>
      </c>
      <c r="Q43" s="8"/>
      <c r="R43" s="8">
        <f t="shared" si="0"/>
        <v>0.3</v>
      </c>
    </row>
    <row r="44" spans="1:18" ht="15" customHeight="1">
      <c r="A44" s="11">
        <v>42430</v>
      </c>
      <c r="B44" s="7">
        <f>CHOOSE( CONTROL!$C$37, 4.2574, 4.2563) * CHOOSE(CONTROL!$C$20, $D$12, 100%, $F$12)</f>
        <v>4.2573999999999996</v>
      </c>
      <c r="C44" s="7">
        <f>CHOOSE( CONTROL!$C$37, 4.2624, 4.2614) * CHOOSE(CONTROL!$C$20, $D$12, 100%, $F$12)</f>
        <v>4.2624000000000004</v>
      </c>
      <c r="D44" s="7">
        <f>CHOOSE( CONTROL!$C$37, 4.2539, 4.2528) * CHOOSE( CONTROL!$C$20, $D$12, 100%, $F$12)</f>
        <v>4.2538999999999998</v>
      </c>
      <c r="E44" s="10">
        <f>CHOOSE( CONTROL!$C$37, 4.2565, 4.2554) * CHOOSE( CONTROL!$C$20, $D$12, 100%, $F$12)</f>
        <v>4.2565</v>
      </c>
      <c r="F44" s="4">
        <f>CHOOSE( CONTROL!$C$37, 4.9099, 4.9088) * CHOOSE(CONTROL!$C$20, $D$12, 100%, $F$12)</f>
        <v>4.9099000000000004</v>
      </c>
      <c r="G44" s="7">
        <f>CHOOSE( CONTROL!$C$37, 4.2364, 4.2354) * CHOOSE( CONTROL!$C$20, $D$12, 100%, $F$12)</f>
        <v>4.2363999999999997</v>
      </c>
      <c r="H44" s="4">
        <f>CHOOSE( CONTROL!$C$37, 5.1152, 5.1142) * CHOOSE(CONTROL!$C$20, $D$12, 100%, $F$12)</f>
        <v>5.1151999999999997</v>
      </c>
      <c r="I44" s="7">
        <f>CHOOSE( CONTROL!$C$37, 4.2911, 4.2901) * CHOOSE(CONTROL!$C$20, $D$12, 100%, $F$12)</f>
        <v>4.2911000000000001</v>
      </c>
      <c r="J44" s="4">
        <f>CHOOSE( CONTROL!$C$37, 4.1391, 4.138) * CHOOSE(CONTROL!$C$20, $D$12, 100%, $F$12)</f>
        <v>4.1391</v>
      </c>
      <c r="K44" s="4"/>
      <c r="L44" s="8">
        <v>29.306000000000001</v>
      </c>
      <c r="M44" s="8">
        <v>12.063700000000001</v>
      </c>
      <c r="N44" s="8">
        <v>4.9444999999999997</v>
      </c>
      <c r="O44" s="8">
        <v>0.61570000000000003</v>
      </c>
      <c r="P44" s="8">
        <v>1.2183999999999999</v>
      </c>
      <c r="Q44" s="8"/>
      <c r="R44" s="8">
        <f t="shared" si="0"/>
        <v>0.3</v>
      </c>
    </row>
    <row r="45" spans="1:18" ht="15" customHeight="1">
      <c r="A45" s="11">
        <v>42461</v>
      </c>
      <c r="B45" s="7">
        <f>CHOOSE( CONTROL!$C$37, 4.0154, 4.0143) * CHOOSE(CONTROL!$C$20, $D$12, 100%, $F$12)</f>
        <v>4.0153999999999996</v>
      </c>
      <c r="C45" s="7">
        <f>CHOOSE( CONTROL!$C$37, 4.02, 4.0189) * CHOOSE(CONTROL!$C$20, $D$12, 100%, $F$12)</f>
        <v>4.0199999999999996</v>
      </c>
      <c r="D45" s="7">
        <f>CHOOSE( CONTROL!$C$37, 4.012, 4.011) * CHOOSE( CONTROL!$C$20, $D$12, 100%, $F$12)</f>
        <v>4.0119999999999996</v>
      </c>
      <c r="E45" s="10">
        <f>CHOOSE( CONTROL!$C$37, 4.0141, 4.0131) * CHOOSE( CONTROL!$C$20, $D$12, 100%, $F$12)</f>
        <v>4.0141</v>
      </c>
      <c r="F45" s="4">
        <f>CHOOSE( CONTROL!$C$37, 4.7421, 4.741) * CHOOSE(CONTROL!$C$20, $D$12, 100%, $F$12)</f>
        <v>4.7420999999999998</v>
      </c>
      <c r="G45" s="7">
        <f>CHOOSE( CONTROL!$C$37, 3.9833, 3.9822) * CHOOSE( CONTROL!$C$20, $D$12, 100%, $F$12)</f>
        <v>3.9832999999999998</v>
      </c>
      <c r="H45" s="4">
        <f>CHOOSE( CONTROL!$C$37, 4.9498, 4.9487) * CHOOSE(CONTROL!$C$20, $D$12, 100%, $F$12)</f>
        <v>4.9497999999999998</v>
      </c>
      <c r="I45" s="7">
        <f>CHOOSE( CONTROL!$C$37, 4.0286, 4.0276) * CHOOSE(CONTROL!$C$20, $D$12, 100%, $F$12)</f>
        <v>4.0286</v>
      </c>
      <c r="J45" s="4">
        <f>CHOOSE( CONTROL!$C$37, 3.9041, 3.903) * CHOOSE(CONTROL!$C$20, $D$12, 100%, $F$12)</f>
        <v>3.9041000000000001</v>
      </c>
      <c r="K45" s="4"/>
      <c r="L45" s="8">
        <v>30.092199999999998</v>
      </c>
      <c r="M45" s="8">
        <v>11.6745</v>
      </c>
      <c r="N45" s="8">
        <v>4.7850000000000001</v>
      </c>
      <c r="O45" s="8">
        <v>0.59589999999999999</v>
      </c>
      <c r="P45" s="8">
        <v>2.0339999999999998</v>
      </c>
      <c r="Q45" s="8"/>
      <c r="R45" s="8">
        <f t="shared" si="0"/>
        <v>0.3</v>
      </c>
    </row>
    <row r="46" spans="1:18" ht="15" customHeight="1">
      <c r="A46" s="11">
        <v>42491</v>
      </c>
      <c r="B46" s="7">
        <f>CHOOSE( CONTROL!$C$37, 4.0277, 4.026) * CHOOSE(CONTROL!$C$20, $D$12, 100%, $F$12)</f>
        <v>4.0277000000000003</v>
      </c>
      <c r="C46" s="7">
        <f>CHOOSE( CONTROL!$C$37, 4.0357, 4.034) * CHOOSE(CONTROL!$C$20, $D$12, 100%, $F$12)</f>
        <v>4.0357000000000003</v>
      </c>
      <c r="D46" s="7">
        <f>CHOOSE( CONTROL!$C$37, 4.0339, 4.0322) * CHOOSE( CONTROL!$C$20, $D$12, 100%, $F$12)</f>
        <v>4.0339</v>
      </c>
      <c r="E46" s="10">
        <f>CHOOSE( CONTROL!$C$37, 4.0333, 4.0316) * CHOOSE( CONTROL!$C$20, $D$12, 100%, $F$12)</f>
        <v>4.0332999999999997</v>
      </c>
      <c r="F46" s="4">
        <f>CHOOSE( CONTROL!$C$37, 4.753, 4.7513) * CHOOSE(CONTROL!$C$20, $D$12, 100%, $F$12)</f>
        <v>4.7530000000000001</v>
      </c>
      <c r="G46" s="7">
        <f>CHOOSE( CONTROL!$C$37, 3.9904, 3.9888) * CHOOSE( CONTROL!$C$20, $D$12, 100%, $F$12)</f>
        <v>3.9904000000000002</v>
      </c>
      <c r="H46" s="4">
        <f>CHOOSE( CONTROL!$C$37, 4.9605, 4.9589) * CHOOSE(CONTROL!$C$20, $D$12, 100%, $F$12)</f>
        <v>4.9604999999999997</v>
      </c>
      <c r="I46" s="7">
        <f>CHOOSE( CONTROL!$C$37, 4.0389, 4.0373) * CHOOSE(CONTROL!$C$20, $D$12, 100%, $F$12)</f>
        <v>4.0388999999999999</v>
      </c>
      <c r="J46" s="4">
        <f>CHOOSE( CONTROL!$C$37, 3.9146, 3.913) * CHOOSE(CONTROL!$C$20, $D$12, 100%, $F$12)</f>
        <v>3.9146000000000001</v>
      </c>
      <c r="K46" s="4"/>
      <c r="L46" s="8">
        <v>30.7165</v>
      </c>
      <c r="M46" s="8">
        <v>12.063700000000001</v>
      </c>
      <c r="N46" s="8">
        <v>4.9444999999999997</v>
      </c>
      <c r="O46" s="8">
        <v>0.37409999999999999</v>
      </c>
      <c r="P46" s="8">
        <v>2.1017999999999999</v>
      </c>
      <c r="Q46" s="8"/>
      <c r="R46" s="8">
        <f t="shared" si="0"/>
        <v>0.3</v>
      </c>
    </row>
    <row r="47" spans="1:18" ht="15" customHeight="1">
      <c r="A47" s="11">
        <v>42522</v>
      </c>
      <c r="B47" s="7">
        <f>CHOOSE( CONTROL!$C$37, 4.0576, 4.056) * CHOOSE(CONTROL!$C$20, $D$12, 100%, $F$12)</f>
        <v>4.0575999999999999</v>
      </c>
      <c r="C47" s="7">
        <f>CHOOSE( CONTROL!$C$37, 4.0656, 4.064) * CHOOSE(CONTROL!$C$20, $D$12, 100%, $F$12)</f>
        <v>4.0655999999999999</v>
      </c>
      <c r="D47" s="7">
        <f>CHOOSE( CONTROL!$C$37, 4.0641, 4.0624) * CHOOSE( CONTROL!$C$20, $D$12, 100%, $F$12)</f>
        <v>4.0640999999999998</v>
      </c>
      <c r="E47" s="10">
        <f>CHOOSE( CONTROL!$C$37, 4.0634, 4.0618) * CHOOSE( CONTROL!$C$20, $D$12, 100%, $F$12)</f>
        <v>4.0633999999999997</v>
      </c>
      <c r="F47" s="4">
        <f>CHOOSE( CONTROL!$C$37, 4.7829, 4.7813) * CHOOSE(CONTROL!$C$20, $D$12, 100%, $F$12)</f>
        <v>4.7828999999999997</v>
      </c>
      <c r="G47" s="7">
        <f>CHOOSE( CONTROL!$C$37, 4.0203, 4.0186) * CHOOSE( CONTROL!$C$20, $D$12, 100%, $F$12)</f>
        <v>4.0202999999999998</v>
      </c>
      <c r="H47" s="4">
        <f>CHOOSE( CONTROL!$C$37, 4.99, 4.9884) * CHOOSE(CONTROL!$C$20, $D$12, 100%, $F$12)</f>
        <v>4.99</v>
      </c>
      <c r="I47" s="7">
        <f>CHOOSE( CONTROL!$C$37, 4.0688, 4.0672) * CHOOSE(CONTROL!$C$20, $D$12, 100%, $F$12)</f>
        <v>4.0688000000000004</v>
      </c>
      <c r="J47" s="4">
        <f>CHOOSE( CONTROL!$C$37, 3.9436, 3.942) * CHOOSE(CONTROL!$C$20, $D$12, 100%, $F$12)</f>
        <v>3.9436</v>
      </c>
      <c r="K47" s="4"/>
      <c r="L47" s="8">
        <v>29.7257</v>
      </c>
      <c r="M47" s="8">
        <v>11.6745</v>
      </c>
      <c r="N47" s="8">
        <v>4.7850000000000001</v>
      </c>
      <c r="O47" s="8">
        <v>0.36199999999999999</v>
      </c>
      <c r="P47" s="8">
        <v>2.0339999999999998</v>
      </c>
      <c r="Q47" s="8"/>
      <c r="R47" s="8">
        <f t="shared" si="0"/>
        <v>0.3</v>
      </c>
    </row>
    <row r="48" spans="1:18" ht="15" customHeight="1">
      <c r="A48" s="11">
        <v>42552</v>
      </c>
      <c r="B48" s="7">
        <f>CHOOSE( CONTROL!$C$37, 4.0876, 4.0859) * CHOOSE(CONTROL!$C$20, $D$12, 100%, $F$12)</f>
        <v>4.0876000000000001</v>
      </c>
      <c r="C48" s="7">
        <f>CHOOSE( CONTROL!$C$37, 4.0956, 4.0939) * CHOOSE(CONTROL!$C$20, $D$12, 100%, $F$12)</f>
        <v>4.0956000000000001</v>
      </c>
      <c r="D48" s="7">
        <f>CHOOSE( CONTROL!$C$37, 4.0944, 4.0927) * CHOOSE( CONTROL!$C$20, $D$12, 100%, $F$12)</f>
        <v>4.0944000000000003</v>
      </c>
      <c r="E48" s="10">
        <f>CHOOSE( CONTROL!$C$37, 4.0936, 4.0919) * CHOOSE( CONTROL!$C$20, $D$12, 100%, $F$12)</f>
        <v>4.0936000000000003</v>
      </c>
      <c r="F48" s="4">
        <f>CHOOSE( CONTROL!$C$37, 4.8129, 4.8112) * CHOOSE(CONTROL!$C$20, $D$12, 100%, $F$12)</f>
        <v>4.8129</v>
      </c>
      <c r="G48" s="7">
        <f>CHOOSE( CONTROL!$C$37, 4.0501, 4.0485) * CHOOSE( CONTROL!$C$20, $D$12, 100%, $F$12)</f>
        <v>4.0500999999999996</v>
      </c>
      <c r="H48" s="4">
        <f>CHOOSE( CONTROL!$C$37, 5.0196, 5.0179) * CHOOSE(CONTROL!$C$20, $D$12, 100%, $F$12)</f>
        <v>5.0195999999999996</v>
      </c>
      <c r="I48" s="7">
        <f>CHOOSE( CONTROL!$C$37, 4.0989, 4.0973) * CHOOSE(CONTROL!$C$20, $D$12, 100%, $F$12)</f>
        <v>4.0989000000000004</v>
      </c>
      <c r="J48" s="4">
        <f>CHOOSE( CONTROL!$C$37, 3.9726, 3.971) * CHOOSE(CONTROL!$C$20, $D$12, 100%, $F$12)</f>
        <v>3.9725999999999999</v>
      </c>
      <c r="K48" s="4"/>
      <c r="L48" s="8">
        <v>30.7165</v>
      </c>
      <c r="M48" s="8">
        <v>12.063700000000001</v>
      </c>
      <c r="N48" s="8">
        <v>4.9444999999999997</v>
      </c>
      <c r="O48" s="8">
        <v>0.37409999999999999</v>
      </c>
      <c r="P48" s="8">
        <v>2.1017999999999999</v>
      </c>
      <c r="Q48" s="8"/>
      <c r="R48" s="8">
        <f t="shared" si="0"/>
        <v>0.3</v>
      </c>
    </row>
    <row r="49" spans="1:18" ht="15" customHeight="1">
      <c r="A49" s="11">
        <v>42583</v>
      </c>
      <c r="B49" s="7">
        <f>CHOOSE( CONTROL!$C$37, 4.0979, 4.0963) * CHOOSE(CONTROL!$C$20, $D$12, 100%, $F$12)</f>
        <v>4.0979000000000001</v>
      </c>
      <c r="C49" s="7">
        <f>CHOOSE( CONTROL!$C$37, 4.1059, 4.1043) * CHOOSE(CONTROL!$C$20, $D$12, 100%, $F$12)</f>
        <v>4.1059000000000001</v>
      </c>
      <c r="D49" s="7">
        <f>CHOOSE( CONTROL!$C$37, 4.1048, 4.1031) * CHOOSE( CONTROL!$C$20, $D$12, 100%, $F$12)</f>
        <v>4.1048</v>
      </c>
      <c r="E49" s="10">
        <f>CHOOSE( CONTROL!$C$37, 4.104, 4.1023) * CHOOSE( CONTROL!$C$20, $D$12, 100%, $F$12)</f>
        <v>4.1040000000000001</v>
      </c>
      <c r="F49" s="4">
        <f>CHOOSE( CONTROL!$C$37, 4.8232, 4.8215) * CHOOSE(CONTROL!$C$20, $D$12, 100%, $F$12)</f>
        <v>4.8231999999999999</v>
      </c>
      <c r="G49" s="7">
        <f>CHOOSE( CONTROL!$C$37, 4.0604, 4.0588) * CHOOSE( CONTROL!$C$20, $D$12, 100%, $F$12)</f>
        <v>4.0603999999999996</v>
      </c>
      <c r="H49" s="4">
        <f>CHOOSE( CONTROL!$C$37, 5.0298, 5.0281) * CHOOSE(CONTROL!$C$20, $D$12, 100%, $F$12)</f>
        <v>5.0297999999999998</v>
      </c>
      <c r="I49" s="7">
        <f>CHOOSE( CONTROL!$C$37, 4.1092, 4.1076) * CHOOSE(CONTROL!$C$20, $D$12, 100%, $F$12)</f>
        <v>4.1092000000000004</v>
      </c>
      <c r="J49" s="4">
        <f>CHOOSE( CONTROL!$C$37, 3.9826, 3.981) * CHOOSE(CONTROL!$C$20, $D$12, 100%, $F$12)</f>
        <v>3.9826000000000001</v>
      </c>
      <c r="K49" s="4"/>
      <c r="L49" s="8">
        <v>30.7165</v>
      </c>
      <c r="M49" s="8">
        <v>12.063700000000001</v>
      </c>
      <c r="N49" s="8">
        <v>4.9444999999999997</v>
      </c>
      <c r="O49" s="8">
        <v>0.37409999999999999</v>
      </c>
      <c r="P49" s="8">
        <v>2.1017999999999999</v>
      </c>
      <c r="Q49" s="8"/>
      <c r="R49" s="8">
        <f t="shared" si="0"/>
        <v>0.3</v>
      </c>
    </row>
    <row r="50" spans="1:18" ht="15" customHeight="1">
      <c r="A50" s="11">
        <v>42614</v>
      </c>
      <c r="B50" s="7">
        <f>CHOOSE( CONTROL!$C$37, 4.0876, 4.0859) * CHOOSE(CONTROL!$C$20, $D$12, 100%, $F$12)</f>
        <v>4.0876000000000001</v>
      </c>
      <c r="C50" s="7">
        <f>CHOOSE( CONTROL!$C$37, 4.0956, 4.0939) * CHOOSE(CONTROL!$C$20, $D$12, 100%, $F$12)</f>
        <v>4.0956000000000001</v>
      </c>
      <c r="D50" s="7">
        <f>CHOOSE( CONTROL!$C$37, 4.0944, 4.0927) * CHOOSE( CONTROL!$C$20, $D$12, 100%, $F$12)</f>
        <v>4.0944000000000003</v>
      </c>
      <c r="E50" s="10">
        <f>CHOOSE( CONTROL!$C$37, 4.0936, 4.0919) * CHOOSE( CONTROL!$C$20, $D$12, 100%, $F$12)</f>
        <v>4.0936000000000003</v>
      </c>
      <c r="F50" s="4">
        <f>CHOOSE( CONTROL!$C$37, 4.8129, 4.8112) * CHOOSE(CONTROL!$C$20, $D$12, 100%, $F$12)</f>
        <v>4.8129</v>
      </c>
      <c r="G50" s="7">
        <f>CHOOSE( CONTROL!$C$37, 4.0501, 4.0485) * CHOOSE( CONTROL!$C$20, $D$12, 100%, $F$12)</f>
        <v>4.0500999999999996</v>
      </c>
      <c r="H50" s="4">
        <f>CHOOSE( CONTROL!$C$37, 5.0196, 5.0179) * CHOOSE(CONTROL!$C$20, $D$12, 100%, $F$12)</f>
        <v>5.0195999999999996</v>
      </c>
      <c r="I50" s="7">
        <f>CHOOSE( CONTROL!$C$37, 4.0988, 4.0972) * CHOOSE(CONTROL!$C$20, $D$12, 100%, $F$12)</f>
        <v>4.0987999999999998</v>
      </c>
      <c r="J50" s="4">
        <f>CHOOSE( CONTROL!$C$37, 3.9726, 3.971) * CHOOSE(CONTROL!$C$20, $D$12, 100%, $F$12)</f>
        <v>3.9725999999999999</v>
      </c>
      <c r="K50" s="4"/>
      <c r="L50" s="8">
        <v>29.7257</v>
      </c>
      <c r="M50" s="8">
        <v>11.6745</v>
      </c>
      <c r="N50" s="8">
        <v>4.7850000000000001</v>
      </c>
      <c r="O50" s="8">
        <v>0.36199999999999999</v>
      </c>
      <c r="P50" s="8">
        <v>2.0339999999999998</v>
      </c>
      <c r="Q50" s="8"/>
      <c r="R50" s="8">
        <f t="shared" si="0"/>
        <v>0.3</v>
      </c>
    </row>
    <row r="51" spans="1:18" ht="15" customHeight="1">
      <c r="A51" s="11">
        <v>42644</v>
      </c>
      <c r="B51" s="7">
        <f>CHOOSE( CONTROL!$C$37, 4.1111, 4.11) * CHOOSE(CONTROL!$C$20, $D$12, 100%, $F$12)</f>
        <v>4.1111000000000004</v>
      </c>
      <c r="C51" s="7">
        <f>CHOOSE( CONTROL!$C$37, 4.1165, 4.1154) * CHOOSE(CONTROL!$C$20, $D$12, 100%, $F$12)</f>
        <v>4.1165000000000003</v>
      </c>
      <c r="D51" s="7">
        <f>CHOOSE( CONTROL!$C$37, 4.1021, 4.101) * CHOOSE( CONTROL!$C$20, $D$12, 100%, $F$12)</f>
        <v>4.1021000000000001</v>
      </c>
      <c r="E51" s="10">
        <f>CHOOSE( CONTROL!$C$37, 4.1063, 4.1052) * CHOOSE( CONTROL!$C$20, $D$12, 100%, $F$12)</f>
        <v>4.1063000000000001</v>
      </c>
      <c r="F51" s="4">
        <f>CHOOSE( CONTROL!$C$37, 4.8381, 4.837) * CHOOSE(CONTROL!$C$20, $D$12, 100%, $F$12)</f>
        <v>4.8380999999999998</v>
      </c>
      <c r="G51" s="7">
        <f>CHOOSE( CONTROL!$C$37, 4.0999, 4.0988) * CHOOSE( CONTROL!$C$20, $D$12, 100%, $F$12)</f>
        <v>4.0998999999999999</v>
      </c>
      <c r="H51" s="4">
        <f>CHOOSE( CONTROL!$C$37, 5.0445, 5.0434) * CHOOSE(CONTROL!$C$20, $D$12, 100%, $F$12)</f>
        <v>5.0445000000000002</v>
      </c>
      <c r="I51" s="7">
        <f>CHOOSE( CONTROL!$C$37, 4.1239, 4.1229) * CHOOSE(CONTROL!$C$20, $D$12, 100%, $F$12)</f>
        <v>4.1238999999999999</v>
      </c>
      <c r="J51" s="4">
        <f>CHOOSE( CONTROL!$C$37, 3.9971, 3.996) * CHOOSE(CONTROL!$C$20, $D$12, 100%, $F$12)</f>
        <v>3.9971000000000001</v>
      </c>
      <c r="K51" s="4"/>
      <c r="L51" s="8">
        <v>31.095300000000002</v>
      </c>
      <c r="M51" s="8">
        <v>12.063700000000001</v>
      </c>
      <c r="N51" s="8">
        <v>4.9444999999999997</v>
      </c>
      <c r="O51" s="8">
        <v>0.37409999999999999</v>
      </c>
      <c r="P51" s="8">
        <v>2.1017999999999999</v>
      </c>
      <c r="Q51" s="8"/>
      <c r="R51" s="8">
        <f t="shared" si="0"/>
        <v>0.3</v>
      </c>
    </row>
    <row r="52" spans="1:18" ht="15" customHeight="1">
      <c r="A52" s="11">
        <v>42675</v>
      </c>
      <c r="B52" s="7">
        <f>CHOOSE( CONTROL!$C$37, 4.1902, 4.1891) * CHOOSE(CONTROL!$C$20, $D$12, 100%, $F$12)</f>
        <v>4.1901999999999999</v>
      </c>
      <c r="C52" s="7">
        <f>CHOOSE( CONTROL!$C$37, 4.1953, 4.1942) * CHOOSE(CONTROL!$C$20, $D$12, 100%, $F$12)</f>
        <v>4.1952999999999996</v>
      </c>
      <c r="D52" s="7">
        <f>CHOOSE( CONTROL!$C$37, 4.1738, 4.1727) * CHOOSE( CONTROL!$C$20, $D$12, 100%, $F$12)</f>
        <v>4.1738</v>
      </c>
      <c r="E52" s="10">
        <f>CHOOSE( CONTROL!$C$37, 4.1811, 4.18) * CHOOSE( CONTROL!$C$20, $D$12, 100%, $F$12)</f>
        <v>4.1810999999999998</v>
      </c>
      <c r="F52" s="4">
        <f>CHOOSE( CONTROL!$C$37, 4.8428, 4.8417) * CHOOSE(CONTROL!$C$20, $D$12, 100%, $F$12)</f>
        <v>4.8428000000000004</v>
      </c>
      <c r="G52" s="7">
        <f>CHOOSE( CONTROL!$C$37, 4.1644, 4.1634) * CHOOSE( CONTROL!$C$20, $D$12, 100%, $F$12)</f>
        <v>4.1643999999999997</v>
      </c>
      <c r="H52" s="4">
        <f>CHOOSE( CONTROL!$C$37, 5.049, 5.048) * CHOOSE(CONTROL!$C$20, $D$12, 100%, $F$12)</f>
        <v>5.0490000000000004</v>
      </c>
      <c r="I52" s="7">
        <f>CHOOSE( CONTROL!$C$37, 4.2521, 4.2511) * CHOOSE(CONTROL!$C$20, $D$12, 100%, $F$12)</f>
        <v>4.2521000000000004</v>
      </c>
      <c r="J52" s="4">
        <f>CHOOSE( CONTROL!$C$37, 4.0741, 4.073) * CHOOSE(CONTROL!$C$20, $D$12, 100%, $F$12)</f>
        <v>4.0740999999999996</v>
      </c>
      <c r="K52" s="4"/>
      <c r="L52" s="8">
        <v>28.360600000000002</v>
      </c>
      <c r="M52" s="8">
        <v>11.6745</v>
      </c>
      <c r="N52" s="8">
        <v>4.7850000000000001</v>
      </c>
      <c r="O52" s="8">
        <v>0.36199999999999999</v>
      </c>
      <c r="P52" s="8">
        <v>1.1791</v>
      </c>
      <c r="Q52" s="8"/>
      <c r="R52" s="8">
        <f t="shared" si="0"/>
        <v>0.3</v>
      </c>
    </row>
    <row r="53" spans="1:18" ht="15" customHeight="1">
      <c r="A53" s="11">
        <v>42705</v>
      </c>
      <c r="B53" s="7">
        <f>CHOOSE( CONTROL!$C$37, 4.3689, 4.3678) * CHOOSE(CONTROL!$C$20, $D$12, 100%, $F$12)</f>
        <v>4.3689</v>
      </c>
      <c r="C53" s="7">
        <f>CHOOSE( CONTROL!$C$37, 4.374, 4.3729) * CHOOSE(CONTROL!$C$20, $D$12, 100%, $F$12)</f>
        <v>4.3739999999999997</v>
      </c>
      <c r="D53" s="7">
        <f>CHOOSE( CONTROL!$C$37, 4.354, 4.3529) * CHOOSE( CONTROL!$C$20, $D$12, 100%, $F$12)</f>
        <v>4.3540000000000001</v>
      </c>
      <c r="E53" s="10">
        <f>CHOOSE( CONTROL!$C$37, 4.3608, 4.3597) * CHOOSE( CONTROL!$C$20, $D$12, 100%, $F$12)</f>
        <v>4.3608000000000002</v>
      </c>
      <c r="F53" s="4">
        <f>CHOOSE( CONTROL!$C$37, 5.0214, 5.0203) * CHOOSE(CONTROL!$C$20, $D$12, 100%, $F$12)</f>
        <v>5.0213999999999999</v>
      </c>
      <c r="G53" s="7">
        <f>CHOOSE( CONTROL!$C$37, 4.3417, 4.3407) * CHOOSE( CONTROL!$C$20, $D$12, 100%, $F$12)</f>
        <v>4.3417000000000003</v>
      </c>
      <c r="H53" s="4">
        <f>CHOOSE( CONTROL!$C$37, 5.2252, 5.2241) * CHOOSE(CONTROL!$C$20, $D$12, 100%, $F$12)</f>
        <v>5.2252000000000001</v>
      </c>
      <c r="I53" s="7">
        <f>CHOOSE( CONTROL!$C$37, 4.4301, 4.429) * CHOOSE(CONTROL!$C$20, $D$12, 100%, $F$12)</f>
        <v>4.4301000000000004</v>
      </c>
      <c r="J53" s="4">
        <f>CHOOSE( CONTROL!$C$37, 4.2471, 4.246) * CHOOSE(CONTROL!$C$20, $D$12, 100%, $F$12)</f>
        <v>4.2470999999999997</v>
      </c>
      <c r="K53" s="4"/>
      <c r="L53" s="8">
        <v>29.306000000000001</v>
      </c>
      <c r="M53" s="8">
        <v>12.063700000000001</v>
      </c>
      <c r="N53" s="8">
        <v>4.9444999999999997</v>
      </c>
      <c r="O53" s="8">
        <v>0.37409999999999999</v>
      </c>
      <c r="P53" s="8">
        <v>1.2183999999999999</v>
      </c>
      <c r="Q53" s="8"/>
      <c r="R53" s="8">
        <f t="shared" si="0"/>
        <v>0.3</v>
      </c>
    </row>
    <row r="54" spans="1:18" ht="15" customHeight="1">
      <c r="A54" s="11">
        <v>42736</v>
      </c>
      <c r="B54" s="7">
        <f>CHOOSE( CONTROL!$C$37, 4.9071, 4.906) * CHOOSE(CONTROL!$C$20, $D$12, 100%, $F$12)</f>
        <v>4.9070999999999998</v>
      </c>
      <c r="C54" s="7">
        <f>CHOOSE( CONTROL!$C$37, 4.9122, 4.9111) * CHOOSE(CONTROL!$C$20, $D$12, 100%, $F$12)</f>
        <v>4.9122000000000003</v>
      </c>
      <c r="D54" s="7">
        <f>CHOOSE( CONTROL!$C$37, 4.9053, 4.9042) * CHOOSE( CONTROL!$C$20, $D$12, 100%, $F$12)</f>
        <v>4.9053000000000004</v>
      </c>
      <c r="E54" s="10">
        <f>CHOOSE( CONTROL!$C$37, 4.9073, 4.9062) * CHOOSE( CONTROL!$C$20, $D$12, 100%, $F$12)</f>
        <v>4.9073000000000002</v>
      </c>
      <c r="F54" s="4">
        <f>CHOOSE( CONTROL!$C$37, 5.5596, 5.5585) * CHOOSE(CONTROL!$C$20, $D$12, 100%, $F$12)</f>
        <v>5.5595999999999997</v>
      </c>
      <c r="G54" s="7">
        <f>CHOOSE( CONTROL!$C$37, 4.8769, 4.8758) * CHOOSE( CONTROL!$C$20, $D$12, 100%, $F$12)</f>
        <v>4.8769</v>
      </c>
      <c r="H54" s="4">
        <f>CHOOSE( CONTROL!$C$37, 5.7559, 5.7548) * CHOOSE(CONTROL!$C$20, $D$12, 100%, $F$12)</f>
        <v>5.7558999999999996</v>
      </c>
      <c r="I54" s="7">
        <f>CHOOSE( CONTROL!$C$37, 4.9228, 4.9217) * CHOOSE(CONTROL!$C$20, $D$12, 100%, $F$12)</f>
        <v>4.9227999999999996</v>
      </c>
      <c r="J54" s="4">
        <f>CHOOSE( CONTROL!$C$37, 4.7682, 4.7671) * CHOOSE(CONTROL!$C$20, $D$12, 100%, $F$12)</f>
        <v>4.7682000000000002</v>
      </c>
      <c r="K54" s="4"/>
      <c r="L54" s="8">
        <v>29.306000000000001</v>
      </c>
      <c r="M54" s="8">
        <v>12.063700000000001</v>
      </c>
      <c r="N54" s="8">
        <v>4.9444999999999997</v>
      </c>
      <c r="O54" s="8">
        <v>0.37409999999999999</v>
      </c>
      <c r="P54" s="8">
        <v>1.2183999999999999</v>
      </c>
      <c r="Q54" s="8"/>
      <c r="R54" s="8">
        <f t="shared" si="0"/>
        <v>0.3</v>
      </c>
    </row>
    <row r="55" spans="1:18" ht="15" customHeight="1">
      <c r="A55" s="11">
        <v>42767</v>
      </c>
      <c r="B55" s="7">
        <f>CHOOSE( CONTROL!$C$37, 4.5888, 4.5877) * CHOOSE(CONTROL!$C$20, $D$12, 100%, $F$12)</f>
        <v>4.5888</v>
      </c>
      <c r="C55" s="7">
        <f>CHOOSE( CONTROL!$C$37, 4.5939, 4.5928) * CHOOSE(CONTROL!$C$20, $D$12, 100%, $F$12)</f>
        <v>4.5938999999999997</v>
      </c>
      <c r="D55" s="7">
        <f>CHOOSE( CONTROL!$C$37, 4.5869, 4.5858) * CHOOSE( CONTROL!$C$20, $D$12, 100%, $F$12)</f>
        <v>4.5869</v>
      </c>
      <c r="E55" s="10">
        <f>CHOOSE( CONTROL!$C$37, 4.5889, 4.5878) * CHOOSE( CONTROL!$C$20, $D$12, 100%, $F$12)</f>
        <v>4.5888999999999998</v>
      </c>
      <c r="F55" s="4">
        <f>CHOOSE( CONTROL!$C$37, 5.2413, 5.2402) * CHOOSE(CONTROL!$C$20, $D$12, 100%, $F$12)</f>
        <v>5.2412999999999998</v>
      </c>
      <c r="G55" s="7">
        <f>CHOOSE( CONTROL!$C$37, 4.563, 4.5619) * CHOOSE( CONTROL!$C$20, $D$12, 100%, $F$12)</f>
        <v>4.5629999999999997</v>
      </c>
      <c r="H55" s="4">
        <f>CHOOSE( CONTROL!$C$37, 5.4421, 5.441) * CHOOSE(CONTROL!$C$20, $D$12, 100%, $F$12)</f>
        <v>5.4420999999999999</v>
      </c>
      <c r="I55" s="7">
        <f>CHOOSE( CONTROL!$C$37, 4.6142, 4.6131) * CHOOSE(CONTROL!$C$20, $D$12, 100%, $F$12)</f>
        <v>4.6142000000000003</v>
      </c>
      <c r="J55" s="4">
        <f>CHOOSE( CONTROL!$C$37, 4.46, 4.4589) * CHOOSE(CONTROL!$C$20, $D$12, 100%, $F$12)</f>
        <v>4.46</v>
      </c>
      <c r="K55" s="4"/>
      <c r="L55" s="8">
        <v>26.469899999999999</v>
      </c>
      <c r="M55" s="8">
        <v>10.8962</v>
      </c>
      <c r="N55" s="8">
        <v>4.4660000000000002</v>
      </c>
      <c r="O55" s="8">
        <v>0.33789999999999998</v>
      </c>
      <c r="P55" s="8">
        <v>1.1005</v>
      </c>
      <c r="Q55" s="8"/>
      <c r="R55" s="8">
        <f t="shared" si="0"/>
        <v>0.3</v>
      </c>
    </row>
    <row r="56" spans="1:18" ht="15" customHeight="1">
      <c r="A56" s="11">
        <v>42795</v>
      </c>
      <c r="B56" s="7">
        <f>CHOOSE( CONTROL!$C$37, 4.4908, 4.4897) * CHOOSE(CONTROL!$C$20, $D$12, 100%, $F$12)</f>
        <v>4.4908000000000001</v>
      </c>
      <c r="C56" s="7">
        <f>CHOOSE( CONTROL!$C$37, 4.4959, 4.4948) * CHOOSE(CONTROL!$C$20, $D$12, 100%, $F$12)</f>
        <v>4.4958999999999998</v>
      </c>
      <c r="D56" s="7">
        <f>CHOOSE( CONTROL!$C$37, 4.4883, 4.4872) * CHOOSE( CONTROL!$C$20, $D$12, 100%, $F$12)</f>
        <v>4.4882999999999997</v>
      </c>
      <c r="E56" s="10">
        <f>CHOOSE( CONTROL!$C$37, 4.4905, 4.4894) * CHOOSE( CONTROL!$C$20, $D$12, 100%, $F$12)</f>
        <v>4.4904999999999999</v>
      </c>
      <c r="F56" s="4">
        <f>CHOOSE( CONTROL!$C$37, 5.1433, 5.1422) * CHOOSE(CONTROL!$C$20, $D$12, 100%, $F$12)</f>
        <v>5.1433</v>
      </c>
      <c r="G56" s="7">
        <f>CHOOSE( CONTROL!$C$37, 4.4659, 4.4648) * CHOOSE( CONTROL!$C$20, $D$12, 100%, $F$12)</f>
        <v>4.4659000000000004</v>
      </c>
      <c r="H56" s="4">
        <f>CHOOSE( CONTROL!$C$37, 5.3454, 5.3443) * CHOOSE(CONTROL!$C$20, $D$12, 100%, $F$12)</f>
        <v>5.3453999999999997</v>
      </c>
      <c r="I56" s="7">
        <f>CHOOSE( CONTROL!$C$37, 4.5173, 4.5162) * CHOOSE(CONTROL!$C$20, $D$12, 100%, $F$12)</f>
        <v>4.5172999999999996</v>
      </c>
      <c r="J56" s="4">
        <f>CHOOSE( CONTROL!$C$37, 4.3651, 4.364) * CHOOSE(CONTROL!$C$20, $D$12, 100%, $F$12)</f>
        <v>4.3651</v>
      </c>
      <c r="K56" s="4"/>
      <c r="L56" s="8">
        <v>29.306000000000001</v>
      </c>
      <c r="M56" s="8">
        <v>12.063700000000001</v>
      </c>
      <c r="N56" s="8">
        <v>4.9444999999999997</v>
      </c>
      <c r="O56" s="8">
        <v>0.37409999999999999</v>
      </c>
      <c r="P56" s="8">
        <v>1.2183999999999999</v>
      </c>
      <c r="Q56" s="8"/>
      <c r="R56" s="8">
        <f t="shared" si="0"/>
        <v>0.3</v>
      </c>
    </row>
    <row r="57" spans="1:18" ht="15" customHeight="1">
      <c r="A57" s="11">
        <v>42826</v>
      </c>
      <c r="B57" s="7">
        <f>CHOOSE( CONTROL!$C$37, 4.56, 4.5589) * CHOOSE(CONTROL!$C$20, $D$12, 100%, $F$12)</f>
        <v>4.5599999999999996</v>
      </c>
      <c r="C57" s="7">
        <f>CHOOSE( CONTROL!$C$37, 4.5646, 4.5635) * CHOOSE(CONTROL!$C$20, $D$12, 100%, $F$12)</f>
        <v>4.5646000000000004</v>
      </c>
      <c r="D57" s="7">
        <f>CHOOSE( CONTROL!$C$37, 4.569, 4.568) * CHOOSE( CONTROL!$C$20, $D$12, 100%, $F$12)</f>
        <v>4.569</v>
      </c>
      <c r="E57" s="10">
        <f>CHOOSE( CONTROL!$C$37, 4.567, 4.566) * CHOOSE( CONTROL!$C$20, $D$12, 100%, $F$12)</f>
        <v>4.5670000000000002</v>
      </c>
      <c r="F57" s="4">
        <f>CHOOSE( CONTROL!$C$37, 5.2867, 5.2856) * CHOOSE(CONTROL!$C$20, $D$12, 100%, $F$12)</f>
        <v>5.2866999999999997</v>
      </c>
      <c r="G57" s="7">
        <f>CHOOSE( CONTROL!$C$37, 4.5167, 4.5156) * CHOOSE( CONTROL!$C$20, $D$12, 100%, $F$12)</f>
        <v>4.5167000000000002</v>
      </c>
      <c r="H57" s="4">
        <f>CHOOSE( CONTROL!$C$37, 5.4868, 5.4857) * CHOOSE(CONTROL!$C$20, $D$12, 100%, $F$12)</f>
        <v>5.4867999999999997</v>
      </c>
      <c r="I57" s="7">
        <f>CHOOSE( CONTROL!$C$37, 4.5562, 4.5552) * CHOOSE(CONTROL!$C$20, $D$12, 100%, $F$12)</f>
        <v>4.5561999999999996</v>
      </c>
      <c r="J57" s="4">
        <f>CHOOSE( CONTROL!$C$37, 4.4314, 4.4303) * CHOOSE(CONTROL!$C$20, $D$12, 100%, $F$12)</f>
        <v>4.4314</v>
      </c>
      <c r="K57" s="4"/>
      <c r="L57" s="8">
        <v>30.092199999999998</v>
      </c>
      <c r="M57" s="8">
        <v>11.6745</v>
      </c>
      <c r="N57" s="8">
        <v>4.7850000000000001</v>
      </c>
      <c r="O57" s="8">
        <v>0.36199999999999999</v>
      </c>
      <c r="P57" s="8">
        <v>2.0339999999999998</v>
      </c>
      <c r="Q57" s="8"/>
      <c r="R57" s="8">
        <f t="shared" si="0"/>
        <v>0.3</v>
      </c>
    </row>
    <row r="58" spans="1:18" ht="15" customHeight="1">
      <c r="A58" s="11">
        <v>42856</v>
      </c>
      <c r="B58" s="7">
        <f>CHOOSE( CONTROL!$C$37, 4.6839, 4.6822) * CHOOSE(CONTROL!$C$20, $D$12, 100%, $F$12)</f>
        <v>4.6839000000000004</v>
      </c>
      <c r="C58" s="7">
        <f>CHOOSE( CONTROL!$C$37, 4.6919, 4.6902) * CHOOSE(CONTROL!$C$20, $D$12, 100%, $F$12)</f>
        <v>4.6919000000000004</v>
      </c>
      <c r="D58" s="7">
        <f>CHOOSE( CONTROL!$C$37, 4.69, 4.6884) * CHOOSE( CONTROL!$C$20, $D$12, 100%, $F$12)</f>
        <v>4.6900000000000004</v>
      </c>
      <c r="E58" s="10">
        <f>CHOOSE( CONTROL!$C$37, 4.6895, 4.6878) * CHOOSE( CONTROL!$C$20, $D$12, 100%, $F$12)</f>
        <v>4.6894999999999998</v>
      </c>
      <c r="F58" s="4">
        <f>CHOOSE( CONTROL!$C$37, 5.4092, 5.4075) * CHOOSE(CONTROL!$C$20, $D$12, 100%, $F$12)</f>
        <v>5.4092000000000002</v>
      </c>
      <c r="G58" s="7">
        <f>CHOOSE( CONTROL!$C$37, 4.6375, 4.6358) * CHOOSE( CONTROL!$C$20, $D$12, 100%, $F$12)</f>
        <v>4.6375000000000002</v>
      </c>
      <c r="H58" s="4">
        <f>CHOOSE( CONTROL!$C$37, 5.6075, 5.6059) * CHOOSE(CONTROL!$C$20, $D$12, 100%, $F$12)</f>
        <v>5.6074999999999999</v>
      </c>
      <c r="I58" s="7">
        <f>CHOOSE( CONTROL!$C$37, 4.6746, 4.673) * CHOOSE(CONTROL!$C$20, $D$12, 100%, $F$12)</f>
        <v>4.6745999999999999</v>
      </c>
      <c r="J58" s="4">
        <f>CHOOSE( CONTROL!$C$37, 4.55, 4.5484) * CHOOSE(CONTROL!$C$20, $D$12, 100%, $F$12)</f>
        <v>4.55</v>
      </c>
      <c r="K58" s="4"/>
      <c r="L58" s="8">
        <v>30.7165</v>
      </c>
      <c r="M58" s="8">
        <v>12.063700000000001</v>
      </c>
      <c r="N58" s="8">
        <v>4.9444999999999997</v>
      </c>
      <c r="O58" s="8">
        <v>0.37409999999999999</v>
      </c>
      <c r="P58" s="8">
        <v>2.1017999999999999</v>
      </c>
      <c r="Q58" s="8">
        <v>25.076499999999999</v>
      </c>
      <c r="R58" s="8"/>
    </row>
    <row r="59" spans="1:18" ht="15" customHeight="1">
      <c r="A59" s="11">
        <v>42887</v>
      </c>
      <c r="B59" s="7">
        <f>CHOOSE( CONTROL!$C$37, 4.6084, 4.6067) * CHOOSE(CONTROL!$C$20, $D$12, 100%, $F$12)</f>
        <v>4.6083999999999996</v>
      </c>
      <c r="C59" s="7">
        <f>CHOOSE( CONTROL!$C$37, 4.6164, 4.6147) * CHOOSE(CONTROL!$C$20, $D$12, 100%, $F$12)</f>
        <v>4.6163999999999996</v>
      </c>
      <c r="D59" s="7">
        <f>CHOOSE( CONTROL!$C$37, 4.6148, 4.6132) * CHOOSE( CONTROL!$C$20, $D$12, 100%, $F$12)</f>
        <v>4.6147999999999998</v>
      </c>
      <c r="E59" s="10">
        <f>CHOOSE( CONTROL!$C$37, 4.6142, 4.6125) * CHOOSE( CONTROL!$C$20, $D$12, 100%, $F$12)</f>
        <v>4.6142000000000003</v>
      </c>
      <c r="F59" s="4">
        <f>CHOOSE( CONTROL!$C$37, 5.3336, 5.332) * CHOOSE(CONTROL!$C$20, $D$12, 100%, $F$12)</f>
        <v>5.3335999999999997</v>
      </c>
      <c r="G59" s="7">
        <f>CHOOSE( CONTROL!$C$37, 4.5633, 4.5617) * CHOOSE( CONTROL!$C$20, $D$12, 100%, $F$12)</f>
        <v>4.5632999999999999</v>
      </c>
      <c r="H59" s="4">
        <f>CHOOSE( CONTROL!$C$37, 5.5331, 5.5314) * CHOOSE(CONTROL!$C$20, $D$12, 100%, $F$12)</f>
        <v>5.5331000000000001</v>
      </c>
      <c r="I59" s="7">
        <f>CHOOSE( CONTROL!$C$37, 4.6024, 4.6008) * CHOOSE(CONTROL!$C$20, $D$12, 100%, $F$12)</f>
        <v>4.6024000000000003</v>
      </c>
      <c r="J59" s="4">
        <f>CHOOSE( CONTROL!$C$37, 4.4769, 4.4753) * CHOOSE(CONTROL!$C$20, $D$12, 100%, $F$12)</f>
        <v>4.4768999999999997</v>
      </c>
      <c r="K59" s="4"/>
      <c r="L59" s="8">
        <v>29.7257</v>
      </c>
      <c r="M59" s="8">
        <v>11.6745</v>
      </c>
      <c r="N59" s="8">
        <v>4.7850000000000001</v>
      </c>
      <c r="O59" s="8">
        <v>0.36199999999999999</v>
      </c>
      <c r="P59" s="8">
        <v>2.0339999999999998</v>
      </c>
      <c r="Q59" s="8">
        <v>24.267600000000002</v>
      </c>
      <c r="R59" s="8"/>
    </row>
    <row r="60" spans="1:18" ht="15" customHeight="1">
      <c r="A60" s="11">
        <v>42917</v>
      </c>
      <c r="B60" s="7">
        <f>CHOOSE( CONTROL!$C$37, 4.8072, 4.8056) * CHOOSE(CONTROL!$C$20, $D$12, 100%, $F$12)</f>
        <v>4.8071999999999999</v>
      </c>
      <c r="C60" s="7">
        <f>CHOOSE( CONTROL!$C$37, 4.8152, 4.8136) * CHOOSE(CONTROL!$C$20, $D$12, 100%, $F$12)</f>
        <v>4.8151999999999999</v>
      </c>
      <c r="D60" s="7">
        <f>CHOOSE( CONTROL!$C$37, 4.814, 4.8124) * CHOOSE( CONTROL!$C$20, $D$12, 100%, $F$12)</f>
        <v>4.8140000000000001</v>
      </c>
      <c r="E60" s="10">
        <f>CHOOSE( CONTROL!$C$37, 4.8132, 4.8116) * CHOOSE( CONTROL!$C$20, $D$12, 100%, $F$12)</f>
        <v>4.8132000000000001</v>
      </c>
      <c r="F60" s="4">
        <f>CHOOSE( CONTROL!$C$37, 5.5325, 5.5309) * CHOOSE(CONTROL!$C$20, $D$12, 100%, $F$12)</f>
        <v>5.5324999999999998</v>
      </c>
      <c r="G60" s="7">
        <f>CHOOSE( CONTROL!$C$37, 4.7597, 4.7581) * CHOOSE( CONTROL!$C$20, $D$12, 100%, $F$12)</f>
        <v>4.7596999999999996</v>
      </c>
      <c r="H60" s="4">
        <f>CHOOSE( CONTROL!$C$37, 5.7292, 5.7275) * CHOOSE(CONTROL!$C$20, $D$12, 100%, $F$12)</f>
        <v>5.7291999999999996</v>
      </c>
      <c r="I60" s="7">
        <f>CHOOSE( CONTROL!$C$37, 4.7961, 4.7945) * CHOOSE(CONTROL!$C$20, $D$12, 100%, $F$12)</f>
        <v>4.7961</v>
      </c>
      <c r="J60" s="4">
        <f>CHOOSE( CONTROL!$C$37, 4.6694, 4.6678) * CHOOSE(CONTROL!$C$20, $D$12, 100%, $F$12)</f>
        <v>4.6694000000000004</v>
      </c>
      <c r="K60" s="4"/>
      <c r="L60" s="8">
        <v>30.7165</v>
      </c>
      <c r="M60" s="8">
        <v>12.063700000000001</v>
      </c>
      <c r="N60" s="8">
        <v>4.9444999999999997</v>
      </c>
      <c r="O60" s="8">
        <v>0.37409999999999999</v>
      </c>
      <c r="P60" s="8">
        <v>2.1017999999999999</v>
      </c>
      <c r="Q60" s="8">
        <v>25.076499999999999</v>
      </c>
      <c r="R60" s="8"/>
    </row>
    <row r="61" spans="1:18" ht="15" customHeight="1">
      <c r="A61" s="11">
        <v>42948</v>
      </c>
      <c r="B61" s="7">
        <f>CHOOSE( CONTROL!$C$37, 4.4351, 4.4335) * CHOOSE(CONTROL!$C$20, $D$12, 100%, $F$12)</f>
        <v>4.4351000000000003</v>
      </c>
      <c r="C61" s="7">
        <f>CHOOSE( CONTROL!$C$37, 4.4431, 4.4415) * CHOOSE(CONTROL!$C$20, $D$12, 100%, $F$12)</f>
        <v>4.4431000000000003</v>
      </c>
      <c r="D61" s="7">
        <f>CHOOSE( CONTROL!$C$37, 4.442, 4.4403) * CHOOSE( CONTROL!$C$20, $D$12, 100%, $F$12)</f>
        <v>4.4420000000000002</v>
      </c>
      <c r="E61" s="10">
        <f>CHOOSE( CONTROL!$C$37, 4.4412, 4.4395) * CHOOSE( CONTROL!$C$20, $D$12, 100%, $F$12)</f>
        <v>4.4412000000000003</v>
      </c>
      <c r="F61" s="4">
        <f>CHOOSE( CONTROL!$C$37, 5.1604, 5.1587) * CHOOSE(CONTROL!$C$20, $D$12, 100%, $F$12)</f>
        <v>5.1604000000000001</v>
      </c>
      <c r="G61" s="7">
        <f>CHOOSE( CONTROL!$C$37, 4.3929, 4.3913) * CHOOSE( CONTROL!$C$20, $D$12, 100%, $F$12)</f>
        <v>4.3929</v>
      </c>
      <c r="H61" s="4">
        <f>CHOOSE( CONTROL!$C$37, 5.3623, 5.3606) * CHOOSE(CONTROL!$C$20, $D$12, 100%, $F$12)</f>
        <v>5.3623000000000003</v>
      </c>
      <c r="I61" s="7">
        <f>CHOOSE( CONTROL!$C$37, 4.4359, 4.4343) * CHOOSE(CONTROL!$C$20, $D$12, 100%, $F$12)</f>
        <v>4.4359000000000002</v>
      </c>
      <c r="J61" s="4">
        <f>CHOOSE( CONTROL!$C$37, 4.3091, 4.3075) * CHOOSE(CONTROL!$C$20, $D$12, 100%, $F$12)</f>
        <v>4.3090999999999999</v>
      </c>
      <c r="K61" s="4"/>
      <c r="L61" s="8">
        <v>30.7165</v>
      </c>
      <c r="M61" s="8">
        <v>12.063700000000001</v>
      </c>
      <c r="N61" s="8">
        <v>4.9444999999999997</v>
      </c>
      <c r="O61" s="8">
        <v>0.37409999999999999</v>
      </c>
      <c r="P61" s="8">
        <v>2.1017999999999999</v>
      </c>
      <c r="Q61" s="8">
        <v>25.076499999999999</v>
      </c>
      <c r="R61" s="8"/>
    </row>
    <row r="62" spans="1:18" ht="15" customHeight="1">
      <c r="A62" s="11">
        <v>42979</v>
      </c>
      <c r="B62" s="7">
        <f>CHOOSE( CONTROL!$C$37, 4.3419, 4.3403) * CHOOSE(CONTROL!$C$20, $D$12, 100%, $F$12)</f>
        <v>4.3418999999999999</v>
      </c>
      <c r="C62" s="7">
        <f>CHOOSE( CONTROL!$C$37, 4.3499, 4.3483) * CHOOSE(CONTROL!$C$20, $D$12, 100%, $F$12)</f>
        <v>4.3498999999999999</v>
      </c>
      <c r="D62" s="7">
        <f>CHOOSE( CONTROL!$C$37, 4.3487, 4.347) * CHOOSE( CONTROL!$C$20, $D$12, 100%, $F$12)</f>
        <v>4.3487</v>
      </c>
      <c r="E62" s="10">
        <f>CHOOSE( CONTROL!$C$37, 4.3479, 4.3463) * CHOOSE( CONTROL!$C$20, $D$12, 100%, $F$12)</f>
        <v>4.3479000000000001</v>
      </c>
      <c r="F62" s="4">
        <f>CHOOSE( CONTROL!$C$37, 5.0672, 5.0656) * CHOOSE(CONTROL!$C$20, $D$12, 100%, $F$12)</f>
        <v>5.0671999999999997</v>
      </c>
      <c r="G62" s="7">
        <f>CHOOSE( CONTROL!$C$37, 4.3009, 4.2993) * CHOOSE( CONTROL!$C$20, $D$12, 100%, $F$12)</f>
        <v>4.3009000000000004</v>
      </c>
      <c r="H62" s="4">
        <f>CHOOSE( CONTROL!$C$37, 5.2704, 5.2687) * CHOOSE(CONTROL!$C$20, $D$12, 100%, $F$12)</f>
        <v>5.2704000000000004</v>
      </c>
      <c r="I62" s="7">
        <f>CHOOSE( CONTROL!$C$37, 4.3452, 4.3436) * CHOOSE(CONTROL!$C$20, $D$12, 100%, $F$12)</f>
        <v>4.3452000000000002</v>
      </c>
      <c r="J62" s="4">
        <f>CHOOSE( CONTROL!$C$37, 4.2189, 4.2173) * CHOOSE(CONTROL!$C$20, $D$12, 100%, $F$12)</f>
        <v>4.2188999999999997</v>
      </c>
      <c r="K62" s="4"/>
      <c r="L62" s="8">
        <v>29.7257</v>
      </c>
      <c r="M62" s="8">
        <v>11.6745</v>
      </c>
      <c r="N62" s="8">
        <v>4.7850000000000001</v>
      </c>
      <c r="O62" s="8">
        <v>0.36199999999999999</v>
      </c>
      <c r="P62" s="8">
        <v>2.0339999999999998</v>
      </c>
      <c r="Q62" s="8">
        <v>24.267600000000002</v>
      </c>
      <c r="R62" s="8"/>
    </row>
    <row r="63" spans="1:18" ht="15" customHeight="1">
      <c r="A63" s="11">
        <v>43009</v>
      </c>
      <c r="B63" s="7">
        <f>CHOOSE( CONTROL!$C$37, 4.5331, 4.532) * CHOOSE(CONTROL!$C$20, $D$12, 100%, $F$12)</f>
        <v>4.5331000000000001</v>
      </c>
      <c r="C63" s="7">
        <f>CHOOSE( CONTROL!$C$37, 4.5385, 4.5374) * CHOOSE(CONTROL!$C$20, $D$12, 100%, $F$12)</f>
        <v>4.5385</v>
      </c>
      <c r="D63" s="7">
        <f>CHOOSE( CONTROL!$C$37, 4.5241, 4.523) * CHOOSE( CONTROL!$C$20, $D$12, 100%, $F$12)</f>
        <v>4.5240999999999998</v>
      </c>
      <c r="E63" s="10">
        <f>CHOOSE( CONTROL!$C$37, 4.5283, 4.5272) * CHOOSE( CONTROL!$C$20, $D$12, 100%, $F$12)</f>
        <v>4.5282999999999998</v>
      </c>
      <c r="F63" s="4">
        <f>CHOOSE( CONTROL!$C$37, 5.2601, 5.259) * CHOOSE(CONTROL!$C$20, $D$12, 100%, $F$12)</f>
        <v>5.2601000000000004</v>
      </c>
      <c r="G63" s="7">
        <f>CHOOSE( CONTROL!$C$37, 4.516, 4.515) * CHOOSE( CONTROL!$C$20, $D$12, 100%, $F$12)</f>
        <v>4.516</v>
      </c>
      <c r="H63" s="4">
        <f>CHOOSE( CONTROL!$C$37, 5.4606, 5.4595) * CHOOSE(CONTROL!$C$20, $D$12, 100%, $F$12)</f>
        <v>5.4606000000000003</v>
      </c>
      <c r="I63" s="7">
        <f>CHOOSE( CONTROL!$C$37, 4.5328, 4.5317) * CHOOSE(CONTROL!$C$20, $D$12, 100%, $F$12)</f>
        <v>4.5327999999999999</v>
      </c>
      <c r="J63" s="4">
        <f>CHOOSE( CONTROL!$C$37, 4.4057, 4.4046) * CHOOSE(CONTROL!$C$20, $D$12, 100%, $F$12)</f>
        <v>4.4057000000000004</v>
      </c>
      <c r="K63" s="4"/>
      <c r="L63" s="8">
        <v>31.095300000000002</v>
      </c>
      <c r="M63" s="8">
        <v>12.063700000000001</v>
      </c>
      <c r="N63" s="8">
        <v>4.9444999999999997</v>
      </c>
      <c r="O63" s="8">
        <v>0.37409999999999999</v>
      </c>
      <c r="P63" s="8">
        <v>2.1017999999999999</v>
      </c>
      <c r="Q63" s="8">
        <v>25.076499999999999</v>
      </c>
      <c r="R63" s="8"/>
    </row>
    <row r="64" spans="1:18" ht="15" customHeight="1">
      <c r="A64" s="11">
        <v>43040</v>
      </c>
      <c r="B64" s="7">
        <f>CHOOSE( CONTROL!$C$37, 4.8898, 4.8888) * CHOOSE(CONTROL!$C$20, $D$12, 100%, $F$12)</f>
        <v>4.8898000000000001</v>
      </c>
      <c r="C64" s="7">
        <f>CHOOSE( CONTROL!$C$37, 4.8949, 4.8939) * CHOOSE(CONTROL!$C$20, $D$12, 100%, $F$12)</f>
        <v>4.8948999999999998</v>
      </c>
      <c r="D64" s="7">
        <f>CHOOSE( CONTROL!$C$37, 4.8734, 4.8723) * CHOOSE( CONTROL!$C$20, $D$12, 100%, $F$12)</f>
        <v>4.8734000000000002</v>
      </c>
      <c r="E64" s="10">
        <f>CHOOSE( CONTROL!$C$37, 4.8807, 4.8797) * CHOOSE( CONTROL!$C$20, $D$12, 100%, $F$12)</f>
        <v>4.8807</v>
      </c>
      <c r="F64" s="4">
        <f>CHOOSE( CONTROL!$C$37, 5.5424, 5.5413) * CHOOSE(CONTROL!$C$20, $D$12, 100%, $F$12)</f>
        <v>5.5423999999999998</v>
      </c>
      <c r="G64" s="7">
        <f>CHOOSE( CONTROL!$C$37, 4.8543, 4.8532) * CHOOSE( CONTROL!$C$20, $D$12, 100%, $F$12)</f>
        <v>4.8543000000000003</v>
      </c>
      <c r="H64" s="4">
        <f>CHOOSE( CONTROL!$C$37, 5.7389, 5.7378) * CHOOSE(CONTROL!$C$20, $D$12, 100%, $F$12)</f>
        <v>5.7389000000000001</v>
      </c>
      <c r="I64" s="7">
        <f>CHOOSE( CONTROL!$C$37, 4.9299, 4.9289) * CHOOSE(CONTROL!$C$20, $D$12, 100%, $F$12)</f>
        <v>4.9298999999999999</v>
      </c>
      <c r="J64" s="4">
        <f>CHOOSE( CONTROL!$C$37, 4.7515, 4.7504) * CHOOSE(CONTROL!$C$20, $D$12, 100%, $F$12)</f>
        <v>4.7515000000000001</v>
      </c>
      <c r="K64" s="4"/>
      <c r="L64" s="8">
        <v>28.360600000000002</v>
      </c>
      <c r="M64" s="8">
        <v>11.6745</v>
      </c>
      <c r="N64" s="8">
        <v>4.7850000000000001</v>
      </c>
      <c r="O64" s="8">
        <v>0.36199999999999999</v>
      </c>
      <c r="P64" s="8">
        <v>1.2509999999999999</v>
      </c>
      <c r="Q64" s="8">
        <v>24.267600000000002</v>
      </c>
      <c r="R64" s="8"/>
    </row>
    <row r="65" spans="1:18" ht="15" customHeight="1">
      <c r="A65" s="11">
        <v>43070</v>
      </c>
      <c r="B65" s="7">
        <f>CHOOSE( CONTROL!$C$37, 4.8809, 4.8798) * CHOOSE(CONTROL!$C$20, $D$12, 100%, $F$12)</f>
        <v>4.8808999999999996</v>
      </c>
      <c r="C65" s="7">
        <f>CHOOSE( CONTROL!$C$37, 4.886, 4.8849) * CHOOSE(CONTROL!$C$20, $D$12, 100%, $F$12)</f>
        <v>4.8860000000000001</v>
      </c>
      <c r="D65" s="7">
        <f>CHOOSE( CONTROL!$C$37, 4.866, 4.865) * CHOOSE( CONTROL!$C$20, $D$12, 100%, $F$12)</f>
        <v>4.8659999999999997</v>
      </c>
      <c r="E65" s="10">
        <f>CHOOSE( CONTROL!$C$37, 4.8728, 4.8717) * CHOOSE( CONTROL!$C$20, $D$12, 100%, $F$12)</f>
        <v>4.8727999999999998</v>
      </c>
      <c r="F65" s="4">
        <f>CHOOSE( CONTROL!$C$37, 5.5335, 5.5324) * CHOOSE(CONTROL!$C$20, $D$12, 100%, $F$12)</f>
        <v>5.5335000000000001</v>
      </c>
      <c r="G65" s="7">
        <f>CHOOSE( CONTROL!$C$37, 4.8466, 4.8455) * CHOOSE( CONTROL!$C$20, $D$12, 100%, $F$12)</f>
        <v>4.8465999999999996</v>
      </c>
      <c r="H65" s="4">
        <f>CHOOSE( CONTROL!$C$37, 5.7301, 5.729) * CHOOSE(CONTROL!$C$20, $D$12, 100%, $F$12)</f>
        <v>5.7301000000000002</v>
      </c>
      <c r="I65" s="7">
        <f>CHOOSE( CONTROL!$C$37, 4.9261, 4.9251) * CHOOSE(CONTROL!$C$20, $D$12, 100%, $F$12)</f>
        <v>4.9260999999999999</v>
      </c>
      <c r="J65" s="4">
        <f>CHOOSE( CONTROL!$C$37, 4.7428, 4.7418) * CHOOSE(CONTROL!$C$20, $D$12, 100%, $F$12)</f>
        <v>4.7427999999999999</v>
      </c>
      <c r="K65" s="4"/>
      <c r="L65" s="8">
        <v>29.306000000000001</v>
      </c>
      <c r="M65" s="8">
        <v>12.063700000000001</v>
      </c>
      <c r="N65" s="8">
        <v>4.9444999999999997</v>
      </c>
      <c r="O65" s="8">
        <v>0.37409999999999999</v>
      </c>
      <c r="P65" s="8">
        <v>1.2927</v>
      </c>
      <c r="Q65" s="8">
        <v>25.076499999999999</v>
      </c>
      <c r="R65" s="8"/>
    </row>
    <row r="66" spans="1:18" ht="15" customHeight="1">
      <c r="A66" s="11">
        <v>43101</v>
      </c>
      <c r="B66" s="7">
        <f>CHOOSE( CONTROL!$C$37, 5.1589, 5.1579) * CHOOSE(CONTROL!$C$20, $D$12, 100%, $F$12)</f>
        <v>5.1589</v>
      </c>
      <c r="C66" s="7">
        <f>CHOOSE( CONTROL!$C$37, 5.164, 5.163) * CHOOSE(CONTROL!$C$20, $D$12, 100%, $F$12)</f>
        <v>5.1639999999999997</v>
      </c>
      <c r="D66" s="7">
        <f>CHOOSE( CONTROL!$C$37, 5.1571, 5.1561) * CHOOSE( CONTROL!$C$20, $D$12, 100%, $F$12)</f>
        <v>5.1570999999999998</v>
      </c>
      <c r="E66" s="10">
        <f>CHOOSE( CONTROL!$C$37, 5.1591, 5.1581) * CHOOSE( CONTROL!$C$20, $D$12, 100%, $F$12)</f>
        <v>5.1590999999999996</v>
      </c>
      <c r="F66" s="4">
        <f>CHOOSE( CONTROL!$C$37, 5.8115, 5.8104) * CHOOSE(CONTROL!$C$20, $D$12, 100%, $F$12)</f>
        <v>5.8114999999999997</v>
      </c>
      <c r="G66" s="7">
        <f>CHOOSE( CONTROL!$C$37, 5.1253, 5.1242) * CHOOSE( CONTROL!$C$20, $D$12, 100%, $F$12)</f>
        <v>5.1253000000000002</v>
      </c>
      <c r="H66" s="4">
        <f>CHOOSE( CONTROL!$C$37, 6.0043, 6.0032) * CHOOSE(CONTROL!$C$20, $D$12, 100%, $F$12)</f>
        <v>6.0042999999999997</v>
      </c>
      <c r="I66" s="7">
        <f>CHOOSE( CONTROL!$C$37, 5.1668, 5.1657) * CHOOSE(CONTROL!$C$20, $D$12, 100%, $F$12)</f>
        <v>5.1668000000000003</v>
      </c>
      <c r="J66" s="4">
        <f>CHOOSE( CONTROL!$C$37, 5.0121, 5.011) * CHOOSE(CONTROL!$C$20, $D$12, 100%, $F$12)</f>
        <v>5.0121000000000002</v>
      </c>
      <c r="K66" s="4"/>
      <c r="L66" s="8">
        <v>29.306000000000001</v>
      </c>
      <c r="M66" s="8">
        <v>12.063700000000001</v>
      </c>
      <c r="N66" s="8">
        <v>4.9444999999999997</v>
      </c>
      <c r="O66" s="8">
        <v>0.37409999999999999</v>
      </c>
      <c r="P66" s="8">
        <v>1.2927</v>
      </c>
      <c r="Q66" s="8">
        <v>24.901700000000002</v>
      </c>
      <c r="R66" s="8"/>
    </row>
    <row r="67" spans="1:18" ht="15" customHeight="1">
      <c r="A67" s="11">
        <v>43132</v>
      </c>
      <c r="B67" s="7">
        <f>CHOOSE( CONTROL!$C$37, 4.8244, 4.8233) * CHOOSE(CONTROL!$C$20, $D$12, 100%, $F$12)</f>
        <v>4.8243999999999998</v>
      </c>
      <c r="C67" s="7">
        <f>CHOOSE( CONTROL!$C$37, 4.8295, 4.8284) * CHOOSE(CONTROL!$C$20, $D$12, 100%, $F$12)</f>
        <v>4.8295000000000003</v>
      </c>
      <c r="D67" s="7">
        <f>CHOOSE( CONTROL!$C$37, 4.8225, 4.8214) * CHOOSE( CONTROL!$C$20, $D$12, 100%, $F$12)</f>
        <v>4.8224999999999998</v>
      </c>
      <c r="E67" s="10">
        <f>CHOOSE( CONTROL!$C$37, 4.8245, 4.8234) * CHOOSE( CONTROL!$C$20, $D$12, 100%, $F$12)</f>
        <v>4.8244999999999996</v>
      </c>
      <c r="F67" s="4">
        <f>CHOOSE( CONTROL!$C$37, 5.4769, 5.4758) * CHOOSE(CONTROL!$C$20, $D$12, 100%, $F$12)</f>
        <v>5.4768999999999997</v>
      </c>
      <c r="G67" s="7">
        <f>CHOOSE( CONTROL!$C$37, 4.7953, 4.7943) * CHOOSE( CONTROL!$C$20, $D$12, 100%, $F$12)</f>
        <v>4.7953000000000001</v>
      </c>
      <c r="H67" s="4">
        <f>CHOOSE( CONTROL!$C$37, 5.6744, 5.6733) * CHOOSE(CONTROL!$C$20, $D$12, 100%, $F$12)</f>
        <v>5.6744000000000003</v>
      </c>
      <c r="I67" s="7">
        <f>CHOOSE( CONTROL!$C$37, 4.8424, 4.8414) * CHOOSE(CONTROL!$C$20, $D$12, 100%, $F$12)</f>
        <v>4.8423999999999996</v>
      </c>
      <c r="J67" s="4">
        <f>CHOOSE( CONTROL!$C$37, 4.6881, 4.6871) * CHOOSE(CONTROL!$C$20, $D$12, 100%, $F$12)</f>
        <v>4.6881000000000004</v>
      </c>
      <c r="K67" s="4"/>
      <c r="L67" s="8">
        <v>26.469899999999999</v>
      </c>
      <c r="M67" s="8">
        <v>10.8962</v>
      </c>
      <c r="N67" s="8">
        <v>4.4660000000000002</v>
      </c>
      <c r="O67" s="8">
        <v>0.33789999999999998</v>
      </c>
      <c r="P67" s="8">
        <v>1.1676</v>
      </c>
      <c r="Q67" s="8">
        <v>22.491800000000001</v>
      </c>
      <c r="R67" s="8"/>
    </row>
    <row r="68" spans="1:18" ht="15" customHeight="1">
      <c r="A68" s="11">
        <v>43160</v>
      </c>
      <c r="B68" s="7">
        <f>CHOOSE( CONTROL!$C$37, 4.7213, 4.7203) * CHOOSE(CONTROL!$C$20, $D$12, 100%, $F$12)</f>
        <v>4.7213000000000003</v>
      </c>
      <c r="C68" s="7">
        <f>CHOOSE( CONTROL!$C$37, 4.7264, 4.7254) * CHOOSE(CONTROL!$C$20, $D$12, 100%, $F$12)</f>
        <v>4.7263999999999999</v>
      </c>
      <c r="D68" s="7">
        <f>CHOOSE( CONTROL!$C$37, 4.7188, 4.7178) * CHOOSE( CONTROL!$C$20, $D$12, 100%, $F$12)</f>
        <v>4.7187999999999999</v>
      </c>
      <c r="E68" s="10">
        <f>CHOOSE( CONTROL!$C$37, 4.721, 4.72) * CHOOSE( CONTROL!$C$20, $D$12, 100%, $F$12)</f>
        <v>4.7210000000000001</v>
      </c>
      <c r="F68" s="4">
        <f>CHOOSE( CONTROL!$C$37, 5.3739, 5.3728) * CHOOSE(CONTROL!$C$20, $D$12, 100%, $F$12)</f>
        <v>5.3738999999999999</v>
      </c>
      <c r="G68" s="7">
        <f>CHOOSE( CONTROL!$C$37, 4.6933, 4.6922) * CHOOSE( CONTROL!$C$20, $D$12, 100%, $F$12)</f>
        <v>4.6932999999999998</v>
      </c>
      <c r="H68" s="4">
        <f>CHOOSE( CONTROL!$C$37, 5.5728, 5.5717) * CHOOSE(CONTROL!$C$20, $D$12, 100%, $F$12)</f>
        <v>5.5728</v>
      </c>
      <c r="I68" s="7">
        <f>CHOOSE( CONTROL!$C$37, 4.7406, 4.7396) * CHOOSE(CONTROL!$C$20, $D$12, 100%, $F$12)</f>
        <v>4.7405999999999997</v>
      </c>
      <c r="J68" s="4">
        <f>CHOOSE( CONTROL!$C$37, 4.5883, 4.5873) * CHOOSE(CONTROL!$C$20, $D$12, 100%, $F$12)</f>
        <v>4.5883000000000003</v>
      </c>
      <c r="K68" s="4"/>
      <c r="L68" s="8">
        <v>29.306000000000001</v>
      </c>
      <c r="M68" s="8">
        <v>12.063700000000001</v>
      </c>
      <c r="N68" s="8">
        <v>4.9444999999999997</v>
      </c>
      <c r="O68" s="8">
        <v>0.37409999999999999</v>
      </c>
      <c r="P68" s="8">
        <v>1.2927</v>
      </c>
      <c r="Q68" s="8">
        <v>24.901700000000002</v>
      </c>
      <c r="R68" s="8"/>
    </row>
    <row r="69" spans="1:18" ht="15" customHeight="1">
      <c r="A69" s="11">
        <v>43191</v>
      </c>
      <c r="B69" s="7">
        <f>CHOOSE( CONTROL!$C$37, 4.7941, 4.793) * CHOOSE(CONTROL!$C$20, $D$12, 100%, $F$12)</f>
        <v>4.7941000000000003</v>
      </c>
      <c r="C69" s="7">
        <f>CHOOSE( CONTROL!$C$37, 4.7986, 4.7976) * CHOOSE(CONTROL!$C$20, $D$12, 100%, $F$12)</f>
        <v>4.7986000000000004</v>
      </c>
      <c r="D69" s="7">
        <f>CHOOSE( CONTROL!$C$37, 4.8105, 4.8094) * CHOOSE( CONTROL!$C$20, $D$12, 100%, $F$12)</f>
        <v>4.8105000000000002</v>
      </c>
      <c r="E69" s="10">
        <f>CHOOSE( CONTROL!$C$37, 4.8061, 4.805) * CHOOSE( CONTROL!$C$20, $D$12, 100%, $F$12)</f>
        <v>4.8060999999999998</v>
      </c>
      <c r="F69" s="4">
        <f>CHOOSE( CONTROL!$C$37, 5.5208, 5.5197) * CHOOSE(CONTROL!$C$20, $D$12, 100%, $F$12)</f>
        <v>5.5208000000000004</v>
      </c>
      <c r="G69" s="7">
        <f>CHOOSE( CONTROL!$C$37, 4.7725, 4.7714) * CHOOSE( CONTROL!$C$20, $D$12, 100%, $F$12)</f>
        <v>4.7725</v>
      </c>
      <c r="H69" s="4">
        <f>CHOOSE( CONTROL!$C$37, 5.7176, 5.7165) * CHOOSE(CONTROL!$C$20, $D$12, 100%, $F$12)</f>
        <v>5.7176</v>
      </c>
      <c r="I69" s="7">
        <f>CHOOSE( CONTROL!$C$37, 4.783, 4.7819) * CHOOSE(CONTROL!$C$20, $D$12, 100%, $F$12)</f>
        <v>4.7830000000000004</v>
      </c>
      <c r="J69" s="4">
        <f>CHOOSE( CONTROL!$C$37, 4.6581, 4.657) * CHOOSE(CONTROL!$C$20, $D$12, 100%, $F$12)</f>
        <v>4.6581000000000001</v>
      </c>
      <c r="K69" s="4"/>
      <c r="L69" s="8">
        <v>30.092199999999998</v>
      </c>
      <c r="M69" s="8">
        <v>11.6745</v>
      </c>
      <c r="N69" s="8">
        <v>4.7850000000000001</v>
      </c>
      <c r="O69" s="8">
        <v>0.36199999999999999</v>
      </c>
      <c r="P69" s="8">
        <v>1.2509999999999999</v>
      </c>
      <c r="Q69" s="8">
        <v>24.098400000000002</v>
      </c>
      <c r="R69" s="8"/>
    </row>
    <row r="70" spans="1:18" ht="15" customHeight="1">
      <c r="A70" s="11">
        <v>43221</v>
      </c>
      <c r="B70" s="7">
        <f>CHOOSE( CONTROL!$C$37, 4.9242, 4.9225) * CHOOSE(CONTROL!$C$20, $D$12, 100%, $F$12)</f>
        <v>4.9241999999999999</v>
      </c>
      <c r="C70" s="7">
        <f>CHOOSE( CONTROL!$C$37, 4.9322, 4.9305) * CHOOSE(CONTROL!$C$20, $D$12, 100%, $F$12)</f>
        <v>4.9321999999999999</v>
      </c>
      <c r="D70" s="7">
        <f>CHOOSE( CONTROL!$C$37, 4.9379, 4.9362) * CHOOSE( CONTROL!$C$20, $D$12, 100%, $F$12)</f>
        <v>4.9379</v>
      </c>
      <c r="E70" s="10">
        <f>CHOOSE( CONTROL!$C$37, 4.9346, 4.9329) * CHOOSE( CONTROL!$C$20, $D$12, 100%, $F$12)</f>
        <v>4.9345999999999997</v>
      </c>
      <c r="F70" s="4">
        <f>CHOOSE( CONTROL!$C$37, 5.6495, 5.6478) * CHOOSE(CONTROL!$C$20, $D$12, 100%, $F$12)</f>
        <v>5.6494999999999997</v>
      </c>
      <c r="G70" s="7">
        <f>CHOOSE( CONTROL!$C$37, 4.8994, 4.8978) * CHOOSE( CONTROL!$C$20, $D$12, 100%, $F$12)</f>
        <v>4.8994</v>
      </c>
      <c r="H70" s="4">
        <f>CHOOSE( CONTROL!$C$37, 5.8445, 5.8429) * CHOOSE(CONTROL!$C$20, $D$12, 100%, $F$12)</f>
        <v>5.8445</v>
      </c>
      <c r="I70" s="7">
        <f>CHOOSE( CONTROL!$C$37, 4.9074, 4.9058) * CHOOSE(CONTROL!$C$20, $D$12, 100%, $F$12)</f>
        <v>4.9074</v>
      </c>
      <c r="J70" s="4">
        <f>CHOOSE( CONTROL!$C$37, 4.7827, 4.7811) * CHOOSE(CONTROL!$C$20, $D$12, 100%, $F$12)</f>
        <v>4.7827000000000002</v>
      </c>
      <c r="K70" s="4"/>
      <c r="L70" s="8">
        <v>30.7165</v>
      </c>
      <c r="M70" s="8">
        <v>12.063700000000001</v>
      </c>
      <c r="N70" s="8">
        <v>4.9444999999999997</v>
      </c>
      <c r="O70" s="8">
        <v>0.37409999999999999</v>
      </c>
      <c r="P70" s="8">
        <v>1.2927</v>
      </c>
      <c r="Q70" s="8">
        <v>24.901700000000002</v>
      </c>
      <c r="R70" s="8"/>
    </row>
    <row r="71" spans="1:18" ht="15" customHeight="1">
      <c r="A71" s="11">
        <v>43252</v>
      </c>
      <c r="B71" s="7">
        <f>CHOOSE( CONTROL!$C$37, 4.8448, 4.8432) * CHOOSE(CONTROL!$C$20, $D$12, 100%, $F$12)</f>
        <v>4.8448000000000002</v>
      </c>
      <c r="C71" s="7">
        <f>CHOOSE( CONTROL!$C$37, 4.8528, 4.8512) * CHOOSE(CONTROL!$C$20, $D$12, 100%, $F$12)</f>
        <v>4.8528000000000002</v>
      </c>
      <c r="D71" s="7">
        <f>CHOOSE( CONTROL!$C$37, 4.8587, 4.8571) * CHOOSE( CONTROL!$C$20, $D$12, 100%, $F$12)</f>
        <v>4.8586999999999998</v>
      </c>
      <c r="E71" s="10">
        <f>CHOOSE( CONTROL!$C$37, 4.8553, 4.8537) * CHOOSE( CONTROL!$C$20, $D$12, 100%, $F$12)</f>
        <v>4.8552999999999997</v>
      </c>
      <c r="F71" s="4">
        <f>CHOOSE( CONTROL!$C$37, 5.5701, 5.5684) * CHOOSE(CONTROL!$C$20, $D$12, 100%, $F$12)</f>
        <v>5.5701000000000001</v>
      </c>
      <c r="G71" s="7">
        <f>CHOOSE( CONTROL!$C$37, 4.8213, 4.8197) * CHOOSE( CONTROL!$C$20, $D$12, 100%, $F$12)</f>
        <v>4.8212999999999999</v>
      </c>
      <c r="H71" s="4">
        <f>CHOOSE( CONTROL!$C$37, 5.7662, 5.7646) * CHOOSE(CONTROL!$C$20, $D$12, 100%, $F$12)</f>
        <v>5.7662000000000004</v>
      </c>
      <c r="I71" s="7">
        <f>CHOOSE( CONTROL!$C$37, 4.8314, 4.8298) * CHOOSE(CONTROL!$C$20, $D$12, 100%, $F$12)</f>
        <v>4.8314000000000004</v>
      </c>
      <c r="J71" s="4">
        <f>CHOOSE( CONTROL!$C$37, 4.7058, 4.7042) * CHOOSE(CONTROL!$C$20, $D$12, 100%, $F$12)</f>
        <v>4.7058</v>
      </c>
      <c r="K71" s="4"/>
      <c r="L71" s="8">
        <v>29.7257</v>
      </c>
      <c r="M71" s="8">
        <v>11.6745</v>
      </c>
      <c r="N71" s="8">
        <v>4.7850000000000001</v>
      </c>
      <c r="O71" s="8">
        <v>0.36199999999999999</v>
      </c>
      <c r="P71" s="8">
        <v>1.2509999999999999</v>
      </c>
      <c r="Q71" s="8">
        <v>24.098400000000002</v>
      </c>
      <c r="R71" s="8"/>
    </row>
    <row r="72" spans="1:18" ht="15" customHeight="1">
      <c r="A72" s="11">
        <v>43282</v>
      </c>
      <c r="B72" s="7">
        <f>CHOOSE( CONTROL!$C$37, 5.0539, 5.0522) * CHOOSE(CONTROL!$C$20, $D$12, 100%, $F$12)</f>
        <v>5.0538999999999996</v>
      </c>
      <c r="C72" s="7">
        <f>CHOOSE( CONTROL!$C$37, 5.0619, 5.0602) * CHOOSE(CONTROL!$C$20, $D$12, 100%, $F$12)</f>
        <v>5.0618999999999996</v>
      </c>
      <c r="D72" s="7">
        <f>CHOOSE( CONTROL!$C$37, 5.0681, 5.0664) * CHOOSE( CONTROL!$C$20, $D$12, 100%, $F$12)</f>
        <v>5.0681000000000003</v>
      </c>
      <c r="E72" s="10">
        <f>CHOOSE( CONTROL!$C$37, 5.0646, 5.0629) * CHOOSE( CONTROL!$C$20, $D$12, 100%, $F$12)</f>
        <v>5.0646000000000004</v>
      </c>
      <c r="F72" s="4">
        <f>CHOOSE( CONTROL!$C$37, 5.7792, 5.7775) * CHOOSE(CONTROL!$C$20, $D$12, 100%, $F$12)</f>
        <v>5.7792000000000003</v>
      </c>
      <c r="G72" s="7">
        <f>CHOOSE( CONTROL!$C$37, 5.0277, 5.0261) * CHOOSE( CONTROL!$C$20, $D$12, 100%, $F$12)</f>
        <v>5.0277000000000003</v>
      </c>
      <c r="H72" s="4">
        <f>CHOOSE( CONTROL!$C$37, 5.9724, 5.9707) * CHOOSE(CONTROL!$C$20, $D$12, 100%, $F$12)</f>
        <v>5.9724000000000004</v>
      </c>
      <c r="I72" s="7">
        <f>CHOOSE( CONTROL!$C$37, 5.035, 5.0334) * CHOOSE(CONTROL!$C$20, $D$12, 100%, $F$12)</f>
        <v>5.0350000000000001</v>
      </c>
      <c r="J72" s="4">
        <f>CHOOSE( CONTROL!$C$37, 4.9083, 4.9066) * CHOOSE(CONTROL!$C$20, $D$12, 100%, $F$12)</f>
        <v>4.9082999999999997</v>
      </c>
      <c r="K72" s="4"/>
      <c r="L72" s="8">
        <v>30.7165</v>
      </c>
      <c r="M72" s="8">
        <v>12.063700000000001</v>
      </c>
      <c r="N72" s="8">
        <v>4.9444999999999997</v>
      </c>
      <c r="O72" s="8">
        <v>0.37409999999999999</v>
      </c>
      <c r="P72" s="8">
        <v>1.2927</v>
      </c>
      <c r="Q72" s="8">
        <v>24.901700000000002</v>
      </c>
      <c r="R72" s="8"/>
    </row>
    <row r="73" spans="1:18" ht="15" customHeight="1">
      <c r="A73" s="11">
        <v>43313</v>
      </c>
      <c r="B73" s="7">
        <f>CHOOSE( CONTROL!$C$37, 4.6627, 4.661) * CHOOSE(CONTROL!$C$20, $D$12, 100%, $F$12)</f>
        <v>4.6627000000000001</v>
      </c>
      <c r="C73" s="7">
        <f>CHOOSE( CONTROL!$C$37, 4.6707, 4.669) * CHOOSE(CONTROL!$C$20, $D$12, 100%, $F$12)</f>
        <v>4.6707000000000001</v>
      </c>
      <c r="D73" s="7">
        <f>CHOOSE( CONTROL!$C$37, 4.677, 4.6754) * CHOOSE( CONTROL!$C$20, $D$12, 100%, $F$12)</f>
        <v>4.6769999999999996</v>
      </c>
      <c r="E73" s="10">
        <f>CHOOSE( CONTROL!$C$37, 4.6735, 4.6719) * CHOOSE( CONTROL!$C$20, $D$12, 100%, $F$12)</f>
        <v>4.6734999999999998</v>
      </c>
      <c r="F73" s="4">
        <f>CHOOSE( CONTROL!$C$37, 5.388, 5.3863) * CHOOSE(CONTROL!$C$20, $D$12, 100%, $F$12)</f>
        <v>5.3879999999999999</v>
      </c>
      <c r="G73" s="7">
        <f>CHOOSE( CONTROL!$C$37, 4.6421, 4.6405) * CHOOSE( CONTROL!$C$20, $D$12, 100%, $F$12)</f>
        <v>4.6421000000000001</v>
      </c>
      <c r="H73" s="4">
        <f>CHOOSE( CONTROL!$C$37, 5.5867, 5.585) * CHOOSE(CONTROL!$C$20, $D$12, 100%, $F$12)</f>
        <v>5.5867000000000004</v>
      </c>
      <c r="I73" s="7">
        <f>CHOOSE( CONTROL!$C$37, 4.6564, 4.6547) * CHOOSE(CONTROL!$C$20, $D$12, 100%, $F$12)</f>
        <v>4.6563999999999997</v>
      </c>
      <c r="J73" s="4">
        <f>CHOOSE( CONTROL!$C$37, 4.5295, 4.5279) * CHOOSE(CONTROL!$C$20, $D$12, 100%, $F$12)</f>
        <v>4.5294999999999996</v>
      </c>
      <c r="K73" s="4"/>
      <c r="L73" s="8">
        <v>30.7165</v>
      </c>
      <c r="M73" s="8">
        <v>12.063700000000001</v>
      </c>
      <c r="N73" s="8">
        <v>4.9444999999999997</v>
      </c>
      <c r="O73" s="8">
        <v>0.37409999999999999</v>
      </c>
      <c r="P73" s="8">
        <v>1.2927</v>
      </c>
      <c r="Q73" s="8">
        <v>24.901700000000002</v>
      </c>
      <c r="R73" s="8"/>
    </row>
    <row r="74" spans="1:18" ht="15" customHeight="1">
      <c r="A74" s="11">
        <v>43344</v>
      </c>
      <c r="B74" s="7">
        <f>CHOOSE( CONTROL!$C$37, 4.5648, 4.5631) * CHOOSE(CONTROL!$C$20, $D$12, 100%, $F$12)</f>
        <v>4.5648</v>
      </c>
      <c r="C74" s="7">
        <f>CHOOSE( CONTROL!$C$37, 4.5728, 4.5711) * CHOOSE(CONTROL!$C$20, $D$12, 100%, $F$12)</f>
        <v>4.5728</v>
      </c>
      <c r="D74" s="7">
        <f>CHOOSE( CONTROL!$C$37, 4.579, 4.5773) * CHOOSE( CONTROL!$C$20, $D$12, 100%, $F$12)</f>
        <v>4.5789999999999997</v>
      </c>
      <c r="E74" s="10">
        <f>CHOOSE( CONTROL!$C$37, 4.5755, 4.5738) * CHOOSE( CONTROL!$C$20, $D$12, 100%, $F$12)</f>
        <v>4.5754999999999999</v>
      </c>
      <c r="F74" s="4">
        <f>CHOOSE( CONTROL!$C$37, 5.29, 5.2884) * CHOOSE(CONTROL!$C$20, $D$12, 100%, $F$12)</f>
        <v>5.29</v>
      </c>
      <c r="G74" s="7">
        <f>CHOOSE( CONTROL!$C$37, 4.5454, 4.5438) * CHOOSE( CONTROL!$C$20, $D$12, 100%, $F$12)</f>
        <v>4.5453999999999999</v>
      </c>
      <c r="H74" s="4">
        <f>CHOOSE( CONTROL!$C$37, 5.4901, 5.4884) * CHOOSE(CONTROL!$C$20, $D$12, 100%, $F$12)</f>
        <v>5.4901</v>
      </c>
      <c r="I74" s="7">
        <f>CHOOSE( CONTROL!$C$37, 4.5611, 4.5595) * CHOOSE(CONTROL!$C$20, $D$12, 100%, $F$12)</f>
        <v>4.5610999999999997</v>
      </c>
      <c r="J74" s="4">
        <f>CHOOSE( CONTROL!$C$37, 4.4347, 4.433) * CHOOSE(CONTROL!$C$20, $D$12, 100%, $F$12)</f>
        <v>4.4347000000000003</v>
      </c>
      <c r="K74" s="4"/>
      <c r="L74" s="8">
        <v>29.7257</v>
      </c>
      <c r="M74" s="8">
        <v>11.6745</v>
      </c>
      <c r="N74" s="8">
        <v>4.7850000000000001</v>
      </c>
      <c r="O74" s="8">
        <v>0.36199999999999999</v>
      </c>
      <c r="P74" s="8">
        <v>1.2509999999999999</v>
      </c>
      <c r="Q74" s="8">
        <v>24.098400000000002</v>
      </c>
      <c r="R74" s="8"/>
    </row>
    <row r="75" spans="1:18" ht="15" customHeight="1">
      <c r="A75" s="11">
        <v>43374</v>
      </c>
      <c r="B75" s="7">
        <f>CHOOSE( CONTROL!$C$37, 4.7658, 4.7648) * CHOOSE(CONTROL!$C$20, $D$12, 100%, $F$12)</f>
        <v>4.7657999999999996</v>
      </c>
      <c r="C75" s="7">
        <f>CHOOSE( CONTROL!$C$37, 4.7712, 4.7701) * CHOOSE(CONTROL!$C$20, $D$12, 100%, $F$12)</f>
        <v>4.7712000000000003</v>
      </c>
      <c r="D75" s="7">
        <f>CHOOSE( CONTROL!$C$37, 4.7832, 4.7821) * CHOOSE( CONTROL!$C$20, $D$12, 100%, $F$12)</f>
        <v>4.7831999999999999</v>
      </c>
      <c r="E75" s="10">
        <f>CHOOSE( CONTROL!$C$37, 4.7787, 4.7776) * CHOOSE( CONTROL!$C$20, $D$12, 100%, $F$12)</f>
        <v>4.7786999999999997</v>
      </c>
      <c r="F75" s="4">
        <f>CHOOSE( CONTROL!$C$37, 5.4928, 5.4918) * CHOOSE(CONTROL!$C$20, $D$12, 100%, $F$12)</f>
        <v>5.4927999999999999</v>
      </c>
      <c r="G75" s="7">
        <f>CHOOSE( CONTROL!$C$37, 4.7455, 4.7444) * CHOOSE( CONTROL!$C$20, $D$12, 100%, $F$12)</f>
        <v>4.7454999999999998</v>
      </c>
      <c r="H75" s="4">
        <f>CHOOSE( CONTROL!$C$37, 5.6901, 5.689) * CHOOSE(CONTROL!$C$20, $D$12, 100%, $F$12)</f>
        <v>5.6901000000000002</v>
      </c>
      <c r="I75" s="7">
        <f>CHOOSE( CONTROL!$C$37, 4.7582, 4.7572) * CHOOSE(CONTROL!$C$20, $D$12, 100%, $F$12)</f>
        <v>4.7582000000000004</v>
      </c>
      <c r="J75" s="4">
        <f>CHOOSE( CONTROL!$C$37, 4.631, 4.63) * CHOOSE(CONTROL!$C$20, $D$12, 100%, $F$12)</f>
        <v>4.6310000000000002</v>
      </c>
      <c r="K75" s="4"/>
      <c r="L75" s="8">
        <v>31.095300000000002</v>
      </c>
      <c r="M75" s="8">
        <v>12.063700000000001</v>
      </c>
      <c r="N75" s="8">
        <v>4.9444999999999997</v>
      </c>
      <c r="O75" s="8">
        <v>0.37409999999999999</v>
      </c>
      <c r="P75" s="8">
        <v>1.2927</v>
      </c>
      <c r="Q75" s="8">
        <v>24.901700000000002</v>
      </c>
      <c r="R75" s="8"/>
    </row>
    <row r="76" spans="1:18" ht="15" customHeight="1">
      <c r="A76" s="11">
        <v>43405</v>
      </c>
      <c r="B76" s="7">
        <f>CHOOSE( CONTROL!$C$37, 5.1408, 5.1397) * CHOOSE(CONTROL!$C$20, $D$12, 100%, $F$12)</f>
        <v>5.1407999999999996</v>
      </c>
      <c r="C76" s="7">
        <f>CHOOSE( CONTROL!$C$37, 5.1459, 5.1448) * CHOOSE(CONTROL!$C$20, $D$12, 100%, $F$12)</f>
        <v>5.1459000000000001</v>
      </c>
      <c r="D76" s="7">
        <f>CHOOSE( CONTROL!$C$37, 5.1244, 5.1233) * CHOOSE( CONTROL!$C$20, $D$12, 100%, $F$12)</f>
        <v>5.1243999999999996</v>
      </c>
      <c r="E76" s="10">
        <f>CHOOSE( CONTROL!$C$37, 5.1317, 5.1306) * CHOOSE( CONTROL!$C$20, $D$12, 100%, $F$12)</f>
        <v>5.1317000000000004</v>
      </c>
      <c r="F76" s="4">
        <f>CHOOSE( CONTROL!$C$37, 5.7934, 5.7923) * CHOOSE(CONTROL!$C$20, $D$12, 100%, $F$12)</f>
        <v>5.7934000000000001</v>
      </c>
      <c r="G76" s="7">
        <f>CHOOSE( CONTROL!$C$37, 5.1018, 5.1007) * CHOOSE( CONTROL!$C$20, $D$12, 100%, $F$12)</f>
        <v>5.1017999999999999</v>
      </c>
      <c r="H76" s="4">
        <f>CHOOSE( CONTROL!$C$37, 5.9864, 5.9853) * CHOOSE(CONTROL!$C$20, $D$12, 100%, $F$12)</f>
        <v>5.9863999999999997</v>
      </c>
      <c r="I76" s="7">
        <f>CHOOSE( CONTROL!$C$37, 5.1731, 5.172) * CHOOSE(CONTROL!$C$20, $D$12, 100%, $F$12)</f>
        <v>5.1730999999999998</v>
      </c>
      <c r="J76" s="4">
        <f>CHOOSE( CONTROL!$C$37, 4.9945, 4.9935) * CHOOSE(CONTROL!$C$20, $D$12, 100%, $F$12)</f>
        <v>4.9945000000000004</v>
      </c>
      <c r="K76" s="4"/>
      <c r="L76" s="8">
        <v>28.360600000000002</v>
      </c>
      <c r="M76" s="8">
        <v>11.6745</v>
      </c>
      <c r="N76" s="8">
        <v>4.7850000000000001</v>
      </c>
      <c r="O76" s="8">
        <v>0.36199999999999999</v>
      </c>
      <c r="P76" s="8">
        <v>1.2509999999999999</v>
      </c>
      <c r="Q76" s="8">
        <v>24.098400000000002</v>
      </c>
      <c r="R76" s="8"/>
    </row>
    <row r="77" spans="1:18" ht="15" customHeight="1">
      <c r="A77" s="11">
        <v>43435</v>
      </c>
      <c r="B77" s="7">
        <f>CHOOSE( CONTROL!$C$37, 5.1314, 5.1304) * CHOOSE(CONTROL!$C$20, $D$12, 100%, $F$12)</f>
        <v>5.1314000000000002</v>
      </c>
      <c r="C77" s="7">
        <f>CHOOSE( CONTROL!$C$37, 5.1365, 5.1355) * CHOOSE(CONTROL!$C$20, $D$12, 100%, $F$12)</f>
        <v>5.1364999999999998</v>
      </c>
      <c r="D77" s="7">
        <f>CHOOSE( CONTROL!$C$37, 5.1166, 5.1155) * CHOOSE( CONTROL!$C$20, $D$12, 100%, $F$12)</f>
        <v>5.1166</v>
      </c>
      <c r="E77" s="10">
        <f>CHOOSE( CONTROL!$C$37, 5.1233, 5.1223) * CHOOSE( CONTROL!$C$20, $D$12, 100%, $F$12)</f>
        <v>5.1233000000000004</v>
      </c>
      <c r="F77" s="4">
        <f>CHOOSE( CONTROL!$C$37, 5.784, 5.7829) * CHOOSE(CONTROL!$C$20, $D$12, 100%, $F$12)</f>
        <v>5.7839999999999998</v>
      </c>
      <c r="G77" s="7">
        <f>CHOOSE( CONTROL!$C$37, 5.0937, 5.0926) * CHOOSE( CONTROL!$C$20, $D$12, 100%, $F$12)</f>
        <v>5.0937000000000001</v>
      </c>
      <c r="H77" s="4">
        <f>CHOOSE( CONTROL!$C$37, 5.9771, 5.9761) * CHOOSE(CONTROL!$C$20, $D$12, 100%, $F$12)</f>
        <v>5.9771000000000001</v>
      </c>
      <c r="I77" s="7">
        <f>CHOOSE( CONTROL!$C$37, 5.1689, 5.1678) * CHOOSE(CONTROL!$C$20, $D$12, 100%, $F$12)</f>
        <v>5.1688999999999998</v>
      </c>
      <c r="J77" s="4">
        <f>CHOOSE( CONTROL!$C$37, 4.9854, 4.9844) * CHOOSE(CONTROL!$C$20, $D$12, 100%, $F$12)</f>
        <v>4.9854000000000003</v>
      </c>
      <c r="K77" s="4"/>
      <c r="L77" s="8">
        <v>29.306000000000001</v>
      </c>
      <c r="M77" s="8">
        <v>12.063700000000001</v>
      </c>
      <c r="N77" s="8">
        <v>4.9444999999999997</v>
      </c>
      <c r="O77" s="8">
        <v>0.37409999999999999</v>
      </c>
      <c r="P77" s="8">
        <v>1.2927</v>
      </c>
      <c r="Q77" s="8">
        <v>24.901700000000002</v>
      </c>
      <c r="R77" s="8"/>
    </row>
    <row r="78" spans="1:18" ht="15" customHeight="1">
      <c r="A78" s="11">
        <v>43466</v>
      </c>
      <c r="B78" s="7">
        <f>CHOOSE( CONTROL!$C$37, 5.768, 5.7669) * CHOOSE(CONTROL!$C$20, $D$12, 100%, $F$12)</f>
        <v>5.7679999999999998</v>
      </c>
      <c r="C78" s="7">
        <f>CHOOSE( CONTROL!$C$37, 5.7731, 5.772) * CHOOSE(CONTROL!$C$20, $D$12, 100%, $F$12)</f>
        <v>5.7731000000000003</v>
      </c>
      <c r="D78" s="7">
        <f>CHOOSE( CONTROL!$C$37, 5.7662, 5.7651) * CHOOSE( CONTROL!$C$20, $D$12, 100%, $F$12)</f>
        <v>5.7662000000000004</v>
      </c>
      <c r="E78" s="10">
        <f>CHOOSE( CONTROL!$C$37, 5.7682, 5.7671) * CHOOSE( CONTROL!$C$20, $D$12, 100%, $F$12)</f>
        <v>5.7682000000000002</v>
      </c>
      <c r="F78" s="4">
        <f>CHOOSE( CONTROL!$C$37, 6.4205, 6.4195) * CHOOSE(CONTROL!$C$20, $D$12, 100%, $F$12)</f>
        <v>6.4204999999999997</v>
      </c>
      <c r="G78" s="7">
        <f>CHOOSE( CONTROL!$C$37, 5.7258, 5.7248) * CHOOSE( CONTROL!$C$20, $D$12, 100%, $F$12)</f>
        <v>5.7257999999999996</v>
      </c>
      <c r="H78" s="4">
        <f>CHOOSE( CONTROL!$C$37, 6.6048, 6.6037) * CHOOSE(CONTROL!$C$20, $D$12, 100%, $F$12)</f>
        <v>6.6048</v>
      </c>
      <c r="I78" s="7">
        <f>CHOOSE( CONTROL!$C$37, 5.7568, 5.7558) * CHOOSE(CONTROL!$C$20, $D$12, 100%, $F$12)</f>
        <v>5.7568000000000001</v>
      </c>
      <c r="J78" s="4">
        <f>CHOOSE( CONTROL!$C$37, 5.6018, 5.6008) * CHOOSE(CONTROL!$C$20, $D$12, 100%, $F$12)</f>
        <v>5.6017999999999999</v>
      </c>
      <c r="K78" s="4"/>
      <c r="L78" s="8">
        <v>29.306000000000001</v>
      </c>
      <c r="M78" s="8">
        <v>12.063700000000001</v>
      </c>
      <c r="N78" s="8">
        <v>4.9444999999999997</v>
      </c>
      <c r="O78" s="8">
        <v>0.37409999999999999</v>
      </c>
      <c r="P78" s="8">
        <v>1.2927</v>
      </c>
      <c r="Q78" s="8">
        <v>24.651199999999999</v>
      </c>
      <c r="R78" s="8"/>
    </row>
    <row r="79" spans="1:18" ht="15" customHeight="1">
      <c r="A79" s="11">
        <v>43497</v>
      </c>
      <c r="B79" s="7">
        <f>CHOOSE( CONTROL!$C$37, 5.3941, 5.393) * CHOOSE(CONTROL!$C$20, $D$12, 100%, $F$12)</f>
        <v>5.3940999999999999</v>
      </c>
      <c r="C79" s="7">
        <f>CHOOSE( CONTROL!$C$37, 5.3992, 5.3981) * CHOOSE(CONTROL!$C$20, $D$12, 100%, $F$12)</f>
        <v>5.3992000000000004</v>
      </c>
      <c r="D79" s="7">
        <f>CHOOSE( CONTROL!$C$37, 5.3922, 5.3911) * CHOOSE( CONTROL!$C$20, $D$12, 100%, $F$12)</f>
        <v>5.3921999999999999</v>
      </c>
      <c r="E79" s="10">
        <f>CHOOSE( CONTROL!$C$37, 5.3942, 5.3931) * CHOOSE( CONTROL!$C$20, $D$12, 100%, $F$12)</f>
        <v>5.3941999999999997</v>
      </c>
      <c r="F79" s="4">
        <f>CHOOSE( CONTROL!$C$37, 6.0466, 6.0455) * CHOOSE(CONTROL!$C$20, $D$12, 100%, $F$12)</f>
        <v>6.0465999999999998</v>
      </c>
      <c r="G79" s="7">
        <f>CHOOSE( CONTROL!$C$37, 5.3571, 5.356) * CHOOSE( CONTROL!$C$20, $D$12, 100%, $F$12)</f>
        <v>5.3571</v>
      </c>
      <c r="H79" s="4">
        <f>CHOOSE( CONTROL!$C$37, 6.2361, 6.235) * CHOOSE(CONTROL!$C$20, $D$12, 100%, $F$12)</f>
        <v>6.2361000000000004</v>
      </c>
      <c r="I79" s="7">
        <f>CHOOSE( CONTROL!$C$37, 5.3943, 5.3933) * CHOOSE(CONTROL!$C$20, $D$12, 100%, $F$12)</f>
        <v>5.3943000000000003</v>
      </c>
      <c r="J79" s="4">
        <f>CHOOSE( CONTROL!$C$37, 5.2397, 5.2387) * CHOOSE(CONTROL!$C$20, $D$12, 100%, $F$12)</f>
        <v>5.2397</v>
      </c>
      <c r="K79" s="4"/>
      <c r="L79" s="8">
        <v>26.469899999999999</v>
      </c>
      <c r="M79" s="8">
        <v>10.8962</v>
      </c>
      <c r="N79" s="8">
        <v>4.4660000000000002</v>
      </c>
      <c r="O79" s="8">
        <v>0.33789999999999998</v>
      </c>
      <c r="P79" s="8">
        <v>1.1676</v>
      </c>
      <c r="Q79" s="8">
        <v>22.265599999999999</v>
      </c>
      <c r="R79" s="8"/>
    </row>
    <row r="80" spans="1:18" ht="15" customHeight="1">
      <c r="A80" s="11">
        <v>43525</v>
      </c>
      <c r="B80" s="7">
        <f>CHOOSE( CONTROL!$C$37, 5.2789, 5.2778) * CHOOSE(CONTROL!$C$20, $D$12, 100%, $F$12)</f>
        <v>5.2789000000000001</v>
      </c>
      <c r="C80" s="7">
        <f>CHOOSE( CONTROL!$C$37, 5.284, 5.2829) * CHOOSE(CONTROL!$C$20, $D$12, 100%, $F$12)</f>
        <v>5.2839999999999998</v>
      </c>
      <c r="D80" s="7">
        <f>CHOOSE( CONTROL!$C$37, 5.2764, 5.2753) * CHOOSE( CONTROL!$C$20, $D$12, 100%, $F$12)</f>
        <v>5.2763999999999998</v>
      </c>
      <c r="E80" s="10">
        <f>CHOOSE( CONTROL!$C$37, 5.2786, 5.2775) * CHOOSE( CONTROL!$C$20, $D$12, 100%, $F$12)</f>
        <v>5.2786</v>
      </c>
      <c r="F80" s="4">
        <f>CHOOSE( CONTROL!$C$37, 5.9314, 5.9304) * CHOOSE(CONTROL!$C$20, $D$12, 100%, $F$12)</f>
        <v>5.9314</v>
      </c>
      <c r="G80" s="7">
        <f>CHOOSE( CONTROL!$C$37, 5.2431, 5.242) * CHOOSE( CONTROL!$C$20, $D$12, 100%, $F$12)</f>
        <v>5.2431000000000001</v>
      </c>
      <c r="H80" s="4">
        <f>CHOOSE( CONTROL!$C$37, 6.1225, 6.1215) * CHOOSE(CONTROL!$C$20, $D$12, 100%, $F$12)</f>
        <v>6.1224999999999996</v>
      </c>
      <c r="I80" s="7">
        <f>CHOOSE( CONTROL!$C$37, 5.2808, 5.2797) * CHOOSE(CONTROL!$C$20, $D$12, 100%, $F$12)</f>
        <v>5.2808000000000002</v>
      </c>
      <c r="J80" s="4">
        <f>CHOOSE( CONTROL!$C$37, 5.1282, 5.1272) * CHOOSE(CONTROL!$C$20, $D$12, 100%, $F$12)</f>
        <v>5.1281999999999996</v>
      </c>
      <c r="K80" s="4"/>
      <c r="L80" s="8">
        <v>29.306000000000001</v>
      </c>
      <c r="M80" s="8">
        <v>12.063700000000001</v>
      </c>
      <c r="N80" s="8">
        <v>4.9444999999999997</v>
      </c>
      <c r="O80" s="8">
        <v>0.37409999999999999</v>
      </c>
      <c r="P80" s="8">
        <v>1.2927</v>
      </c>
      <c r="Q80" s="8">
        <v>24.651199999999999</v>
      </c>
      <c r="R80" s="8"/>
    </row>
    <row r="81" spans="1:18" ht="15" customHeight="1">
      <c r="A81" s="11">
        <v>43556</v>
      </c>
      <c r="B81" s="7">
        <f>CHOOSE( CONTROL!$C$37, 5.3601, 5.3591) * CHOOSE(CONTROL!$C$20, $D$12, 100%, $F$12)</f>
        <v>5.3601000000000001</v>
      </c>
      <c r="C81" s="7">
        <f>CHOOSE( CONTROL!$C$37, 5.3647, 5.3636) * CHOOSE(CONTROL!$C$20, $D$12, 100%, $F$12)</f>
        <v>5.3647</v>
      </c>
      <c r="D81" s="7">
        <f>CHOOSE( CONTROL!$C$37, 5.3765, 5.3754) * CHOOSE( CONTROL!$C$20, $D$12, 100%, $F$12)</f>
        <v>5.3765000000000001</v>
      </c>
      <c r="E81" s="10">
        <f>CHOOSE( CONTROL!$C$37, 5.3721, 5.371) * CHOOSE( CONTROL!$C$20, $D$12, 100%, $F$12)</f>
        <v>5.3720999999999997</v>
      </c>
      <c r="F81" s="4">
        <f>CHOOSE( CONTROL!$C$37, 6.0868, 6.0857) * CHOOSE(CONTROL!$C$20, $D$12, 100%, $F$12)</f>
        <v>6.0868000000000002</v>
      </c>
      <c r="G81" s="7">
        <f>CHOOSE( CONTROL!$C$37, 5.3306, 5.3296) * CHOOSE( CONTROL!$C$20, $D$12, 100%, $F$12)</f>
        <v>5.3305999999999996</v>
      </c>
      <c r="H81" s="4">
        <f>CHOOSE( CONTROL!$C$37, 6.2757, 6.2746) * CHOOSE(CONTROL!$C$20, $D$12, 100%, $F$12)</f>
        <v>6.2756999999999996</v>
      </c>
      <c r="I81" s="7">
        <f>CHOOSE( CONTROL!$C$37, 5.3314, 5.3303) * CHOOSE(CONTROL!$C$20, $D$12, 100%, $F$12)</f>
        <v>5.3314000000000004</v>
      </c>
      <c r="J81" s="4">
        <f>CHOOSE( CONTROL!$C$37, 5.2061, 5.2051) * CHOOSE(CONTROL!$C$20, $D$12, 100%, $F$12)</f>
        <v>5.2061000000000002</v>
      </c>
      <c r="K81" s="4"/>
      <c r="L81" s="8">
        <v>30.092199999999998</v>
      </c>
      <c r="M81" s="8">
        <v>11.6745</v>
      </c>
      <c r="N81" s="8">
        <v>4.7850000000000001</v>
      </c>
      <c r="O81" s="8">
        <v>0.36199999999999999</v>
      </c>
      <c r="P81" s="8">
        <v>1.2509999999999999</v>
      </c>
      <c r="Q81" s="8">
        <v>23.856000000000002</v>
      </c>
      <c r="R81" s="8"/>
    </row>
    <row r="82" spans="1:18" ht="15" customHeight="1">
      <c r="A82" s="11">
        <v>43586</v>
      </c>
      <c r="B82" s="7">
        <f>CHOOSE( CONTROL!$C$37, 5.5053, 5.5037) * CHOOSE(CONTROL!$C$20, $D$12, 100%, $F$12)</f>
        <v>5.5053000000000001</v>
      </c>
      <c r="C82" s="7">
        <f>CHOOSE( CONTROL!$C$37, 5.5133, 5.5117) * CHOOSE(CONTROL!$C$20, $D$12, 100%, $F$12)</f>
        <v>5.5133000000000001</v>
      </c>
      <c r="D82" s="7">
        <f>CHOOSE( CONTROL!$C$37, 5.519, 5.5173) * CHOOSE( CONTROL!$C$20, $D$12, 100%, $F$12)</f>
        <v>5.5190000000000001</v>
      </c>
      <c r="E82" s="10">
        <f>CHOOSE( CONTROL!$C$37, 5.5157, 5.5141) * CHOOSE( CONTROL!$C$20, $D$12, 100%, $F$12)</f>
        <v>5.5156999999999998</v>
      </c>
      <c r="F82" s="4">
        <f>CHOOSE( CONTROL!$C$37, 6.2306, 6.2289) * CHOOSE(CONTROL!$C$20, $D$12, 100%, $F$12)</f>
        <v>6.2305999999999999</v>
      </c>
      <c r="G82" s="7">
        <f>CHOOSE( CONTROL!$C$37, 5.4724, 5.4708) * CHOOSE( CONTROL!$C$20, $D$12, 100%, $F$12)</f>
        <v>5.4724000000000004</v>
      </c>
      <c r="H82" s="4">
        <f>CHOOSE( CONTROL!$C$37, 6.4175, 6.4159) * CHOOSE(CONTROL!$C$20, $D$12, 100%, $F$12)</f>
        <v>6.4175000000000004</v>
      </c>
      <c r="I82" s="7">
        <f>CHOOSE( CONTROL!$C$37, 5.4704, 5.4688) * CHOOSE(CONTROL!$C$20, $D$12, 100%, $F$12)</f>
        <v>5.4703999999999997</v>
      </c>
      <c r="J82" s="4">
        <f>CHOOSE( CONTROL!$C$37, 5.3454, 5.3438) * CHOOSE(CONTROL!$C$20, $D$12, 100%, $F$12)</f>
        <v>5.3453999999999997</v>
      </c>
      <c r="K82" s="4"/>
      <c r="L82" s="8">
        <v>30.7165</v>
      </c>
      <c r="M82" s="8">
        <v>12.063700000000001</v>
      </c>
      <c r="N82" s="8">
        <v>4.9444999999999997</v>
      </c>
      <c r="O82" s="8">
        <v>0.37409999999999999</v>
      </c>
      <c r="P82" s="8">
        <v>1.2927</v>
      </c>
      <c r="Q82" s="8">
        <v>24.651199999999999</v>
      </c>
      <c r="R82" s="8"/>
    </row>
    <row r="83" spans="1:18" ht="15" customHeight="1">
      <c r="A83" s="11">
        <v>43617</v>
      </c>
      <c r="B83" s="7">
        <f>CHOOSE( CONTROL!$C$37, 5.4166, 5.4149) * CHOOSE(CONTROL!$C$20, $D$12, 100%, $F$12)</f>
        <v>5.4165999999999999</v>
      </c>
      <c r="C83" s="7">
        <f>CHOOSE( CONTROL!$C$37, 5.4246, 5.4229) * CHOOSE(CONTROL!$C$20, $D$12, 100%, $F$12)</f>
        <v>5.4245999999999999</v>
      </c>
      <c r="D83" s="7">
        <f>CHOOSE( CONTROL!$C$37, 5.4305, 5.4289) * CHOOSE( CONTROL!$C$20, $D$12, 100%, $F$12)</f>
        <v>5.4305000000000003</v>
      </c>
      <c r="E83" s="10">
        <f>CHOOSE( CONTROL!$C$37, 5.4271, 5.4255) * CHOOSE( CONTROL!$C$20, $D$12, 100%, $F$12)</f>
        <v>5.4271000000000003</v>
      </c>
      <c r="F83" s="4">
        <f>CHOOSE( CONTROL!$C$37, 6.1419, 6.1402) * CHOOSE(CONTROL!$C$20, $D$12, 100%, $F$12)</f>
        <v>6.1418999999999997</v>
      </c>
      <c r="G83" s="7">
        <f>CHOOSE( CONTROL!$C$37, 5.3851, 5.3835) * CHOOSE( CONTROL!$C$20, $D$12, 100%, $F$12)</f>
        <v>5.3851000000000004</v>
      </c>
      <c r="H83" s="4">
        <f>CHOOSE( CONTROL!$C$37, 6.33, 6.3284) * CHOOSE(CONTROL!$C$20, $D$12, 100%, $F$12)</f>
        <v>6.33</v>
      </c>
      <c r="I83" s="7">
        <f>CHOOSE( CONTROL!$C$37, 5.3854, 5.3838) * CHOOSE(CONTROL!$C$20, $D$12, 100%, $F$12)</f>
        <v>5.3853999999999997</v>
      </c>
      <c r="J83" s="4">
        <f>CHOOSE( CONTROL!$C$37, 5.2595, 5.2579) * CHOOSE(CONTROL!$C$20, $D$12, 100%, $F$12)</f>
        <v>5.2595000000000001</v>
      </c>
      <c r="K83" s="4"/>
      <c r="L83" s="8">
        <v>29.7257</v>
      </c>
      <c r="M83" s="8">
        <v>11.6745</v>
      </c>
      <c r="N83" s="8">
        <v>4.7850000000000001</v>
      </c>
      <c r="O83" s="8">
        <v>0.36199999999999999</v>
      </c>
      <c r="P83" s="8">
        <v>1.2509999999999999</v>
      </c>
      <c r="Q83" s="8">
        <v>23.856000000000002</v>
      </c>
      <c r="R83" s="8"/>
    </row>
    <row r="84" spans="1:18" ht="15" customHeight="1">
      <c r="A84" s="11">
        <v>43647</v>
      </c>
      <c r="B84" s="7">
        <f>CHOOSE( CONTROL!$C$37, 5.6502, 5.6486) * CHOOSE(CONTROL!$C$20, $D$12, 100%, $F$12)</f>
        <v>5.6501999999999999</v>
      </c>
      <c r="C84" s="7">
        <f>CHOOSE( CONTROL!$C$37, 5.6582, 5.6566) * CHOOSE(CONTROL!$C$20, $D$12, 100%, $F$12)</f>
        <v>5.6581999999999999</v>
      </c>
      <c r="D84" s="7">
        <f>CHOOSE( CONTROL!$C$37, 5.6645, 5.6628) * CHOOSE( CONTROL!$C$20, $D$12, 100%, $F$12)</f>
        <v>5.6645000000000003</v>
      </c>
      <c r="E84" s="10">
        <f>CHOOSE( CONTROL!$C$37, 5.661, 5.6593) * CHOOSE( CONTROL!$C$20, $D$12, 100%, $F$12)</f>
        <v>5.6609999999999996</v>
      </c>
      <c r="F84" s="4">
        <f>CHOOSE( CONTROL!$C$37, 6.3755, 6.3739) * CHOOSE(CONTROL!$C$20, $D$12, 100%, $F$12)</f>
        <v>6.3754999999999997</v>
      </c>
      <c r="G84" s="7">
        <f>CHOOSE( CONTROL!$C$37, 5.6158, 5.6141) * CHOOSE( CONTROL!$C$20, $D$12, 100%, $F$12)</f>
        <v>5.6158000000000001</v>
      </c>
      <c r="H84" s="4">
        <f>CHOOSE( CONTROL!$C$37, 6.5604, 6.5588) * CHOOSE(CONTROL!$C$20, $D$12, 100%, $F$12)</f>
        <v>6.5603999999999996</v>
      </c>
      <c r="I84" s="7">
        <f>CHOOSE( CONTROL!$C$37, 5.6128, 5.6112) * CHOOSE(CONTROL!$C$20, $D$12, 100%, $F$12)</f>
        <v>5.6128</v>
      </c>
      <c r="J84" s="4">
        <f>CHOOSE( CONTROL!$C$37, 5.4857, 5.4841) * CHOOSE(CONTROL!$C$20, $D$12, 100%, $F$12)</f>
        <v>5.4856999999999996</v>
      </c>
      <c r="K84" s="4"/>
      <c r="L84" s="8">
        <v>30.7165</v>
      </c>
      <c r="M84" s="8">
        <v>12.063700000000001</v>
      </c>
      <c r="N84" s="8">
        <v>4.9444999999999997</v>
      </c>
      <c r="O84" s="8">
        <v>0.37409999999999999</v>
      </c>
      <c r="P84" s="8">
        <v>1.2927</v>
      </c>
      <c r="Q84" s="8">
        <v>24.651199999999999</v>
      </c>
      <c r="R84" s="8"/>
    </row>
    <row r="85" spans="1:18" ht="15" customHeight="1">
      <c r="A85" s="11">
        <v>43678</v>
      </c>
      <c r="B85" s="7">
        <f>CHOOSE( CONTROL!$C$37, 5.2131, 5.2114) * CHOOSE(CONTROL!$C$20, $D$12, 100%, $F$12)</f>
        <v>5.2130999999999998</v>
      </c>
      <c r="C85" s="7">
        <f>CHOOSE( CONTROL!$C$37, 5.221, 5.2194) * CHOOSE(CONTROL!$C$20, $D$12, 100%, $F$12)</f>
        <v>5.2210000000000001</v>
      </c>
      <c r="D85" s="7">
        <f>CHOOSE( CONTROL!$C$37, 5.2274, 5.2257) * CHOOSE( CONTROL!$C$20, $D$12, 100%, $F$12)</f>
        <v>5.2274000000000003</v>
      </c>
      <c r="E85" s="10">
        <f>CHOOSE( CONTROL!$C$37, 5.2239, 5.2222) * CHOOSE( CONTROL!$C$20, $D$12, 100%, $F$12)</f>
        <v>5.2239000000000004</v>
      </c>
      <c r="F85" s="4">
        <f>CHOOSE( CONTROL!$C$37, 5.9383, 5.9367) * CHOOSE(CONTROL!$C$20, $D$12, 100%, $F$12)</f>
        <v>5.9382999999999999</v>
      </c>
      <c r="G85" s="7">
        <f>CHOOSE( CONTROL!$C$37, 5.1848, 5.1831) * CHOOSE( CONTROL!$C$20, $D$12, 100%, $F$12)</f>
        <v>5.1848000000000001</v>
      </c>
      <c r="H85" s="4">
        <f>CHOOSE( CONTROL!$C$37, 6.1293, 6.1277) * CHOOSE(CONTROL!$C$20, $D$12, 100%, $F$12)</f>
        <v>6.1292999999999997</v>
      </c>
      <c r="I85" s="7">
        <f>CHOOSE( CONTROL!$C$37, 5.1895, 5.1879) * CHOOSE(CONTROL!$C$20, $D$12, 100%, $F$12)</f>
        <v>5.1894999999999998</v>
      </c>
      <c r="J85" s="4">
        <f>CHOOSE( CONTROL!$C$37, 5.0624, 5.0608) * CHOOSE(CONTROL!$C$20, $D$12, 100%, $F$12)</f>
        <v>5.0624000000000002</v>
      </c>
      <c r="K85" s="4"/>
      <c r="L85" s="8">
        <v>30.7165</v>
      </c>
      <c r="M85" s="8">
        <v>12.063700000000001</v>
      </c>
      <c r="N85" s="8">
        <v>4.9444999999999997</v>
      </c>
      <c r="O85" s="8">
        <v>0.37409999999999999</v>
      </c>
      <c r="P85" s="8">
        <v>1.2927</v>
      </c>
      <c r="Q85" s="8">
        <v>24.651199999999999</v>
      </c>
      <c r="R85" s="8"/>
    </row>
    <row r="86" spans="1:18" ht="15" customHeight="1">
      <c r="A86" s="11">
        <v>43709</v>
      </c>
      <c r="B86" s="7">
        <f>CHOOSE( CONTROL!$C$37, 5.1036, 5.1019) * CHOOSE(CONTROL!$C$20, $D$12, 100%, $F$12)</f>
        <v>5.1036000000000001</v>
      </c>
      <c r="C86" s="7">
        <f>CHOOSE( CONTROL!$C$37, 5.1116, 5.1099) * CHOOSE(CONTROL!$C$20, $D$12, 100%, $F$12)</f>
        <v>5.1116000000000001</v>
      </c>
      <c r="D86" s="7">
        <f>CHOOSE( CONTROL!$C$37, 5.1178, 5.1161) * CHOOSE( CONTROL!$C$20, $D$12, 100%, $F$12)</f>
        <v>5.1177999999999999</v>
      </c>
      <c r="E86" s="10">
        <f>CHOOSE( CONTROL!$C$37, 5.1143, 5.1126) * CHOOSE( CONTROL!$C$20, $D$12, 100%, $F$12)</f>
        <v>5.1143000000000001</v>
      </c>
      <c r="F86" s="4">
        <f>CHOOSE( CONTROL!$C$37, 5.8289, 5.8272) * CHOOSE(CONTROL!$C$20, $D$12, 100%, $F$12)</f>
        <v>5.8289</v>
      </c>
      <c r="G86" s="7">
        <f>CHOOSE( CONTROL!$C$37, 5.0767, 5.0751) * CHOOSE( CONTROL!$C$20, $D$12, 100%, $F$12)</f>
        <v>5.0766999999999998</v>
      </c>
      <c r="H86" s="4">
        <f>CHOOSE( CONTROL!$C$37, 6.0214, 6.0197) * CHOOSE(CONTROL!$C$20, $D$12, 100%, $F$12)</f>
        <v>6.0213999999999999</v>
      </c>
      <c r="I86" s="7">
        <f>CHOOSE( CONTROL!$C$37, 5.0831, 5.0815) * CHOOSE(CONTROL!$C$20, $D$12, 100%, $F$12)</f>
        <v>5.0831</v>
      </c>
      <c r="J86" s="4">
        <f>CHOOSE( CONTROL!$C$37, 4.9564, 4.9548) * CHOOSE(CONTROL!$C$20, $D$12, 100%, $F$12)</f>
        <v>4.9564000000000004</v>
      </c>
      <c r="K86" s="4"/>
      <c r="L86" s="8">
        <v>29.7257</v>
      </c>
      <c r="M86" s="8">
        <v>11.6745</v>
      </c>
      <c r="N86" s="8">
        <v>4.7850000000000001</v>
      </c>
      <c r="O86" s="8">
        <v>0.36199999999999999</v>
      </c>
      <c r="P86" s="8">
        <v>1.2509999999999999</v>
      </c>
      <c r="Q86" s="8">
        <v>23.856000000000002</v>
      </c>
      <c r="R86" s="8"/>
    </row>
    <row r="87" spans="1:18" ht="15" customHeight="1">
      <c r="A87" s="11">
        <v>43739</v>
      </c>
      <c r="B87" s="7">
        <f>CHOOSE( CONTROL!$C$37, 5.3286, 5.3275) * CHOOSE(CONTROL!$C$20, $D$12, 100%, $F$12)</f>
        <v>5.3285999999999998</v>
      </c>
      <c r="C87" s="7">
        <f>CHOOSE( CONTROL!$C$37, 5.3339, 5.3329) * CHOOSE(CONTROL!$C$20, $D$12, 100%, $F$12)</f>
        <v>5.3338999999999999</v>
      </c>
      <c r="D87" s="7">
        <f>CHOOSE( CONTROL!$C$37, 5.3459, 5.3449) * CHOOSE( CONTROL!$C$20, $D$12, 100%, $F$12)</f>
        <v>5.3459000000000003</v>
      </c>
      <c r="E87" s="10">
        <f>CHOOSE( CONTROL!$C$37, 5.3414, 5.3404) * CHOOSE( CONTROL!$C$20, $D$12, 100%, $F$12)</f>
        <v>5.3414000000000001</v>
      </c>
      <c r="F87" s="4">
        <f>CHOOSE( CONTROL!$C$37, 6.0556, 6.0545) * CHOOSE(CONTROL!$C$20, $D$12, 100%, $F$12)</f>
        <v>6.0556000000000001</v>
      </c>
      <c r="G87" s="7">
        <f>CHOOSE( CONTROL!$C$37, 5.3004, 5.2993) * CHOOSE( CONTROL!$C$20, $D$12, 100%, $F$12)</f>
        <v>5.3003999999999998</v>
      </c>
      <c r="H87" s="4">
        <f>CHOOSE( CONTROL!$C$37, 6.245, 6.2439) * CHOOSE(CONTROL!$C$20, $D$12, 100%, $F$12)</f>
        <v>6.2450000000000001</v>
      </c>
      <c r="I87" s="7">
        <f>CHOOSE( CONTROL!$C$37, 5.3034, 5.3024) * CHOOSE(CONTROL!$C$20, $D$12, 100%, $F$12)</f>
        <v>5.3033999999999999</v>
      </c>
      <c r="J87" s="4">
        <f>CHOOSE( CONTROL!$C$37, 5.1759, 5.1749) * CHOOSE(CONTROL!$C$20, $D$12, 100%, $F$12)</f>
        <v>5.1759000000000004</v>
      </c>
      <c r="K87" s="4"/>
      <c r="L87" s="8">
        <v>31.095300000000002</v>
      </c>
      <c r="M87" s="8">
        <v>12.063700000000001</v>
      </c>
      <c r="N87" s="8">
        <v>4.9444999999999997</v>
      </c>
      <c r="O87" s="8">
        <v>0.37409999999999999</v>
      </c>
      <c r="P87" s="8">
        <v>1.2927</v>
      </c>
      <c r="Q87" s="8">
        <v>24.651199999999999</v>
      </c>
      <c r="R87" s="8"/>
    </row>
    <row r="88" spans="1:18" ht="15" customHeight="1">
      <c r="A88" s="11">
        <v>43770</v>
      </c>
      <c r="B88" s="7">
        <f>CHOOSE( CONTROL!$C$37, 5.7478, 5.7467) * CHOOSE(CONTROL!$C$20, $D$12, 100%, $F$12)</f>
        <v>5.7477999999999998</v>
      </c>
      <c r="C88" s="7">
        <f>CHOOSE( CONTROL!$C$37, 5.7529, 5.7518) * CHOOSE(CONTROL!$C$20, $D$12, 100%, $F$12)</f>
        <v>5.7529000000000003</v>
      </c>
      <c r="D88" s="7">
        <f>CHOOSE( CONTROL!$C$37, 5.7313, 5.7302) * CHOOSE( CONTROL!$C$20, $D$12, 100%, $F$12)</f>
        <v>5.7313000000000001</v>
      </c>
      <c r="E88" s="10">
        <f>CHOOSE( CONTROL!$C$37, 5.7387, 5.7376) * CHOOSE( CONTROL!$C$20, $D$12, 100%, $F$12)</f>
        <v>5.7386999999999997</v>
      </c>
      <c r="F88" s="4">
        <f>CHOOSE( CONTROL!$C$37, 6.4003, 6.3992) * CHOOSE(CONTROL!$C$20, $D$12, 100%, $F$12)</f>
        <v>6.4002999999999997</v>
      </c>
      <c r="G88" s="7">
        <f>CHOOSE( CONTROL!$C$37, 5.7002, 5.6992) * CHOOSE( CONTROL!$C$20, $D$12, 100%, $F$12)</f>
        <v>5.7001999999999997</v>
      </c>
      <c r="H88" s="4">
        <f>CHOOSE( CONTROL!$C$37, 6.5849, 6.5838) * CHOOSE(CONTROL!$C$20, $D$12, 100%, $F$12)</f>
        <v>6.5849000000000002</v>
      </c>
      <c r="I88" s="7">
        <f>CHOOSE( CONTROL!$C$37, 5.7611, 5.76) * CHOOSE(CONTROL!$C$20, $D$12, 100%, $F$12)</f>
        <v>5.7610999999999999</v>
      </c>
      <c r="J88" s="4">
        <f>CHOOSE( CONTROL!$C$37, 5.5822, 5.5812) * CHOOSE(CONTROL!$C$20, $D$12, 100%, $F$12)</f>
        <v>5.5822000000000003</v>
      </c>
      <c r="K88" s="4"/>
      <c r="L88" s="8">
        <v>28.360600000000002</v>
      </c>
      <c r="M88" s="8">
        <v>11.6745</v>
      </c>
      <c r="N88" s="8">
        <v>4.7850000000000001</v>
      </c>
      <c r="O88" s="8">
        <v>0.36199999999999999</v>
      </c>
      <c r="P88" s="8">
        <v>1.2509999999999999</v>
      </c>
      <c r="Q88" s="8">
        <v>23.856000000000002</v>
      </c>
      <c r="R88" s="8"/>
    </row>
    <row r="89" spans="1:18" ht="14.25" customHeight="1">
      <c r="A89" s="11">
        <v>43800</v>
      </c>
      <c r="B89" s="7">
        <f>CHOOSE( CONTROL!$C$37, 5.7373, 5.7362) * CHOOSE(CONTROL!$C$20, $D$12, 100%, $F$12)</f>
        <v>5.7373000000000003</v>
      </c>
      <c r="C89" s="7">
        <f>CHOOSE( CONTROL!$C$37, 5.7424, 5.7413) * CHOOSE(CONTROL!$C$20, $D$12, 100%, $F$12)</f>
        <v>5.7423999999999999</v>
      </c>
      <c r="D89" s="7">
        <f>CHOOSE( CONTROL!$C$37, 5.7224, 5.7213) * CHOOSE( CONTROL!$C$20, $D$12, 100%, $F$12)</f>
        <v>5.7224000000000004</v>
      </c>
      <c r="E89" s="10">
        <f>CHOOSE( CONTROL!$C$37, 5.7292, 5.7281) * CHOOSE( CONTROL!$C$20, $D$12, 100%, $F$12)</f>
        <v>5.7291999999999996</v>
      </c>
      <c r="F89" s="4">
        <f>CHOOSE( CONTROL!$C$37, 6.3898, 6.3887) * CHOOSE(CONTROL!$C$20, $D$12, 100%, $F$12)</f>
        <v>6.3898000000000001</v>
      </c>
      <c r="G89" s="7">
        <f>CHOOSE( CONTROL!$C$37, 5.691, 5.69) * CHOOSE( CONTROL!$C$20, $D$12, 100%, $F$12)</f>
        <v>5.6909999999999998</v>
      </c>
      <c r="H89" s="4">
        <f>CHOOSE( CONTROL!$C$37, 6.5745, 6.5734) * CHOOSE(CONTROL!$C$20, $D$12, 100%, $F$12)</f>
        <v>6.5744999999999996</v>
      </c>
      <c r="I89" s="7">
        <f>CHOOSE( CONTROL!$C$37, 5.7558, 5.7547) * CHOOSE(CONTROL!$C$20, $D$12, 100%, $F$12)</f>
        <v>5.7557999999999998</v>
      </c>
      <c r="J89" s="4">
        <f>CHOOSE( CONTROL!$C$37, 5.5721, 5.571) * CHOOSE(CONTROL!$C$20, $D$12, 100%, $F$12)</f>
        <v>5.5720999999999998</v>
      </c>
      <c r="K89" s="4"/>
      <c r="L89" s="8">
        <v>29.306000000000001</v>
      </c>
      <c r="M89" s="8">
        <v>12.063700000000001</v>
      </c>
      <c r="N89" s="8">
        <v>4.9444999999999997</v>
      </c>
      <c r="O89" s="8">
        <v>0.37409999999999999</v>
      </c>
      <c r="P89" s="8">
        <v>1.2927</v>
      </c>
      <c r="Q89" s="8">
        <v>24.651199999999999</v>
      </c>
      <c r="R89" s="8"/>
    </row>
    <row r="90" spans="1:18" ht="14.25" customHeight="1">
      <c r="A90" s="11">
        <v>43831</v>
      </c>
      <c r="B90" s="7">
        <f>CHOOSE( CONTROL!$C$37, 5.9317, 5.9306) * CHOOSE(CONTROL!$C$20, $D$12, 100%, $F$12)</f>
        <v>5.9317000000000002</v>
      </c>
      <c r="C90" s="7">
        <f>CHOOSE( CONTROL!$C$37, 5.9368, 5.9357) * CHOOSE(CONTROL!$C$20, $D$12, 100%, $F$12)</f>
        <v>5.9367999999999999</v>
      </c>
      <c r="D90" s="7">
        <f>CHOOSE( CONTROL!$C$37, 5.9299, 5.9288) * CHOOSE( CONTROL!$C$20, $D$12, 100%, $F$12)</f>
        <v>5.9298999999999999</v>
      </c>
      <c r="E90" s="10">
        <f>CHOOSE( CONTROL!$C$37, 5.9319, 5.9308) * CHOOSE( CONTROL!$C$20, $D$12, 100%, $F$12)</f>
        <v>5.9318999999999997</v>
      </c>
      <c r="F90" s="4">
        <f>CHOOSE( CONTROL!$C$37, 6.5842, 6.5832) * CHOOSE(CONTROL!$C$20, $D$12, 100%, $F$12)</f>
        <v>6.5842000000000001</v>
      </c>
      <c r="G90" s="7">
        <f>CHOOSE( CONTROL!$C$37, 5.8873, 5.8862) * CHOOSE( CONTROL!$C$20, $D$12, 100%, $F$12)</f>
        <v>5.8872999999999998</v>
      </c>
      <c r="H90" s="4">
        <f>CHOOSE( CONTROL!$C$37, 6.7662, 6.7652) * CHOOSE(CONTROL!$C$20, $D$12, 100%, $F$12)</f>
        <v>6.7662000000000004</v>
      </c>
      <c r="I90" s="7">
        <f>CHOOSE( CONTROL!$C$37, 5.9154, 5.9144) * CHOOSE(CONTROL!$C$20, $D$12, 100%, $F$12)</f>
        <v>5.9154</v>
      </c>
      <c r="J90" s="4">
        <f>CHOOSE( CONTROL!$C$37, 5.7603, 5.7593) * CHOOSE(CONTROL!$C$20, $D$12, 100%, $F$12)</f>
        <v>5.7603</v>
      </c>
      <c r="K90" s="4"/>
      <c r="L90" s="8">
        <v>29.306000000000001</v>
      </c>
      <c r="M90" s="8">
        <v>12.063700000000001</v>
      </c>
      <c r="N90" s="8">
        <v>4.9444999999999997</v>
      </c>
      <c r="O90" s="8">
        <v>0.37409999999999999</v>
      </c>
      <c r="P90" s="8">
        <v>1.2927</v>
      </c>
      <c r="Q90" s="8">
        <v>22.150099999999998</v>
      </c>
      <c r="R90" s="8"/>
    </row>
    <row r="91" spans="1:18" ht="14.25" customHeight="1">
      <c r="A91" s="11">
        <v>43862</v>
      </c>
      <c r="B91" s="7">
        <f>CHOOSE( CONTROL!$C$37, 5.5472, 5.5461) * CHOOSE(CONTROL!$C$20, $D$12, 100%, $F$12)</f>
        <v>5.5472000000000001</v>
      </c>
      <c r="C91" s="7">
        <f>CHOOSE( CONTROL!$C$37, 5.5523, 5.5512) * CHOOSE(CONTROL!$C$20, $D$12, 100%, $F$12)</f>
        <v>5.5522999999999998</v>
      </c>
      <c r="D91" s="7">
        <f>CHOOSE( CONTROL!$C$37, 5.5453, 5.5442) * CHOOSE( CONTROL!$C$20, $D$12, 100%, $F$12)</f>
        <v>5.5453000000000001</v>
      </c>
      <c r="E91" s="10">
        <f>CHOOSE( CONTROL!$C$37, 5.5473, 5.5462) * CHOOSE( CONTROL!$C$20, $D$12, 100%, $F$12)</f>
        <v>5.5472999999999999</v>
      </c>
      <c r="F91" s="4">
        <f>CHOOSE( CONTROL!$C$37, 6.1997, 6.1986) * CHOOSE(CONTROL!$C$20, $D$12, 100%, $F$12)</f>
        <v>6.1997</v>
      </c>
      <c r="G91" s="7">
        <f>CHOOSE( CONTROL!$C$37, 5.508, 5.507) * CHOOSE( CONTROL!$C$20, $D$12, 100%, $F$12)</f>
        <v>5.508</v>
      </c>
      <c r="H91" s="4">
        <f>CHOOSE( CONTROL!$C$37, 6.3871, 6.386) * CHOOSE(CONTROL!$C$20, $D$12, 100%, $F$12)</f>
        <v>6.3871000000000002</v>
      </c>
      <c r="I91" s="7">
        <f>CHOOSE( CONTROL!$C$37, 5.5426, 5.5416) * CHOOSE(CONTROL!$C$20, $D$12, 100%, $F$12)</f>
        <v>5.5426000000000002</v>
      </c>
      <c r="J91" s="4">
        <f>CHOOSE( CONTROL!$C$37, 5.388, 5.3869) * CHOOSE(CONTROL!$C$20, $D$12, 100%, $F$12)</f>
        <v>5.3879999999999999</v>
      </c>
      <c r="K91" s="4"/>
      <c r="L91" s="8">
        <v>27.415299999999998</v>
      </c>
      <c r="M91" s="8">
        <v>11.285299999999999</v>
      </c>
      <c r="N91" s="8">
        <v>4.6254999999999997</v>
      </c>
      <c r="O91" s="8">
        <v>0.34989999999999999</v>
      </c>
      <c r="P91" s="8">
        <v>1.2093</v>
      </c>
      <c r="Q91" s="8">
        <v>20.7211</v>
      </c>
      <c r="R91" s="8"/>
    </row>
    <row r="92" spans="1:18" ht="14.25" customHeight="1">
      <c r="A92" s="11">
        <v>43891</v>
      </c>
      <c r="B92" s="7">
        <f>CHOOSE( CONTROL!$C$37, 5.4288, 5.4277) * CHOOSE(CONTROL!$C$20, $D$12, 100%, $F$12)</f>
        <v>5.4287999999999998</v>
      </c>
      <c r="C92" s="7">
        <f>CHOOSE( CONTROL!$C$37, 5.4339, 5.4328) * CHOOSE(CONTROL!$C$20, $D$12, 100%, $F$12)</f>
        <v>5.4339000000000004</v>
      </c>
      <c r="D92" s="7">
        <f>CHOOSE( CONTROL!$C$37, 5.4263, 5.4252) * CHOOSE( CONTROL!$C$20, $D$12, 100%, $F$12)</f>
        <v>5.4263000000000003</v>
      </c>
      <c r="E92" s="10">
        <f>CHOOSE( CONTROL!$C$37, 5.4285, 5.4274) * CHOOSE( CONTROL!$C$20, $D$12, 100%, $F$12)</f>
        <v>5.4284999999999997</v>
      </c>
      <c r="F92" s="4">
        <f>CHOOSE( CONTROL!$C$37, 6.0813, 6.0802) * CHOOSE(CONTROL!$C$20, $D$12, 100%, $F$12)</f>
        <v>6.0812999999999997</v>
      </c>
      <c r="G92" s="7">
        <f>CHOOSE( CONTROL!$C$37, 5.3908, 5.3897) * CHOOSE( CONTROL!$C$20, $D$12, 100%, $F$12)</f>
        <v>5.3907999999999996</v>
      </c>
      <c r="H92" s="4">
        <f>CHOOSE( CONTROL!$C$37, 6.2703, 6.2692) * CHOOSE(CONTROL!$C$20, $D$12, 100%, $F$12)</f>
        <v>6.2702999999999998</v>
      </c>
      <c r="I92" s="7">
        <f>CHOOSE( CONTROL!$C$37, 5.426, 5.4249) * CHOOSE(CONTROL!$C$20, $D$12, 100%, $F$12)</f>
        <v>5.4260000000000002</v>
      </c>
      <c r="J92" s="4">
        <f>CHOOSE( CONTROL!$C$37, 5.2733, 5.2723) * CHOOSE(CONTROL!$C$20, $D$12, 100%, $F$12)</f>
        <v>5.2732999999999999</v>
      </c>
      <c r="K92" s="4"/>
      <c r="L92" s="8">
        <v>29.306000000000001</v>
      </c>
      <c r="M92" s="8">
        <v>12.063700000000001</v>
      </c>
      <c r="N92" s="8">
        <v>4.9444999999999997</v>
      </c>
      <c r="O92" s="8">
        <v>0.37409999999999999</v>
      </c>
      <c r="P92" s="8">
        <v>1.2927</v>
      </c>
      <c r="Q92" s="8">
        <v>22.150099999999998</v>
      </c>
      <c r="R92" s="8"/>
    </row>
    <row r="93" spans="1:18" ht="14.25" customHeight="1">
      <c r="A93" s="11">
        <v>43922</v>
      </c>
      <c r="B93" s="7">
        <f>CHOOSE( CONTROL!$C$37, 5.5123, 5.5112) * CHOOSE(CONTROL!$C$20, $D$12, 100%, $F$12)</f>
        <v>5.5122999999999998</v>
      </c>
      <c r="C93" s="7">
        <f>CHOOSE( CONTROL!$C$37, 5.5168, 5.5157) * CHOOSE(CONTROL!$C$20, $D$12, 100%, $F$12)</f>
        <v>5.5167999999999999</v>
      </c>
      <c r="D93" s="7">
        <f>CHOOSE( CONTROL!$C$37, 5.5286, 5.5276) * CHOOSE( CONTROL!$C$20, $D$12, 100%, $F$12)</f>
        <v>5.5286</v>
      </c>
      <c r="E93" s="10">
        <f>CHOOSE( CONTROL!$C$37, 5.5242, 5.5232) * CHOOSE( CONTROL!$C$20, $D$12, 100%, $F$12)</f>
        <v>5.5242000000000004</v>
      </c>
      <c r="F93" s="4">
        <f>CHOOSE( CONTROL!$C$37, 6.2389, 6.2378) * CHOOSE(CONTROL!$C$20, $D$12, 100%, $F$12)</f>
        <v>6.2389000000000001</v>
      </c>
      <c r="G93" s="7">
        <f>CHOOSE( CONTROL!$C$37, 5.4807, 5.4796) * CHOOSE( CONTROL!$C$20, $D$12, 100%, $F$12)</f>
        <v>5.4806999999999997</v>
      </c>
      <c r="H93" s="4">
        <f>CHOOSE( CONTROL!$C$37, 6.4257, 6.4247) * CHOOSE(CONTROL!$C$20, $D$12, 100%, $F$12)</f>
        <v>6.4257</v>
      </c>
      <c r="I93" s="7">
        <f>CHOOSE( CONTROL!$C$37, 5.4787, 5.4777) * CHOOSE(CONTROL!$C$20, $D$12, 100%, $F$12)</f>
        <v>5.4786999999999999</v>
      </c>
      <c r="J93" s="4">
        <f>CHOOSE( CONTROL!$C$37, 5.3535, 5.3524) * CHOOSE(CONTROL!$C$20, $D$12, 100%, $F$12)</f>
        <v>5.3535000000000004</v>
      </c>
      <c r="K93" s="4"/>
      <c r="L93" s="8">
        <v>30.092199999999998</v>
      </c>
      <c r="M93" s="8">
        <v>11.6745</v>
      </c>
      <c r="N93" s="8">
        <v>4.7850000000000001</v>
      </c>
      <c r="O93" s="8">
        <v>0.36199999999999999</v>
      </c>
      <c r="P93" s="8">
        <v>1.2509999999999999</v>
      </c>
      <c r="Q93" s="8">
        <v>21.435600000000001</v>
      </c>
      <c r="R93" s="8"/>
    </row>
    <row r="94" spans="1:18" ht="14.25" customHeight="1">
      <c r="A94" s="11">
        <v>43952</v>
      </c>
      <c r="B94" s="7">
        <f>CHOOSE( CONTROL!$C$37, 5.6615, 5.6598) * CHOOSE(CONTROL!$C$20, $D$12, 100%, $F$12)</f>
        <v>5.6615000000000002</v>
      </c>
      <c r="C94" s="7">
        <f>CHOOSE( CONTROL!$C$37, 5.6695, 5.6678) * CHOOSE(CONTROL!$C$20, $D$12, 100%, $F$12)</f>
        <v>5.6695000000000002</v>
      </c>
      <c r="D94" s="7">
        <f>CHOOSE( CONTROL!$C$37, 5.6752, 5.6735) * CHOOSE( CONTROL!$C$20, $D$12, 100%, $F$12)</f>
        <v>5.6752000000000002</v>
      </c>
      <c r="E94" s="10">
        <f>CHOOSE( CONTROL!$C$37, 5.6719, 5.6702) * CHOOSE( CONTROL!$C$20, $D$12, 100%, $F$12)</f>
        <v>5.6718999999999999</v>
      </c>
      <c r="F94" s="4">
        <f>CHOOSE( CONTROL!$C$37, 6.3868, 6.3851) * CHOOSE(CONTROL!$C$20, $D$12, 100%, $F$12)</f>
        <v>6.3868</v>
      </c>
      <c r="G94" s="7">
        <f>CHOOSE( CONTROL!$C$37, 5.6264, 5.6248) * CHOOSE( CONTROL!$C$20, $D$12, 100%, $F$12)</f>
        <v>5.6264000000000003</v>
      </c>
      <c r="H94" s="4">
        <f>CHOOSE( CONTROL!$C$37, 6.5715, 6.5699) * CHOOSE(CONTROL!$C$20, $D$12, 100%, $F$12)</f>
        <v>6.5715000000000003</v>
      </c>
      <c r="I94" s="7">
        <f>CHOOSE( CONTROL!$C$37, 5.6217, 5.6201) * CHOOSE(CONTROL!$C$20, $D$12, 100%, $F$12)</f>
        <v>5.6216999999999997</v>
      </c>
      <c r="J94" s="4">
        <f>CHOOSE( CONTROL!$C$37, 5.4966, 5.495) * CHOOSE(CONTROL!$C$20, $D$12, 100%, $F$12)</f>
        <v>5.4965999999999999</v>
      </c>
      <c r="K94" s="4"/>
      <c r="L94" s="8">
        <v>30.7165</v>
      </c>
      <c r="M94" s="8">
        <v>12.063700000000001</v>
      </c>
      <c r="N94" s="8">
        <v>4.9444999999999997</v>
      </c>
      <c r="O94" s="8">
        <v>0.37409999999999999</v>
      </c>
      <c r="P94" s="8">
        <v>1.2927</v>
      </c>
      <c r="Q94" s="8">
        <v>33.225200000000001</v>
      </c>
      <c r="R94" s="8"/>
    </row>
    <row r="95" spans="1:18" ht="14.25" customHeight="1">
      <c r="A95" s="11">
        <v>43983</v>
      </c>
      <c r="B95" s="7">
        <f>CHOOSE( CONTROL!$C$37, 5.5703, 5.5686) * CHOOSE(CONTROL!$C$20, $D$12, 100%, $F$12)</f>
        <v>5.5702999999999996</v>
      </c>
      <c r="C95" s="7">
        <f>CHOOSE( CONTROL!$C$37, 5.5783, 5.5766) * CHOOSE(CONTROL!$C$20, $D$12, 100%, $F$12)</f>
        <v>5.5782999999999996</v>
      </c>
      <c r="D95" s="7">
        <f>CHOOSE( CONTROL!$C$37, 5.5842, 5.5825) * CHOOSE( CONTROL!$C$20, $D$12, 100%, $F$12)</f>
        <v>5.5842000000000001</v>
      </c>
      <c r="E95" s="10">
        <f>CHOOSE( CONTROL!$C$37, 5.5808, 5.5791) * CHOOSE( CONTROL!$C$20, $D$12, 100%, $F$12)</f>
        <v>5.5808</v>
      </c>
      <c r="F95" s="4">
        <f>CHOOSE( CONTROL!$C$37, 6.2956, 6.2939) * CHOOSE(CONTROL!$C$20, $D$12, 100%, $F$12)</f>
        <v>6.2956000000000003</v>
      </c>
      <c r="G95" s="7">
        <f>CHOOSE( CONTROL!$C$37, 5.5367, 5.535) * CHOOSE( CONTROL!$C$20, $D$12, 100%, $F$12)</f>
        <v>5.5366999999999997</v>
      </c>
      <c r="H95" s="4">
        <f>CHOOSE( CONTROL!$C$37, 6.4816, 6.4799) * CHOOSE(CONTROL!$C$20, $D$12, 100%, $F$12)</f>
        <v>6.4816000000000003</v>
      </c>
      <c r="I95" s="7">
        <f>CHOOSE( CONTROL!$C$37, 5.5343, 5.5326) * CHOOSE(CONTROL!$C$20, $D$12, 100%, $F$12)</f>
        <v>5.5343</v>
      </c>
      <c r="J95" s="4">
        <f>CHOOSE( CONTROL!$C$37, 5.4083, 5.4067) * CHOOSE(CONTROL!$C$20, $D$12, 100%, $F$12)</f>
        <v>5.4082999999999997</v>
      </c>
      <c r="K95" s="4"/>
      <c r="L95" s="8">
        <v>29.7257</v>
      </c>
      <c r="M95" s="8">
        <v>11.6745</v>
      </c>
      <c r="N95" s="8">
        <v>4.7850000000000001</v>
      </c>
      <c r="O95" s="8">
        <v>0.36199999999999999</v>
      </c>
      <c r="P95" s="8">
        <v>1.2509999999999999</v>
      </c>
      <c r="Q95" s="8">
        <v>32.153399999999998</v>
      </c>
      <c r="R95" s="8"/>
    </row>
    <row r="96" spans="1:18" ht="14.25" customHeight="1">
      <c r="A96" s="11">
        <v>44013</v>
      </c>
      <c r="B96" s="7">
        <f>CHOOSE( CONTROL!$C$37, 5.8105, 5.8089) * CHOOSE(CONTROL!$C$20, $D$12, 100%, $F$12)</f>
        <v>5.8105000000000002</v>
      </c>
      <c r="C96" s="7">
        <f>CHOOSE( CONTROL!$C$37, 5.8185, 5.8169) * CHOOSE(CONTROL!$C$20, $D$12, 100%, $F$12)</f>
        <v>5.8185000000000002</v>
      </c>
      <c r="D96" s="7">
        <f>CHOOSE( CONTROL!$C$37, 5.8248, 5.8231) * CHOOSE( CONTROL!$C$20, $D$12, 100%, $F$12)</f>
        <v>5.8247999999999998</v>
      </c>
      <c r="E96" s="10">
        <f>CHOOSE( CONTROL!$C$37, 5.8213, 5.8196) * CHOOSE( CONTROL!$C$20, $D$12, 100%, $F$12)</f>
        <v>5.8212999999999999</v>
      </c>
      <c r="F96" s="4">
        <f>CHOOSE( CONTROL!$C$37, 6.5358, 6.5342) * CHOOSE(CONTROL!$C$20, $D$12, 100%, $F$12)</f>
        <v>6.5358000000000001</v>
      </c>
      <c r="G96" s="7">
        <f>CHOOSE( CONTROL!$C$37, 5.7738, 5.7722) * CHOOSE( CONTROL!$C$20, $D$12, 100%, $F$12)</f>
        <v>5.7737999999999996</v>
      </c>
      <c r="H96" s="4">
        <f>CHOOSE( CONTROL!$C$37, 6.7185, 6.7168) * CHOOSE(CONTROL!$C$20, $D$12, 100%, $F$12)</f>
        <v>6.7184999999999997</v>
      </c>
      <c r="I96" s="7">
        <f>CHOOSE( CONTROL!$C$37, 5.7681, 5.7665) * CHOOSE(CONTROL!$C$20, $D$12, 100%, $F$12)</f>
        <v>5.7680999999999996</v>
      </c>
      <c r="J96" s="4">
        <f>CHOOSE( CONTROL!$C$37, 5.6409, 5.6393) * CHOOSE(CONTROL!$C$20, $D$12, 100%, $F$12)</f>
        <v>5.6409000000000002</v>
      </c>
      <c r="K96" s="4"/>
      <c r="L96" s="8">
        <v>30.7165</v>
      </c>
      <c r="M96" s="8">
        <v>12.063700000000001</v>
      </c>
      <c r="N96" s="8">
        <v>4.9444999999999997</v>
      </c>
      <c r="O96" s="8">
        <v>0.37409999999999999</v>
      </c>
      <c r="P96" s="8">
        <v>1.2927</v>
      </c>
      <c r="Q96" s="8">
        <v>33.225200000000001</v>
      </c>
      <c r="R96" s="8"/>
    </row>
    <row r="97" spans="1:18" ht="14.25" customHeight="1">
      <c r="A97" s="11">
        <v>44044</v>
      </c>
      <c r="B97" s="7">
        <f>CHOOSE( CONTROL!$C$37, 5.361, 5.3593) * CHOOSE(CONTROL!$C$20, $D$12, 100%, $F$12)</f>
        <v>5.3609999999999998</v>
      </c>
      <c r="C97" s="7">
        <f>CHOOSE( CONTROL!$C$37, 5.369, 5.3673) * CHOOSE(CONTROL!$C$20, $D$12, 100%, $F$12)</f>
        <v>5.3689999999999998</v>
      </c>
      <c r="D97" s="7">
        <f>CHOOSE( CONTROL!$C$37, 5.3753, 5.3736) * CHOOSE( CONTROL!$C$20, $D$12, 100%, $F$12)</f>
        <v>5.3753000000000002</v>
      </c>
      <c r="E97" s="10">
        <f>CHOOSE( CONTROL!$C$37, 5.3718, 5.3701) * CHOOSE( CONTROL!$C$20, $D$12, 100%, $F$12)</f>
        <v>5.3718000000000004</v>
      </c>
      <c r="F97" s="4">
        <f>CHOOSE( CONTROL!$C$37, 6.0863, 6.0846) * CHOOSE(CONTROL!$C$20, $D$12, 100%, $F$12)</f>
        <v>6.0862999999999996</v>
      </c>
      <c r="G97" s="7">
        <f>CHOOSE( CONTROL!$C$37, 5.3306, 5.329) * CHOOSE( CONTROL!$C$20, $D$12, 100%, $F$12)</f>
        <v>5.3305999999999996</v>
      </c>
      <c r="H97" s="4">
        <f>CHOOSE( CONTROL!$C$37, 6.2752, 6.2735) * CHOOSE(CONTROL!$C$20, $D$12, 100%, $F$12)</f>
        <v>6.2751999999999999</v>
      </c>
      <c r="I97" s="7">
        <f>CHOOSE( CONTROL!$C$37, 5.3328, 5.3312) * CHOOSE(CONTROL!$C$20, $D$12, 100%, $F$12)</f>
        <v>5.3327999999999998</v>
      </c>
      <c r="J97" s="4">
        <f>CHOOSE( CONTROL!$C$37, 5.2056, 5.204) * CHOOSE(CONTROL!$C$20, $D$12, 100%, $F$12)</f>
        <v>5.2055999999999996</v>
      </c>
      <c r="K97" s="4"/>
      <c r="L97" s="8">
        <v>30.7165</v>
      </c>
      <c r="M97" s="8">
        <v>12.063700000000001</v>
      </c>
      <c r="N97" s="8">
        <v>4.9444999999999997</v>
      </c>
      <c r="O97" s="8">
        <v>0.37409999999999999</v>
      </c>
      <c r="P97" s="8">
        <v>1.2927</v>
      </c>
      <c r="Q97" s="8">
        <v>33.225200000000001</v>
      </c>
      <c r="R97" s="8"/>
    </row>
    <row r="98" spans="1:18" ht="14.25" customHeight="1">
      <c r="A98" s="11">
        <v>44075</v>
      </c>
      <c r="B98" s="7">
        <f>CHOOSE( CONTROL!$C$37, 5.2484, 5.2467) * CHOOSE(CONTROL!$C$20, $D$12, 100%, $F$12)</f>
        <v>5.2484000000000002</v>
      </c>
      <c r="C98" s="7">
        <f>CHOOSE( CONTROL!$C$37, 5.2564, 5.2547) * CHOOSE(CONTROL!$C$20, $D$12, 100%, $F$12)</f>
        <v>5.2564000000000002</v>
      </c>
      <c r="D98" s="7">
        <f>CHOOSE( CONTROL!$C$37, 5.2626, 5.2609) * CHOOSE( CONTROL!$C$20, $D$12, 100%, $F$12)</f>
        <v>5.2625999999999999</v>
      </c>
      <c r="E98" s="10">
        <f>CHOOSE( CONTROL!$C$37, 5.2591, 5.2574) * CHOOSE( CONTROL!$C$20, $D$12, 100%, $F$12)</f>
        <v>5.2591000000000001</v>
      </c>
      <c r="F98" s="4">
        <f>CHOOSE( CONTROL!$C$37, 5.9737, 5.972) * CHOOSE(CONTROL!$C$20, $D$12, 100%, $F$12)</f>
        <v>5.9737</v>
      </c>
      <c r="G98" s="7">
        <f>CHOOSE( CONTROL!$C$37, 5.2195, 5.2179) * CHOOSE( CONTROL!$C$20, $D$12, 100%, $F$12)</f>
        <v>5.2195</v>
      </c>
      <c r="H98" s="4">
        <f>CHOOSE( CONTROL!$C$37, 6.1642, 6.1625) * CHOOSE(CONTROL!$C$20, $D$12, 100%, $F$12)</f>
        <v>6.1642000000000001</v>
      </c>
      <c r="I98" s="7">
        <f>CHOOSE( CONTROL!$C$37, 5.2234, 5.2218) * CHOOSE(CONTROL!$C$20, $D$12, 100%, $F$12)</f>
        <v>5.2233999999999998</v>
      </c>
      <c r="J98" s="4">
        <f>CHOOSE( CONTROL!$C$37, 5.0966, 5.095) * CHOOSE(CONTROL!$C$20, $D$12, 100%, $F$12)</f>
        <v>5.0965999999999996</v>
      </c>
      <c r="K98" s="4"/>
      <c r="L98" s="8">
        <v>29.7257</v>
      </c>
      <c r="M98" s="8">
        <v>11.6745</v>
      </c>
      <c r="N98" s="8">
        <v>4.7850000000000001</v>
      </c>
      <c r="O98" s="8">
        <v>0.36199999999999999</v>
      </c>
      <c r="P98" s="8">
        <v>1.2509999999999999</v>
      </c>
      <c r="Q98" s="8">
        <v>32.153399999999998</v>
      </c>
      <c r="R98" s="8"/>
    </row>
    <row r="99" spans="1:18" ht="14.25" customHeight="1">
      <c r="A99" s="11">
        <v>44105</v>
      </c>
      <c r="B99" s="7">
        <f>CHOOSE( CONTROL!$C$37, 5.4798, 5.4788) * CHOOSE(CONTROL!$C$20, $D$12, 100%, $F$12)</f>
        <v>5.4798</v>
      </c>
      <c r="C99" s="7">
        <f>CHOOSE( CONTROL!$C$37, 5.4852, 5.4841) * CHOOSE(CONTROL!$C$20, $D$12, 100%, $F$12)</f>
        <v>5.4851999999999999</v>
      </c>
      <c r="D99" s="7">
        <f>CHOOSE( CONTROL!$C$37, 5.4972, 5.4961) * CHOOSE( CONTROL!$C$20, $D$12, 100%, $F$12)</f>
        <v>5.4972000000000003</v>
      </c>
      <c r="E99" s="10">
        <f>CHOOSE( CONTROL!$C$37, 5.4927, 5.4916) * CHOOSE( CONTROL!$C$20, $D$12, 100%, $F$12)</f>
        <v>5.4927000000000001</v>
      </c>
      <c r="F99" s="4">
        <f>CHOOSE( CONTROL!$C$37, 6.2068, 6.2058) * CHOOSE(CONTROL!$C$20, $D$12, 100%, $F$12)</f>
        <v>6.2068000000000003</v>
      </c>
      <c r="G99" s="7">
        <f>CHOOSE( CONTROL!$C$37, 5.4496, 5.4485) * CHOOSE( CONTROL!$C$20, $D$12, 100%, $F$12)</f>
        <v>5.4496000000000002</v>
      </c>
      <c r="H99" s="4">
        <f>CHOOSE( CONTROL!$C$37, 6.3941, 6.393) * CHOOSE(CONTROL!$C$20, $D$12, 100%, $F$12)</f>
        <v>6.3940999999999999</v>
      </c>
      <c r="I99" s="7">
        <f>CHOOSE( CONTROL!$C$37, 5.4499, 5.4489) * CHOOSE(CONTROL!$C$20, $D$12, 100%, $F$12)</f>
        <v>5.4499000000000004</v>
      </c>
      <c r="J99" s="4">
        <f>CHOOSE( CONTROL!$C$37, 5.3224, 5.3213) * CHOOSE(CONTROL!$C$20, $D$12, 100%, $F$12)</f>
        <v>5.3224</v>
      </c>
      <c r="K99" s="4"/>
      <c r="L99" s="8">
        <v>31.095300000000002</v>
      </c>
      <c r="M99" s="8">
        <v>12.063700000000001</v>
      </c>
      <c r="N99" s="8">
        <v>4.9444999999999997</v>
      </c>
      <c r="O99" s="8">
        <v>0.37409999999999999</v>
      </c>
      <c r="P99" s="8">
        <v>1.2927</v>
      </c>
      <c r="Q99" s="8">
        <v>33.225200000000001</v>
      </c>
      <c r="R99" s="8"/>
    </row>
    <row r="100" spans="1:18" ht="14.25" customHeight="1">
      <c r="A100" s="11">
        <v>44136</v>
      </c>
      <c r="B100" s="7">
        <f>CHOOSE( CONTROL!$C$37, 5.9109, 5.9098) * CHOOSE(CONTROL!$C$20, $D$12, 100%, $F$12)</f>
        <v>5.9108999999999998</v>
      </c>
      <c r="C100" s="7">
        <f>CHOOSE( CONTROL!$C$37, 5.916, 5.9149) * CHOOSE(CONTROL!$C$20, $D$12, 100%, $F$12)</f>
        <v>5.9160000000000004</v>
      </c>
      <c r="D100" s="7">
        <f>CHOOSE( CONTROL!$C$37, 5.8944, 5.8934) * CHOOSE( CONTROL!$C$20, $D$12, 100%, $F$12)</f>
        <v>5.8944000000000001</v>
      </c>
      <c r="E100" s="10">
        <f>CHOOSE( CONTROL!$C$37, 5.9018, 5.9007) * CHOOSE( CONTROL!$C$20, $D$12, 100%, $F$12)</f>
        <v>5.9017999999999997</v>
      </c>
      <c r="F100" s="4">
        <f>CHOOSE( CONTROL!$C$37, 6.5634, 6.5623) * CHOOSE(CONTROL!$C$20, $D$12, 100%, $F$12)</f>
        <v>6.5633999999999997</v>
      </c>
      <c r="G100" s="7">
        <f>CHOOSE( CONTROL!$C$37, 5.8611, 5.86) * CHOOSE( CONTROL!$C$20, $D$12, 100%, $F$12)</f>
        <v>5.8611000000000004</v>
      </c>
      <c r="H100" s="4">
        <f>CHOOSE( CONTROL!$C$37, 6.7457, 6.7446) * CHOOSE(CONTROL!$C$20, $D$12, 100%, $F$12)</f>
        <v>6.7457000000000003</v>
      </c>
      <c r="I100" s="7">
        <f>CHOOSE( CONTROL!$C$37, 5.9191, 5.918) * CHOOSE(CONTROL!$C$20, $D$12, 100%, $F$12)</f>
        <v>5.9191000000000003</v>
      </c>
      <c r="J100" s="4">
        <f>CHOOSE( CONTROL!$C$37, 5.7402, 5.7391) * CHOOSE(CONTROL!$C$20, $D$12, 100%, $F$12)</f>
        <v>5.7401999999999997</v>
      </c>
      <c r="K100" s="4"/>
      <c r="L100" s="8">
        <v>28.360600000000002</v>
      </c>
      <c r="M100" s="8">
        <v>11.6745</v>
      </c>
      <c r="N100" s="8">
        <v>4.7850000000000001</v>
      </c>
      <c r="O100" s="8">
        <v>0.36199999999999999</v>
      </c>
      <c r="P100" s="8">
        <v>1.2509999999999999</v>
      </c>
      <c r="Q100" s="8">
        <v>32.153399999999998</v>
      </c>
      <c r="R100" s="8"/>
    </row>
    <row r="101" spans="1:18" ht="14.25" customHeight="1">
      <c r="A101" s="11">
        <v>44166</v>
      </c>
      <c r="B101" s="7">
        <f>CHOOSE( CONTROL!$C$37, 5.9001, 5.899) * CHOOSE(CONTROL!$C$20, $D$12, 100%, $F$12)</f>
        <v>5.9001000000000001</v>
      </c>
      <c r="C101" s="7">
        <f>CHOOSE( CONTROL!$C$37, 5.9052, 5.9041) * CHOOSE(CONTROL!$C$20, $D$12, 100%, $F$12)</f>
        <v>5.9051999999999998</v>
      </c>
      <c r="D101" s="7">
        <f>CHOOSE( CONTROL!$C$37, 5.8852, 5.8841) * CHOOSE( CONTROL!$C$20, $D$12, 100%, $F$12)</f>
        <v>5.8852000000000002</v>
      </c>
      <c r="E101" s="10">
        <f>CHOOSE( CONTROL!$C$37, 5.892, 5.8909) * CHOOSE( CONTROL!$C$20, $D$12, 100%, $F$12)</f>
        <v>5.8920000000000003</v>
      </c>
      <c r="F101" s="4">
        <f>CHOOSE( CONTROL!$C$37, 6.5526, 6.5516) * CHOOSE(CONTROL!$C$20, $D$12, 100%, $F$12)</f>
        <v>6.5526</v>
      </c>
      <c r="G101" s="7">
        <f>CHOOSE( CONTROL!$C$37, 5.8516, 5.8505) * CHOOSE( CONTROL!$C$20, $D$12, 100%, $F$12)</f>
        <v>5.8516000000000004</v>
      </c>
      <c r="H101" s="4">
        <f>CHOOSE( CONTROL!$C$37, 6.7351, 6.734) * CHOOSE(CONTROL!$C$20, $D$12, 100%, $F$12)</f>
        <v>6.7351000000000001</v>
      </c>
      <c r="I101" s="7">
        <f>CHOOSE( CONTROL!$C$37, 5.9135, 5.9125) * CHOOSE(CONTROL!$C$20, $D$12, 100%, $F$12)</f>
        <v>5.9135</v>
      </c>
      <c r="J101" s="4">
        <f>CHOOSE( CONTROL!$C$37, 5.7297, 5.7287) * CHOOSE(CONTROL!$C$20, $D$12, 100%, $F$12)</f>
        <v>5.7297000000000002</v>
      </c>
      <c r="K101" s="4"/>
      <c r="L101" s="8">
        <v>29.306000000000001</v>
      </c>
      <c r="M101" s="8">
        <v>12.063700000000001</v>
      </c>
      <c r="N101" s="8">
        <v>4.9444999999999997</v>
      </c>
      <c r="O101" s="8">
        <v>0.37409999999999999</v>
      </c>
      <c r="P101" s="8">
        <v>1.2927</v>
      </c>
      <c r="Q101" s="8">
        <v>33.225200000000001</v>
      </c>
      <c r="R101" s="8"/>
    </row>
    <row r="102" spans="1:18" ht="14.25" customHeight="1">
      <c r="A102" s="11">
        <v>44197</v>
      </c>
      <c r="B102" s="7">
        <f>CHOOSE( CONTROL!$C$37, 6.15, 6.1489) * CHOOSE(CONTROL!$C$20, $D$12, 100%, $F$12)</f>
        <v>6.15</v>
      </c>
      <c r="C102" s="7">
        <f>CHOOSE( CONTROL!$C$37, 6.1551, 6.154) * CHOOSE(CONTROL!$C$20, $D$12, 100%, $F$12)</f>
        <v>6.1551</v>
      </c>
      <c r="D102" s="7">
        <f>CHOOSE( CONTROL!$C$37, 6.1482, 6.1471) * CHOOSE( CONTROL!$C$20, $D$12, 100%, $F$12)</f>
        <v>6.1482000000000001</v>
      </c>
      <c r="E102" s="10">
        <f>CHOOSE( CONTROL!$C$37, 6.1502, 6.1491) * CHOOSE( CONTROL!$C$20, $D$12, 100%, $F$12)</f>
        <v>6.1501999999999999</v>
      </c>
      <c r="F102" s="4">
        <f>CHOOSE( CONTROL!$C$37, 6.8025, 6.8014) * CHOOSE(CONTROL!$C$20, $D$12, 100%, $F$12)</f>
        <v>6.8025000000000002</v>
      </c>
      <c r="G102" s="7">
        <f>CHOOSE( CONTROL!$C$37, 6.1025, 6.1014) * CHOOSE( CONTROL!$C$20, $D$12, 100%, $F$12)</f>
        <v>6.1025</v>
      </c>
      <c r="H102" s="4">
        <f>CHOOSE( CONTROL!$C$37, 6.9815, 6.9804) * CHOOSE(CONTROL!$C$20, $D$12, 100%, $F$12)</f>
        <v>6.9814999999999996</v>
      </c>
      <c r="I102" s="7">
        <f>CHOOSE( CONTROL!$C$37, 6.1269, 6.1258) * CHOOSE(CONTROL!$C$20, $D$12, 100%, $F$12)</f>
        <v>6.1269</v>
      </c>
      <c r="J102" s="4">
        <f>CHOOSE( CONTROL!$C$37, 5.9717, 5.9706) * CHOOSE(CONTROL!$C$20, $D$12, 100%, $F$12)</f>
        <v>5.9717000000000002</v>
      </c>
      <c r="K102" s="4"/>
      <c r="L102" s="8">
        <v>29.306000000000001</v>
      </c>
      <c r="M102" s="8">
        <v>12.063700000000001</v>
      </c>
      <c r="N102" s="8">
        <v>4.9444999999999997</v>
      </c>
      <c r="O102" s="8">
        <v>0.37409999999999999</v>
      </c>
      <c r="P102" s="8">
        <v>1.2927</v>
      </c>
      <c r="Q102" s="8">
        <v>33.011299999999999</v>
      </c>
      <c r="R102" s="8"/>
    </row>
    <row r="103" spans="1:18" ht="14.25" customHeight="1">
      <c r="A103" s="11">
        <v>44228</v>
      </c>
      <c r="B103" s="7">
        <f>CHOOSE( CONTROL!$C$37, 5.7513, 5.7503) * CHOOSE(CONTROL!$C$20, $D$12, 100%, $F$12)</f>
        <v>5.7512999999999996</v>
      </c>
      <c r="C103" s="7">
        <f>CHOOSE( CONTROL!$C$37, 5.7564, 5.7554) * CHOOSE(CONTROL!$C$20, $D$12, 100%, $F$12)</f>
        <v>5.7564000000000002</v>
      </c>
      <c r="D103" s="7">
        <f>CHOOSE( CONTROL!$C$37, 5.7495, 5.7484) * CHOOSE( CONTROL!$C$20, $D$12, 100%, $F$12)</f>
        <v>5.7495000000000003</v>
      </c>
      <c r="E103" s="10">
        <f>CHOOSE( CONTROL!$C$37, 5.7515, 5.7504) * CHOOSE( CONTROL!$C$20, $D$12, 100%, $F$12)</f>
        <v>5.7515000000000001</v>
      </c>
      <c r="F103" s="4">
        <f>CHOOSE( CONTROL!$C$37, 6.4039, 6.4028) * CHOOSE(CONTROL!$C$20, $D$12, 100%, $F$12)</f>
        <v>6.4039000000000001</v>
      </c>
      <c r="G103" s="7">
        <f>CHOOSE( CONTROL!$C$37, 5.7094, 5.7083) * CHOOSE( CONTROL!$C$20, $D$12, 100%, $F$12)</f>
        <v>5.7093999999999996</v>
      </c>
      <c r="H103" s="4">
        <f>CHOOSE( CONTROL!$C$37, 6.5884, 6.5873) * CHOOSE(CONTROL!$C$20, $D$12, 100%, $F$12)</f>
        <v>6.5884</v>
      </c>
      <c r="I103" s="7">
        <f>CHOOSE( CONTROL!$C$37, 5.7404, 5.7394) * CHOOSE(CONTROL!$C$20, $D$12, 100%, $F$12)</f>
        <v>5.7404000000000002</v>
      </c>
      <c r="J103" s="4">
        <f>CHOOSE( CONTROL!$C$37, 5.5857, 5.5846) * CHOOSE(CONTROL!$C$20, $D$12, 100%, $F$12)</f>
        <v>5.5857000000000001</v>
      </c>
      <c r="K103" s="4"/>
      <c r="L103" s="8">
        <v>26.469899999999999</v>
      </c>
      <c r="M103" s="8">
        <v>10.8962</v>
      </c>
      <c r="N103" s="8">
        <v>4.4660000000000002</v>
      </c>
      <c r="O103" s="8">
        <v>0.33789999999999998</v>
      </c>
      <c r="P103" s="8">
        <v>1.1676</v>
      </c>
      <c r="Q103" s="8">
        <v>29.816600000000001</v>
      </c>
      <c r="R103" s="8"/>
    </row>
    <row r="104" spans="1:18" ht="14.25" customHeight="1">
      <c r="A104" s="11">
        <v>44256</v>
      </c>
      <c r="B104" s="7">
        <f>CHOOSE( CONTROL!$C$37, 5.6286, 5.6275) * CHOOSE(CONTROL!$C$20, $D$12, 100%, $F$12)</f>
        <v>5.6285999999999996</v>
      </c>
      <c r="C104" s="7">
        <f>CHOOSE( CONTROL!$C$37, 5.6337, 5.6326) * CHOOSE(CONTROL!$C$20, $D$12, 100%, $F$12)</f>
        <v>5.6337000000000002</v>
      </c>
      <c r="D104" s="7">
        <f>CHOOSE( CONTROL!$C$37, 5.6261, 5.625) * CHOOSE( CONTROL!$C$20, $D$12, 100%, $F$12)</f>
        <v>5.6261000000000001</v>
      </c>
      <c r="E104" s="10">
        <f>CHOOSE( CONTROL!$C$37, 5.6283, 5.6272) * CHOOSE( CONTROL!$C$20, $D$12, 100%, $F$12)</f>
        <v>5.6283000000000003</v>
      </c>
      <c r="F104" s="4">
        <f>CHOOSE( CONTROL!$C$37, 6.2811, 6.28) * CHOOSE(CONTROL!$C$20, $D$12, 100%, $F$12)</f>
        <v>6.2811000000000003</v>
      </c>
      <c r="G104" s="7">
        <f>CHOOSE( CONTROL!$C$37, 5.5878, 5.5868) * CHOOSE( CONTROL!$C$20, $D$12, 100%, $F$12)</f>
        <v>5.5877999999999997</v>
      </c>
      <c r="H104" s="4">
        <f>CHOOSE( CONTROL!$C$37, 6.4673, 6.4663) * CHOOSE(CONTROL!$C$20, $D$12, 100%, $F$12)</f>
        <v>6.4672999999999998</v>
      </c>
      <c r="I104" s="7">
        <f>CHOOSE( CONTROL!$C$37, 5.6196, 5.6185) * CHOOSE(CONTROL!$C$20, $D$12, 100%, $F$12)</f>
        <v>5.6196000000000002</v>
      </c>
      <c r="J104" s="4">
        <f>CHOOSE( CONTROL!$C$37, 5.4668, 5.4658) * CHOOSE(CONTROL!$C$20, $D$12, 100%, $F$12)</f>
        <v>5.4668000000000001</v>
      </c>
      <c r="K104" s="4"/>
      <c r="L104" s="8">
        <v>29.306000000000001</v>
      </c>
      <c r="M104" s="8">
        <v>12.063700000000001</v>
      </c>
      <c r="N104" s="8">
        <v>4.9444999999999997</v>
      </c>
      <c r="O104" s="8">
        <v>0.37409999999999999</v>
      </c>
      <c r="P104" s="8">
        <v>1.2927</v>
      </c>
      <c r="Q104" s="8">
        <v>33.011299999999999</v>
      </c>
      <c r="R104" s="8"/>
    </row>
    <row r="105" spans="1:18" ht="14.25" customHeight="1">
      <c r="A105" s="11">
        <v>44287</v>
      </c>
      <c r="B105" s="7">
        <f>CHOOSE( CONTROL!$C$37, 5.7151, 5.714) * CHOOSE(CONTROL!$C$20, $D$12, 100%, $F$12)</f>
        <v>5.7150999999999996</v>
      </c>
      <c r="C105" s="7">
        <f>CHOOSE( CONTROL!$C$37, 5.7197, 5.7186) * CHOOSE(CONTROL!$C$20, $D$12, 100%, $F$12)</f>
        <v>5.7196999999999996</v>
      </c>
      <c r="D105" s="7">
        <f>CHOOSE( CONTROL!$C$37, 5.7315, 5.7304) * CHOOSE( CONTROL!$C$20, $D$12, 100%, $F$12)</f>
        <v>5.7314999999999996</v>
      </c>
      <c r="E105" s="10">
        <f>CHOOSE( CONTROL!$C$37, 5.7271, 5.726) * CHOOSE( CONTROL!$C$20, $D$12, 100%, $F$12)</f>
        <v>5.7271000000000001</v>
      </c>
      <c r="F105" s="4">
        <f>CHOOSE( CONTROL!$C$37, 6.4418, 6.4407) * CHOOSE(CONTROL!$C$20, $D$12, 100%, $F$12)</f>
        <v>6.4417999999999997</v>
      </c>
      <c r="G105" s="7">
        <f>CHOOSE( CONTROL!$C$37, 5.6807, 5.6796) * CHOOSE( CONTROL!$C$20, $D$12, 100%, $F$12)</f>
        <v>5.6806999999999999</v>
      </c>
      <c r="H105" s="4">
        <f>CHOOSE( CONTROL!$C$37, 6.6258, 6.6247) * CHOOSE(CONTROL!$C$20, $D$12, 100%, $F$12)</f>
        <v>6.6257999999999999</v>
      </c>
      <c r="I105" s="7">
        <f>CHOOSE( CONTROL!$C$37, 5.6753, 5.6742) * CHOOSE(CONTROL!$C$20, $D$12, 100%, $F$12)</f>
        <v>5.6753</v>
      </c>
      <c r="J105" s="4">
        <f>CHOOSE( CONTROL!$C$37, 5.5499, 5.5488) * CHOOSE(CONTROL!$C$20, $D$12, 100%, $F$12)</f>
        <v>5.5499000000000001</v>
      </c>
      <c r="K105" s="4"/>
      <c r="L105" s="8">
        <v>30.092199999999998</v>
      </c>
      <c r="M105" s="8">
        <v>11.6745</v>
      </c>
      <c r="N105" s="8">
        <v>4.7850000000000001</v>
      </c>
      <c r="O105" s="8">
        <v>0.36199999999999999</v>
      </c>
      <c r="P105" s="8">
        <v>1.2509999999999999</v>
      </c>
      <c r="Q105" s="8">
        <v>31.946400000000001</v>
      </c>
      <c r="R105" s="8"/>
    </row>
    <row r="106" spans="1:18" ht="14.25" customHeight="1">
      <c r="A106" s="11">
        <v>44317</v>
      </c>
      <c r="B106" s="7">
        <f>CHOOSE( CONTROL!$C$37, 5.8698, 5.8681) * CHOOSE(CONTROL!$C$20, $D$12, 100%, $F$12)</f>
        <v>5.8697999999999997</v>
      </c>
      <c r="C106" s="7">
        <f>CHOOSE( CONTROL!$C$37, 5.8778, 5.8761) * CHOOSE(CONTROL!$C$20, $D$12, 100%, $F$12)</f>
        <v>5.8777999999999997</v>
      </c>
      <c r="D106" s="7">
        <f>CHOOSE( CONTROL!$C$37, 5.8834, 5.8818) * CHOOSE( CONTROL!$C$20, $D$12, 100%, $F$12)</f>
        <v>5.8834</v>
      </c>
      <c r="E106" s="10">
        <f>CHOOSE( CONTROL!$C$37, 5.8802, 5.8785) * CHOOSE( CONTROL!$C$20, $D$12, 100%, $F$12)</f>
        <v>5.8802000000000003</v>
      </c>
      <c r="F106" s="4">
        <f>CHOOSE( CONTROL!$C$37, 6.595, 6.5934) * CHOOSE(CONTROL!$C$20, $D$12, 100%, $F$12)</f>
        <v>6.5949999999999998</v>
      </c>
      <c r="G106" s="7">
        <f>CHOOSE( CONTROL!$C$37, 5.8318, 5.8301) * CHOOSE( CONTROL!$C$20, $D$12, 100%, $F$12)</f>
        <v>5.8318000000000003</v>
      </c>
      <c r="H106" s="4">
        <f>CHOOSE( CONTROL!$C$37, 6.7769, 6.7752) * CHOOSE(CONTROL!$C$20, $D$12, 100%, $F$12)</f>
        <v>6.7769000000000004</v>
      </c>
      <c r="I106" s="7">
        <f>CHOOSE( CONTROL!$C$37, 5.8234, 5.8218) * CHOOSE(CONTROL!$C$20, $D$12, 100%, $F$12)</f>
        <v>5.8234000000000004</v>
      </c>
      <c r="J106" s="4">
        <f>CHOOSE( CONTROL!$C$37, 5.6983, 5.6967) * CHOOSE(CONTROL!$C$20, $D$12, 100%, $F$12)</f>
        <v>5.6982999999999997</v>
      </c>
      <c r="K106" s="4"/>
      <c r="L106" s="8">
        <v>30.7165</v>
      </c>
      <c r="M106" s="8">
        <v>12.063700000000001</v>
      </c>
      <c r="N106" s="8">
        <v>4.9444999999999997</v>
      </c>
      <c r="O106" s="8">
        <v>0.37409999999999999</v>
      </c>
      <c r="P106" s="8">
        <v>1.2927</v>
      </c>
      <c r="Q106" s="8">
        <v>33.011299999999999</v>
      </c>
      <c r="R106" s="8"/>
    </row>
    <row r="107" spans="1:18" ht="14.25" customHeight="1">
      <c r="A107" s="11">
        <v>44348</v>
      </c>
      <c r="B107" s="7">
        <f>CHOOSE( CONTROL!$C$37, 5.7752, 5.7735) * CHOOSE(CONTROL!$C$20, $D$12, 100%, $F$12)</f>
        <v>5.7751999999999999</v>
      </c>
      <c r="C107" s="7">
        <f>CHOOSE( CONTROL!$C$37, 5.7832, 5.7815) * CHOOSE(CONTROL!$C$20, $D$12, 100%, $F$12)</f>
        <v>5.7831999999999999</v>
      </c>
      <c r="D107" s="7">
        <f>CHOOSE( CONTROL!$C$37, 5.7891, 5.7874) * CHOOSE( CONTROL!$C$20, $D$12, 100%, $F$12)</f>
        <v>5.7891000000000004</v>
      </c>
      <c r="E107" s="10">
        <f>CHOOSE( CONTROL!$C$37, 5.7857, 5.784) * CHOOSE( CONTROL!$C$20, $D$12, 100%, $F$12)</f>
        <v>5.7857000000000003</v>
      </c>
      <c r="F107" s="4">
        <f>CHOOSE( CONTROL!$C$37, 6.5005, 6.4988) * CHOOSE(CONTROL!$C$20, $D$12, 100%, $F$12)</f>
        <v>6.5004999999999997</v>
      </c>
      <c r="G107" s="7">
        <f>CHOOSE( CONTROL!$C$37, 5.7387, 5.7371) * CHOOSE( CONTROL!$C$20, $D$12, 100%, $F$12)</f>
        <v>5.7386999999999997</v>
      </c>
      <c r="H107" s="4">
        <f>CHOOSE( CONTROL!$C$37, 6.6836, 6.682) * CHOOSE(CONTROL!$C$20, $D$12, 100%, $F$12)</f>
        <v>6.6836000000000002</v>
      </c>
      <c r="I107" s="7">
        <f>CHOOSE( CONTROL!$C$37, 5.7328, 5.7312) * CHOOSE(CONTROL!$C$20, $D$12, 100%, $F$12)</f>
        <v>5.7328000000000001</v>
      </c>
      <c r="J107" s="4">
        <f>CHOOSE( CONTROL!$C$37, 5.6067, 5.6051) * CHOOSE(CONTROL!$C$20, $D$12, 100%, $F$12)</f>
        <v>5.6067</v>
      </c>
      <c r="K107" s="4"/>
      <c r="L107" s="8">
        <v>29.7257</v>
      </c>
      <c r="M107" s="8">
        <v>11.6745</v>
      </c>
      <c r="N107" s="8">
        <v>4.7850000000000001</v>
      </c>
      <c r="O107" s="8">
        <v>0.36199999999999999</v>
      </c>
      <c r="P107" s="8">
        <v>1.2509999999999999</v>
      </c>
      <c r="Q107" s="8">
        <v>31.946400000000001</v>
      </c>
      <c r="R107" s="8"/>
    </row>
    <row r="108" spans="1:18" ht="14.25" customHeight="1">
      <c r="A108" s="11">
        <v>44378</v>
      </c>
      <c r="B108" s="7">
        <f>CHOOSE( CONTROL!$C$37, 6.0243, 6.0226) * CHOOSE(CONTROL!$C$20, $D$12, 100%, $F$12)</f>
        <v>6.0243000000000002</v>
      </c>
      <c r="C108" s="7">
        <f>CHOOSE( CONTROL!$C$37, 6.0323, 6.0306) * CHOOSE(CONTROL!$C$20, $D$12, 100%, $F$12)</f>
        <v>6.0323000000000002</v>
      </c>
      <c r="D108" s="7">
        <f>CHOOSE( CONTROL!$C$37, 6.0385, 6.0368) * CHOOSE( CONTROL!$C$20, $D$12, 100%, $F$12)</f>
        <v>6.0385</v>
      </c>
      <c r="E108" s="10">
        <f>CHOOSE( CONTROL!$C$37, 6.035, 6.0333) * CHOOSE( CONTROL!$C$20, $D$12, 100%, $F$12)</f>
        <v>6.0350000000000001</v>
      </c>
      <c r="F108" s="4">
        <f>CHOOSE( CONTROL!$C$37, 6.7495, 6.7479) * CHOOSE(CONTROL!$C$20, $D$12, 100%, $F$12)</f>
        <v>6.7495000000000003</v>
      </c>
      <c r="G108" s="7">
        <f>CHOOSE( CONTROL!$C$37, 5.9846, 5.9829) * CHOOSE( CONTROL!$C$20, $D$12, 100%, $F$12)</f>
        <v>5.9846000000000004</v>
      </c>
      <c r="H108" s="4">
        <f>CHOOSE( CONTROL!$C$37, 6.9292, 6.9276) * CHOOSE(CONTROL!$C$20, $D$12, 100%, $F$12)</f>
        <v>6.9291999999999998</v>
      </c>
      <c r="I108" s="7">
        <f>CHOOSE( CONTROL!$C$37, 5.9751, 5.9735) * CHOOSE(CONTROL!$C$20, $D$12, 100%, $F$12)</f>
        <v>5.9751000000000003</v>
      </c>
      <c r="J108" s="4">
        <f>CHOOSE( CONTROL!$C$37, 5.8479, 5.8463) * CHOOSE(CONTROL!$C$20, $D$12, 100%, $F$12)</f>
        <v>5.8479000000000001</v>
      </c>
      <c r="K108" s="4"/>
      <c r="L108" s="8">
        <v>30.7165</v>
      </c>
      <c r="M108" s="8">
        <v>12.063700000000001</v>
      </c>
      <c r="N108" s="8">
        <v>4.9444999999999997</v>
      </c>
      <c r="O108" s="8">
        <v>0.37409999999999999</v>
      </c>
      <c r="P108" s="8">
        <v>1.2927</v>
      </c>
      <c r="Q108" s="8">
        <v>33.011299999999999</v>
      </c>
      <c r="R108" s="8"/>
    </row>
    <row r="109" spans="1:18" ht="14.25" customHeight="1">
      <c r="A109" s="11">
        <v>44409</v>
      </c>
      <c r="B109" s="7">
        <f>CHOOSE( CONTROL!$C$37, 5.5582, 5.5565) * CHOOSE(CONTROL!$C$20, $D$12, 100%, $F$12)</f>
        <v>5.5582000000000003</v>
      </c>
      <c r="C109" s="7">
        <f>CHOOSE( CONTROL!$C$37, 5.5662, 5.5645) * CHOOSE(CONTROL!$C$20, $D$12, 100%, $F$12)</f>
        <v>5.5662000000000003</v>
      </c>
      <c r="D109" s="7">
        <f>CHOOSE( CONTROL!$C$37, 5.5725, 5.5708) * CHOOSE( CONTROL!$C$20, $D$12, 100%, $F$12)</f>
        <v>5.5724999999999998</v>
      </c>
      <c r="E109" s="10">
        <f>CHOOSE( CONTROL!$C$37, 5.569, 5.5673) * CHOOSE( CONTROL!$C$20, $D$12, 100%, $F$12)</f>
        <v>5.569</v>
      </c>
      <c r="F109" s="4">
        <f>CHOOSE( CONTROL!$C$37, 6.2835, 6.2818) * CHOOSE(CONTROL!$C$20, $D$12, 100%, $F$12)</f>
        <v>6.2835000000000001</v>
      </c>
      <c r="G109" s="7">
        <f>CHOOSE( CONTROL!$C$37, 5.5251, 5.5234) * CHOOSE( CONTROL!$C$20, $D$12, 100%, $F$12)</f>
        <v>5.5251000000000001</v>
      </c>
      <c r="H109" s="4">
        <f>CHOOSE( CONTROL!$C$37, 6.4697, 6.468) * CHOOSE(CONTROL!$C$20, $D$12, 100%, $F$12)</f>
        <v>6.4696999999999996</v>
      </c>
      <c r="I109" s="7">
        <f>CHOOSE( CONTROL!$C$37, 5.5239, 5.5223) * CHOOSE(CONTROL!$C$20, $D$12, 100%, $F$12)</f>
        <v>5.5239000000000003</v>
      </c>
      <c r="J109" s="4">
        <f>CHOOSE( CONTROL!$C$37, 5.3966, 5.395) * CHOOSE(CONTROL!$C$20, $D$12, 100%, $F$12)</f>
        <v>5.3966000000000003</v>
      </c>
      <c r="K109" s="4"/>
      <c r="L109" s="8">
        <v>30.7165</v>
      </c>
      <c r="M109" s="8">
        <v>12.063700000000001</v>
      </c>
      <c r="N109" s="8">
        <v>4.9444999999999997</v>
      </c>
      <c r="O109" s="8">
        <v>0.37409999999999999</v>
      </c>
      <c r="P109" s="8">
        <v>1.2927</v>
      </c>
      <c r="Q109" s="8">
        <v>33.011299999999999</v>
      </c>
      <c r="R109" s="8"/>
    </row>
    <row r="110" spans="1:18" ht="14.25" customHeight="1">
      <c r="A110" s="11">
        <v>44440</v>
      </c>
      <c r="B110" s="7">
        <f>CHOOSE( CONTROL!$C$37, 5.4415, 5.4398) * CHOOSE(CONTROL!$C$20, $D$12, 100%, $F$12)</f>
        <v>5.4414999999999996</v>
      </c>
      <c r="C110" s="7">
        <f>CHOOSE( CONTROL!$C$37, 5.4495, 5.4478) * CHOOSE(CONTROL!$C$20, $D$12, 100%, $F$12)</f>
        <v>5.4494999999999996</v>
      </c>
      <c r="D110" s="7">
        <f>CHOOSE( CONTROL!$C$37, 5.4557, 5.454) * CHOOSE( CONTROL!$C$20, $D$12, 100%, $F$12)</f>
        <v>5.4557000000000002</v>
      </c>
      <c r="E110" s="10">
        <f>CHOOSE( CONTROL!$C$37, 5.4522, 5.4505) * CHOOSE( CONTROL!$C$20, $D$12, 100%, $F$12)</f>
        <v>5.4522000000000004</v>
      </c>
      <c r="F110" s="4">
        <f>CHOOSE( CONTROL!$C$37, 6.1668, 6.1651) * CHOOSE(CONTROL!$C$20, $D$12, 100%, $F$12)</f>
        <v>6.1668000000000003</v>
      </c>
      <c r="G110" s="7">
        <f>CHOOSE( CONTROL!$C$37, 5.4099, 5.4083) * CHOOSE( CONTROL!$C$20, $D$12, 100%, $F$12)</f>
        <v>5.4099000000000004</v>
      </c>
      <c r="H110" s="4">
        <f>CHOOSE( CONTROL!$C$37, 6.3546, 6.3529) * CHOOSE(CONTROL!$C$20, $D$12, 100%, $F$12)</f>
        <v>6.3545999999999996</v>
      </c>
      <c r="I110" s="7">
        <f>CHOOSE( CONTROL!$C$37, 5.4104, 5.4088) * CHOOSE(CONTROL!$C$20, $D$12, 100%, $F$12)</f>
        <v>5.4104000000000001</v>
      </c>
      <c r="J110" s="4">
        <f>CHOOSE( CONTROL!$C$37, 5.2836, 5.282) * CHOOSE(CONTROL!$C$20, $D$12, 100%, $F$12)</f>
        <v>5.2835999999999999</v>
      </c>
      <c r="K110" s="4"/>
      <c r="L110" s="8">
        <v>29.7257</v>
      </c>
      <c r="M110" s="8">
        <v>11.6745</v>
      </c>
      <c r="N110" s="8">
        <v>4.7850000000000001</v>
      </c>
      <c r="O110" s="8">
        <v>0.36199999999999999</v>
      </c>
      <c r="P110" s="8">
        <v>1.2509999999999999</v>
      </c>
      <c r="Q110" s="8">
        <v>31.946400000000001</v>
      </c>
      <c r="R110" s="8"/>
    </row>
    <row r="111" spans="1:18" ht="14.25" customHeight="1">
      <c r="A111" s="11">
        <v>44470</v>
      </c>
      <c r="B111" s="7">
        <f>CHOOSE( CONTROL!$C$37, 5.6815, 5.6804) * CHOOSE(CONTROL!$C$20, $D$12, 100%, $F$12)</f>
        <v>5.6814999999999998</v>
      </c>
      <c r="C111" s="7">
        <f>CHOOSE( CONTROL!$C$37, 5.6869, 5.6858) * CHOOSE(CONTROL!$C$20, $D$12, 100%, $F$12)</f>
        <v>5.6868999999999996</v>
      </c>
      <c r="D111" s="7">
        <f>CHOOSE( CONTROL!$C$37, 5.6989, 5.6978) * CHOOSE( CONTROL!$C$20, $D$12, 100%, $F$12)</f>
        <v>5.6989000000000001</v>
      </c>
      <c r="E111" s="10">
        <f>CHOOSE( CONTROL!$C$37, 5.6944, 5.6933) * CHOOSE( CONTROL!$C$20, $D$12, 100%, $F$12)</f>
        <v>5.6943999999999999</v>
      </c>
      <c r="F111" s="4">
        <f>CHOOSE( CONTROL!$C$37, 6.4085, 6.4074) * CHOOSE(CONTROL!$C$20, $D$12, 100%, $F$12)</f>
        <v>6.4085000000000001</v>
      </c>
      <c r="G111" s="7">
        <f>CHOOSE( CONTROL!$C$37, 5.6484, 5.6473) * CHOOSE( CONTROL!$C$20, $D$12, 100%, $F$12)</f>
        <v>5.6483999999999996</v>
      </c>
      <c r="H111" s="4">
        <f>CHOOSE( CONTROL!$C$37, 6.593, 6.5919) * CHOOSE(CONTROL!$C$20, $D$12, 100%, $F$12)</f>
        <v>6.593</v>
      </c>
      <c r="I111" s="7">
        <f>CHOOSE( CONTROL!$C$37, 5.6453, 5.6443) * CHOOSE(CONTROL!$C$20, $D$12, 100%, $F$12)</f>
        <v>5.6452999999999998</v>
      </c>
      <c r="J111" s="4">
        <f>CHOOSE( CONTROL!$C$37, 5.5177, 5.5166) * CHOOSE(CONTROL!$C$20, $D$12, 100%, $F$12)</f>
        <v>5.5176999999999996</v>
      </c>
      <c r="K111" s="4"/>
      <c r="L111" s="8">
        <v>31.095300000000002</v>
      </c>
      <c r="M111" s="8">
        <v>12.063700000000001</v>
      </c>
      <c r="N111" s="8">
        <v>4.9444999999999997</v>
      </c>
      <c r="O111" s="8">
        <v>0.37409999999999999</v>
      </c>
      <c r="P111" s="8">
        <v>1.2927</v>
      </c>
      <c r="Q111" s="8">
        <v>33.011299999999999</v>
      </c>
      <c r="R111" s="8"/>
    </row>
    <row r="112" spans="1:18" ht="14.25" customHeight="1">
      <c r="A112" s="11">
        <v>44501</v>
      </c>
      <c r="B112" s="7">
        <f>CHOOSE( CONTROL!$C$37, 6.1284, 6.1273) * CHOOSE(CONTROL!$C$20, $D$12, 100%, $F$12)</f>
        <v>6.1284000000000001</v>
      </c>
      <c r="C112" s="7">
        <f>CHOOSE( CONTROL!$C$37, 6.1335, 6.1324) * CHOOSE(CONTROL!$C$20, $D$12, 100%, $F$12)</f>
        <v>6.1334999999999997</v>
      </c>
      <c r="D112" s="7">
        <f>CHOOSE( CONTROL!$C$37, 6.1119, 6.1109) * CHOOSE( CONTROL!$C$20, $D$12, 100%, $F$12)</f>
        <v>6.1119000000000003</v>
      </c>
      <c r="E112" s="10">
        <f>CHOOSE( CONTROL!$C$37, 6.1193, 6.1182) * CHOOSE( CONTROL!$C$20, $D$12, 100%, $F$12)</f>
        <v>6.1193</v>
      </c>
      <c r="F112" s="4">
        <f>CHOOSE( CONTROL!$C$37, 6.7809, 6.7798) * CHOOSE(CONTROL!$C$20, $D$12, 100%, $F$12)</f>
        <v>6.7808999999999999</v>
      </c>
      <c r="G112" s="7">
        <f>CHOOSE( CONTROL!$C$37, 6.0756, 6.0745) * CHOOSE( CONTROL!$C$20, $D$12, 100%, $F$12)</f>
        <v>6.0755999999999997</v>
      </c>
      <c r="H112" s="4">
        <f>CHOOSE( CONTROL!$C$37, 6.9602, 6.9591) * CHOOSE(CONTROL!$C$20, $D$12, 100%, $F$12)</f>
        <v>6.9602000000000004</v>
      </c>
      <c r="I112" s="7">
        <f>CHOOSE( CONTROL!$C$37, 6.1298, 6.1288) * CHOOSE(CONTROL!$C$20, $D$12, 100%, $F$12)</f>
        <v>6.1298000000000004</v>
      </c>
      <c r="J112" s="4">
        <f>CHOOSE( CONTROL!$C$37, 5.9508, 5.9497) * CHOOSE(CONTROL!$C$20, $D$12, 100%, $F$12)</f>
        <v>5.9508000000000001</v>
      </c>
      <c r="K112" s="4"/>
      <c r="L112" s="8">
        <v>28.360600000000002</v>
      </c>
      <c r="M112" s="8">
        <v>11.6745</v>
      </c>
      <c r="N112" s="8">
        <v>4.7850000000000001</v>
      </c>
      <c r="O112" s="8">
        <v>0.36199999999999999</v>
      </c>
      <c r="P112" s="8">
        <v>1.2509999999999999</v>
      </c>
      <c r="Q112" s="8">
        <v>31.946400000000001</v>
      </c>
      <c r="R112" s="8"/>
    </row>
    <row r="113" spans="1:18" ht="14.25" customHeight="1">
      <c r="A113" s="11">
        <v>44531</v>
      </c>
      <c r="B113" s="7">
        <f>CHOOSE( CONTROL!$C$37, 6.1172, 6.1161) * CHOOSE(CONTROL!$C$20, $D$12, 100%, $F$12)</f>
        <v>6.1172000000000004</v>
      </c>
      <c r="C113" s="7">
        <f>CHOOSE( CONTROL!$C$37, 6.1223, 6.1212) * CHOOSE(CONTROL!$C$20, $D$12, 100%, $F$12)</f>
        <v>6.1223000000000001</v>
      </c>
      <c r="D113" s="7">
        <f>CHOOSE( CONTROL!$C$37, 6.1023, 6.1013) * CHOOSE( CONTROL!$C$20, $D$12, 100%, $F$12)</f>
        <v>6.1022999999999996</v>
      </c>
      <c r="E113" s="10">
        <f>CHOOSE( CONTROL!$C$37, 6.1091, 6.108) * CHOOSE( CONTROL!$C$20, $D$12, 100%, $F$12)</f>
        <v>6.1090999999999998</v>
      </c>
      <c r="F113" s="4">
        <f>CHOOSE( CONTROL!$C$37, 6.7698, 6.7687) * CHOOSE(CONTROL!$C$20, $D$12, 100%, $F$12)</f>
        <v>6.7698</v>
      </c>
      <c r="G113" s="7">
        <f>CHOOSE( CONTROL!$C$37, 6.0657, 6.0646) * CHOOSE( CONTROL!$C$20, $D$12, 100%, $F$12)</f>
        <v>6.0656999999999996</v>
      </c>
      <c r="H113" s="4">
        <f>CHOOSE( CONTROL!$C$37, 6.9492, 6.9481) * CHOOSE(CONTROL!$C$20, $D$12, 100%, $F$12)</f>
        <v>6.9492000000000003</v>
      </c>
      <c r="I113" s="7">
        <f>CHOOSE( CONTROL!$C$37, 6.1238, 6.1228) * CHOOSE(CONTROL!$C$20, $D$12, 100%, $F$12)</f>
        <v>6.1238000000000001</v>
      </c>
      <c r="J113" s="4">
        <f>CHOOSE( CONTROL!$C$37, 5.94, 5.9389) * CHOOSE(CONTROL!$C$20, $D$12, 100%, $F$12)</f>
        <v>5.94</v>
      </c>
      <c r="K113" s="4"/>
      <c r="L113" s="8">
        <v>29.306000000000001</v>
      </c>
      <c r="M113" s="8">
        <v>12.063700000000001</v>
      </c>
      <c r="N113" s="8">
        <v>4.9444999999999997</v>
      </c>
      <c r="O113" s="8">
        <v>0.37409999999999999</v>
      </c>
      <c r="P113" s="8">
        <v>1.2927</v>
      </c>
      <c r="Q113" s="8">
        <v>33.011299999999999</v>
      </c>
      <c r="R113" s="8"/>
    </row>
    <row r="114" spans="1:18" ht="14.25" customHeight="1">
      <c r="A114" s="11">
        <v>44562</v>
      </c>
      <c r="B114" s="7">
        <f>CHOOSE( CONTROL!$C$37, 6.3682, 6.3672) * CHOOSE(CONTROL!$C$20, $D$12, 100%, $F$12)</f>
        <v>6.3681999999999999</v>
      </c>
      <c r="C114" s="7">
        <f>CHOOSE( CONTROL!$C$37, 6.3733, 6.3723) * CHOOSE(CONTROL!$C$20, $D$12, 100%, $F$12)</f>
        <v>6.3733000000000004</v>
      </c>
      <c r="D114" s="7">
        <f>CHOOSE( CONTROL!$C$37, 6.3664, 6.3654) * CHOOSE( CONTROL!$C$20, $D$12, 100%, $F$12)</f>
        <v>6.3663999999999996</v>
      </c>
      <c r="E114" s="10">
        <f>CHOOSE( CONTROL!$C$37, 6.3684, 6.3674) * CHOOSE( CONTROL!$C$20, $D$12, 100%, $F$12)</f>
        <v>6.3684000000000003</v>
      </c>
      <c r="F114" s="4">
        <f>CHOOSE( CONTROL!$C$37, 7.0208, 7.0197) * CHOOSE(CONTROL!$C$20, $D$12, 100%, $F$12)</f>
        <v>7.0208000000000004</v>
      </c>
      <c r="G114" s="7">
        <f>CHOOSE( CONTROL!$C$37, 6.3177, 6.3166) * CHOOSE( CONTROL!$C$20, $D$12, 100%, $F$12)</f>
        <v>6.3177000000000003</v>
      </c>
      <c r="H114" s="4">
        <f>CHOOSE( CONTROL!$C$37, 7.1967, 7.1956) * CHOOSE(CONTROL!$C$20, $D$12, 100%, $F$12)</f>
        <v>7.1966999999999999</v>
      </c>
      <c r="I114" s="7">
        <f>CHOOSE( CONTROL!$C$37, 6.3383, 6.3373) * CHOOSE(CONTROL!$C$20, $D$12, 100%, $F$12)</f>
        <v>6.3383000000000003</v>
      </c>
      <c r="J114" s="4">
        <f>CHOOSE( CONTROL!$C$37, 6.183, 6.182) * CHOOSE(CONTROL!$C$20, $D$12, 100%, $F$12)</f>
        <v>6.1829999999999998</v>
      </c>
      <c r="K114" s="4"/>
      <c r="L114" s="8">
        <v>29.306000000000001</v>
      </c>
      <c r="M114" s="8">
        <v>12.063700000000001</v>
      </c>
      <c r="N114" s="8">
        <v>4.9444999999999997</v>
      </c>
      <c r="O114" s="8">
        <v>0.37409999999999999</v>
      </c>
      <c r="P114" s="8">
        <v>1.2927</v>
      </c>
      <c r="Q114" s="8">
        <v>32.8123</v>
      </c>
      <c r="R114" s="8"/>
    </row>
    <row r="115" spans="1:18" ht="14.25" customHeight="1">
      <c r="A115" s="11">
        <v>44593</v>
      </c>
      <c r="B115" s="7">
        <f>CHOOSE( CONTROL!$C$37, 5.9555, 5.9544) * CHOOSE(CONTROL!$C$20, $D$12, 100%, $F$12)</f>
        <v>5.9554999999999998</v>
      </c>
      <c r="C115" s="7">
        <f>CHOOSE( CONTROL!$C$37, 5.9606, 5.9595) * CHOOSE(CONTROL!$C$20, $D$12, 100%, $F$12)</f>
        <v>5.9606000000000003</v>
      </c>
      <c r="D115" s="7">
        <f>CHOOSE( CONTROL!$C$37, 5.9536, 5.9525) * CHOOSE( CONTROL!$C$20, $D$12, 100%, $F$12)</f>
        <v>5.9535999999999998</v>
      </c>
      <c r="E115" s="10">
        <f>CHOOSE( CONTROL!$C$37, 5.9556, 5.9545) * CHOOSE( CONTROL!$C$20, $D$12, 100%, $F$12)</f>
        <v>5.9555999999999996</v>
      </c>
      <c r="F115" s="4">
        <f>CHOOSE( CONTROL!$C$37, 6.608, 6.607) * CHOOSE(CONTROL!$C$20, $D$12, 100%, $F$12)</f>
        <v>6.6079999999999997</v>
      </c>
      <c r="G115" s="7">
        <f>CHOOSE( CONTROL!$C$37, 5.9107, 5.9096) * CHOOSE( CONTROL!$C$20, $D$12, 100%, $F$12)</f>
        <v>5.9107000000000003</v>
      </c>
      <c r="H115" s="4">
        <f>CHOOSE( CONTROL!$C$37, 6.7897, 6.7886) * CHOOSE(CONTROL!$C$20, $D$12, 100%, $F$12)</f>
        <v>6.7896999999999998</v>
      </c>
      <c r="I115" s="7">
        <f>CHOOSE( CONTROL!$C$37, 5.9382, 5.9372) * CHOOSE(CONTROL!$C$20, $D$12, 100%, $F$12)</f>
        <v>5.9382000000000001</v>
      </c>
      <c r="J115" s="4">
        <f>CHOOSE( CONTROL!$C$37, 5.7834, 5.7823) * CHOOSE(CONTROL!$C$20, $D$12, 100%, $F$12)</f>
        <v>5.7834000000000003</v>
      </c>
      <c r="K115" s="4"/>
      <c r="L115" s="8">
        <v>26.469899999999999</v>
      </c>
      <c r="M115" s="8">
        <v>10.8962</v>
      </c>
      <c r="N115" s="8">
        <v>4.4660000000000002</v>
      </c>
      <c r="O115" s="8">
        <v>0.33789999999999998</v>
      </c>
      <c r="P115" s="8">
        <v>1.1676</v>
      </c>
      <c r="Q115" s="8">
        <v>29.636900000000001</v>
      </c>
      <c r="R115" s="8"/>
    </row>
    <row r="116" spans="1:18" ht="14.25" customHeight="1">
      <c r="A116" s="11">
        <v>44621</v>
      </c>
      <c r="B116" s="7">
        <f>CHOOSE( CONTROL!$C$37, 5.8284, 5.8273) * CHOOSE(CONTROL!$C$20, $D$12, 100%, $F$12)</f>
        <v>5.8284000000000002</v>
      </c>
      <c r="C116" s="7">
        <f>CHOOSE( CONTROL!$C$37, 5.8335, 5.8324) * CHOOSE(CONTROL!$C$20, $D$12, 100%, $F$12)</f>
        <v>5.8334999999999999</v>
      </c>
      <c r="D116" s="7">
        <f>CHOOSE( CONTROL!$C$37, 5.8259, 5.8248) * CHOOSE( CONTROL!$C$20, $D$12, 100%, $F$12)</f>
        <v>5.8258999999999999</v>
      </c>
      <c r="E116" s="10">
        <f>CHOOSE( CONTROL!$C$37, 5.8281, 5.827) * CHOOSE( CONTROL!$C$20, $D$12, 100%, $F$12)</f>
        <v>5.8281000000000001</v>
      </c>
      <c r="F116" s="4">
        <f>CHOOSE( CONTROL!$C$37, 6.4809, 6.4798) * CHOOSE(CONTROL!$C$20, $D$12, 100%, $F$12)</f>
        <v>6.4809000000000001</v>
      </c>
      <c r="G116" s="7">
        <f>CHOOSE( CONTROL!$C$37, 5.7849, 5.7838) * CHOOSE( CONTROL!$C$20, $D$12, 100%, $F$12)</f>
        <v>5.7849000000000004</v>
      </c>
      <c r="H116" s="4">
        <f>CHOOSE( CONTROL!$C$37, 6.6644, 6.6633) * CHOOSE(CONTROL!$C$20, $D$12, 100%, $F$12)</f>
        <v>6.6643999999999997</v>
      </c>
      <c r="I116" s="7">
        <f>CHOOSE( CONTROL!$C$37, 5.8131, 5.8121) * CHOOSE(CONTROL!$C$20, $D$12, 100%, $F$12)</f>
        <v>5.8131000000000004</v>
      </c>
      <c r="J116" s="4">
        <f>CHOOSE( CONTROL!$C$37, 5.6603, 5.6592) * CHOOSE(CONTROL!$C$20, $D$12, 100%, $F$12)</f>
        <v>5.6603000000000003</v>
      </c>
      <c r="K116" s="4"/>
      <c r="L116" s="8">
        <v>29.306000000000001</v>
      </c>
      <c r="M116" s="8">
        <v>12.063700000000001</v>
      </c>
      <c r="N116" s="8">
        <v>4.9444999999999997</v>
      </c>
      <c r="O116" s="8">
        <v>0.37409999999999999</v>
      </c>
      <c r="P116" s="8">
        <v>1.2927</v>
      </c>
      <c r="Q116" s="8">
        <v>32.8123</v>
      </c>
      <c r="R116" s="8"/>
    </row>
    <row r="117" spans="1:18" ht="14.25" customHeight="1">
      <c r="A117" s="11">
        <v>44652</v>
      </c>
      <c r="B117" s="7">
        <f>CHOOSE( CONTROL!$C$37, 5.918, 5.9169) * CHOOSE(CONTROL!$C$20, $D$12, 100%, $F$12)</f>
        <v>5.9180000000000001</v>
      </c>
      <c r="C117" s="7">
        <f>CHOOSE( CONTROL!$C$37, 5.9225, 5.9214) * CHOOSE(CONTROL!$C$20, $D$12, 100%, $F$12)</f>
        <v>5.9225000000000003</v>
      </c>
      <c r="D117" s="7">
        <f>CHOOSE( CONTROL!$C$37, 5.9343, 5.9333) * CHOOSE( CONTROL!$C$20, $D$12, 100%, $F$12)</f>
        <v>5.9343000000000004</v>
      </c>
      <c r="E117" s="10">
        <f>CHOOSE( CONTROL!$C$37, 5.9299, 5.9289) * CHOOSE( CONTROL!$C$20, $D$12, 100%, $F$12)</f>
        <v>5.9298999999999999</v>
      </c>
      <c r="F117" s="4">
        <f>CHOOSE( CONTROL!$C$37, 6.6446, 6.6435) * CHOOSE(CONTROL!$C$20, $D$12, 100%, $F$12)</f>
        <v>6.6445999999999996</v>
      </c>
      <c r="G117" s="7">
        <f>CHOOSE( CONTROL!$C$37, 5.8807, 5.8796) * CHOOSE( CONTROL!$C$20, $D$12, 100%, $F$12)</f>
        <v>5.8807</v>
      </c>
      <c r="H117" s="4">
        <f>CHOOSE( CONTROL!$C$37, 6.8258, 6.8247) * CHOOSE(CONTROL!$C$20, $D$12, 100%, $F$12)</f>
        <v>6.8258000000000001</v>
      </c>
      <c r="I117" s="7">
        <f>CHOOSE( CONTROL!$C$37, 5.8718, 5.8707) * CHOOSE(CONTROL!$C$20, $D$12, 100%, $F$12)</f>
        <v>5.8718000000000004</v>
      </c>
      <c r="J117" s="4">
        <f>CHOOSE( CONTROL!$C$37, 5.7463, 5.7452) * CHOOSE(CONTROL!$C$20, $D$12, 100%, $F$12)</f>
        <v>5.7462999999999997</v>
      </c>
      <c r="K117" s="4"/>
      <c r="L117" s="8">
        <v>30.092199999999998</v>
      </c>
      <c r="M117" s="8">
        <v>11.6745</v>
      </c>
      <c r="N117" s="8">
        <v>4.7850000000000001</v>
      </c>
      <c r="O117" s="8">
        <v>0.36199999999999999</v>
      </c>
      <c r="P117" s="8">
        <v>1.2509999999999999</v>
      </c>
      <c r="Q117" s="8">
        <v>31.753799999999998</v>
      </c>
      <c r="R117" s="8"/>
    </row>
    <row r="118" spans="1:18" ht="14.25" customHeight="1">
      <c r="A118" s="11">
        <v>44682</v>
      </c>
      <c r="B118" s="7">
        <f>CHOOSE( CONTROL!$C$37, 6.078, 6.0764) * CHOOSE(CONTROL!$C$20, $D$12, 100%, $F$12)</f>
        <v>6.0780000000000003</v>
      </c>
      <c r="C118" s="7">
        <f>CHOOSE( CONTROL!$C$37, 6.086, 6.0844) * CHOOSE(CONTROL!$C$20, $D$12, 100%, $F$12)</f>
        <v>6.0860000000000003</v>
      </c>
      <c r="D118" s="7">
        <f>CHOOSE( CONTROL!$C$37, 6.0917, 6.09) * CHOOSE( CONTROL!$C$20, $D$12, 100%, $F$12)</f>
        <v>6.0917000000000003</v>
      </c>
      <c r="E118" s="10">
        <f>CHOOSE( CONTROL!$C$37, 6.0884, 6.0868) * CHOOSE( CONTROL!$C$20, $D$12, 100%, $F$12)</f>
        <v>6.0884</v>
      </c>
      <c r="F118" s="4">
        <f>CHOOSE( CONTROL!$C$37, 6.8033, 6.8016) * CHOOSE(CONTROL!$C$20, $D$12, 100%, $F$12)</f>
        <v>6.8033000000000001</v>
      </c>
      <c r="G118" s="7">
        <f>CHOOSE( CONTROL!$C$37, 6.0371, 6.0355) * CHOOSE( CONTROL!$C$20, $D$12, 100%, $F$12)</f>
        <v>6.0370999999999997</v>
      </c>
      <c r="H118" s="4">
        <f>CHOOSE( CONTROL!$C$37, 6.9822, 6.9806) * CHOOSE(CONTROL!$C$20, $D$12, 100%, $F$12)</f>
        <v>6.9821999999999997</v>
      </c>
      <c r="I118" s="7">
        <f>CHOOSE( CONTROL!$C$37, 6.0252, 6.0236) * CHOOSE(CONTROL!$C$20, $D$12, 100%, $F$12)</f>
        <v>6.0251999999999999</v>
      </c>
      <c r="J118" s="4">
        <f>CHOOSE( CONTROL!$C$37, 5.8999, 5.8983) * CHOOSE(CONTROL!$C$20, $D$12, 100%, $F$12)</f>
        <v>5.8998999999999997</v>
      </c>
      <c r="K118" s="4"/>
      <c r="L118" s="8">
        <v>30.7165</v>
      </c>
      <c r="M118" s="8">
        <v>12.063700000000001</v>
      </c>
      <c r="N118" s="8">
        <v>4.9444999999999997</v>
      </c>
      <c r="O118" s="8">
        <v>0.37409999999999999</v>
      </c>
      <c r="P118" s="8">
        <v>1.2927</v>
      </c>
      <c r="Q118" s="8">
        <v>32.8123</v>
      </c>
      <c r="R118" s="8"/>
    </row>
    <row r="119" spans="1:18" ht="14.25" customHeight="1">
      <c r="A119" s="11">
        <v>44713</v>
      </c>
      <c r="B119" s="7">
        <f>CHOOSE( CONTROL!$C$37, 5.9801, 5.9784) * CHOOSE(CONTROL!$C$20, $D$12, 100%, $F$12)</f>
        <v>5.9801000000000002</v>
      </c>
      <c r="C119" s="7">
        <f>CHOOSE( CONTROL!$C$37, 5.9881, 5.9864) * CHOOSE(CONTROL!$C$20, $D$12, 100%, $F$12)</f>
        <v>5.9881000000000002</v>
      </c>
      <c r="D119" s="7">
        <f>CHOOSE( CONTROL!$C$37, 5.994, 5.9923) * CHOOSE( CONTROL!$C$20, $D$12, 100%, $F$12)</f>
        <v>5.9939999999999998</v>
      </c>
      <c r="E119" s="10">
        <f>CHOOSE( CONTROL!$C$37, 5.9906, 5.9889) * CHOOSE( CONTROL!$C$20, $D$12, 100%, $F$12)</f>
        <v>5.9905999999999997</v>
      </c>
      <c r="F119" s="4">
        <f>CHOOSE( CONTROL!$C$37, 6.7054, 6.7037) * CHOOSE(CONTROL!$C$20, $D$12, 100%, $F$12)</f>
        <v>6.7054</v>
      </c>
      <c r="G119" s="7">
        <f>CHOOSE( CONTROL!$C$37, 5.9408, 5.9391) * CHOOSE( CONTROL!$C$20, $D$12, 100%, $F$12)</f>
        <v>5.9408000000000003</v>
      </c>
      <c r="H119" s="4">
        <f>CHOOSE( CONTROL!$C$37, 6.8857, 6.884) * CHOOSE(CONTROL!$C$20, $D$12, 100%, $F$12)</f>
        <v>6.8856999999999999</v>
      </c>
      <c r="I119" s="7">
        <f>CHOOSE( CONTROL!$C$37, 5.9313, 5.9297) * CHOOSE(CONTROL!$C$20, $D$12, 100%, $F$12)</f>
        <v>5.9313000000000002</v>
      </c>
      <c r="J119" s="4">
        <f>CHOOSE( CONTROL!$C$37, 5.8051, 5.8035) * CHOOSE(CONTROL!$C$20, $D$12, 100%, $F$12)</f>
        <v>5.8051000000000004</v>
      </c>
      <c r="K119" s="4"/>
      <c r="L119" s="8">
        <v>29.7257</v>
      </c>
      <c r="M119" s="8">
        <v>11.6745</v>
      </c>
      <c r="N119" s="8">
        <v>4.7850000000000001</v>
      </c>
      <c r="O119" s="8">
        <v>0.36199999999999999</v>
      </c>
      <c r="P119" s="8">
        <v>1.2509999999999999</v>
      </c>
      <c r="Q119" s="8">
        <v>31.753799999999998</v>
      </c>
      <c r="R119" s="8"/>
    </row>
    <row r="120" spans="1:18" ht="14.25" customHeight="1">
      <c r="A120" s="11">
        <v>44743</v>
      </c>
      <c r="B120" s="7">
        <f>CHOOSE( CONTROL!$C$37, 6.238, 6.2363) * CHOOSE(CONTROL!$C$20, $D$12, 100%, $F$12)</f>
        <v>6.2380000000000004</v>
      </c>
      <c r="C120" s="7">
        <f>CHOOSE( CONTROL!$C$37, 6.246, 6.2443) * CHOOSE(CONTROL!$C$20, $D$12, 100%, $F$12)</f>
        <v>6.2460000000000004</v>
      </c>
      <c r="D120" s="7">
        <f>CHOOSE( CONTROL!$C$37, 6.2522, 6.2505) * CHOOSE( CONTROL!$C$20, $D$12, 100%, $F$12)</f>
        <v>6.2522000000000002</v>
      </c>
      <c r="E120" s="10">
        <f>CHOOSE( CONTROL!$C$37, 6.2487, 6.247) * CHOOSE( CONTROL!$C$20, $D$12, 100%, $F$12)</f>
        <v>6.2487000000000004</v>
      </c>
      <c r="F120" s="4">
        <f>CHOOSE( CONTROL!$C$37, 6.9633, 6.9616) * CHOOSE(CONTROL!$C$20, $D$12, 100%, $F$12)</f>
        <v>6.9633000000000003</v>
      </c>
      <c r="G120" s="7">
        <f>CHOOSE( CONTROL!$C$37, 6.1953, 6.1937) * CHOOSE( CONTROL!$C$20, $D$12, 100%, $F$12)</f>
        <v>6.1952999999999996</v>
      </c>
      <c r="H120" s="4">
        <f>CHOOSE( CONTROL!$C$37, 7.14, 7.1383) * CHOOSE(CONTROL!$C$20, $D$12, 100%, $F$12)</f>
        <v>7.14</v>
      </c>
      <c r="I120" s="7">
        <f>CHOOSE( CONTROL!$C$37, 6.1822, 6.1806) * CHOOSE(CONTROL!$C$20, $D$12, 100%, $F$12)</f>
        <v>6.1821999999999999</v>
      </c>
      <c r="J120" s="4">
        <f>CHOOSE( CONTROL!$C$37, 6.0548, 6.0532) * CHOOSE(CONTROL!$C$20, $D$12, 100%, $F$12)</f>
        <v>6.0548000000000002</v>
      </c>
      <c r="K120" s="4"/>
      <c r="L120" s="8">
        <v>30.7165</v>
      </c>
      <c r="M120" s="8">
        <v>12.063700000000001</v>
      </c>
      <c r="N120" s="8">
        <v>4.9444999999999997</v>
      </c>
      <c r="O120" s="8">
        <v>0.37409999999999999</v>
      </c>
      <c r="P120" s="8">
        <v>1.2927</v>
      </c>
      <c r="Q120" s="8">
        <v>32.8123</v>
      </c>
      <c r="R120" s="8"/>
    </row>
    <row r="121" spans="1:18" ht="14.25" customHeight="1">
      <c r="A121" s="11">
        <v>44774</v>
      </c>
      <c r="B121" s="7">
        <f>CHOOSE( CONTROL!$C$37, 5.7554, 5.7538) * CHOOSE(CONTROL!$C$20, $D$12, 100%, $F$12)</f>
        <v>5.7553999999999998</v>
      </c>
      <c r="C121" s="7">
        <f>CHOOSE( CONTROL!$C$37, 5.7634, 5.7618) * CHOOSE(CONTROL!$C$20, $D$12, 100%, $F$12)</f>
        <v>5.7633999999999999</v>
      </c>
      <c r="D121" s="7">
        <f>CHOOSE( CONTROL!$C$37, 5.7697, 5.7681) * CHOOSE( CONTROL!$C$20, $D$12, 100%, $F$12)</f>
        <v>5.7697000000000003</v>
      </c>
      <c r="E121" s="10">
        <f>CHOOSE( CONTROL!$C$37, 5.7662, 5.7646) * CHOOSE( CONTROL!$C$20, $D$12, 100%, $F$12)</f>
        <v>5.7662000000000004</v>
      </c>
      <c r="F121" s="4">
        <f>CHOOSE( CONTROL!$C$37, 6.4807, 6.479) * CHOOSE(CONTROL!$C$20, $D$12, 100%, $F$12)</f>
        <v>6.4806999999999997</v>
      </c>
      <c r="G121" s="7">
        <f>CHOOSE( CONTROL!$C$37, 5.7196, 5.7179) * CHOOSE( CONTROL!$C$20, $D$12, 100%, $F$12)</f>
        <v>5.7195999999999998</v>
      </c>
      <c r="H121" s="4">
        <f>CHOOSE( CONTROL!$C$37, 6.6641, 6.6625) * CHOOSE(CONTROL!$C$20, $D$12, 100%, $F$12)</f>
        <v>6.6641000000000004</v>
      </c>
      <c r="I121" s="7">
        <f>CHOOSE( CONTROL!$C$37, 5.715, 5.7133) * CHOOSE(CONTROL!$C$20, $D$12, 100%, $F$12)</f>
        <v>5.7149999999999999</v>
      </c>
      <c r="J121" s="4">
        <f>CHOOSE( CONTROL!$C$37, 5.5876, 5.586) * CHOOSE(CONTROL!$C$20, $D$12, 100%, $F$12)</f>
        <v>5.5876000000000001</v>
      </c>
      <c r="K121" s="4"/>
      <c r="L121" s="8">
        <v>30.7165</v>
      </c>
      <c r="M121" s="8">
        <v>12.063700000000001</v>
      </c>
      <c r="N121" s="8">
        <v>4.9444999999999997</v>
      </c>
      <c r="O121" s="8">
        <v>0.37409999999999999</v>
      </c>
      <c r="P121" s="8">
        <v>1.2927</v>
      </c>
      <c r="Q121" s="8">
        <v>32.8123</v>
      </c>
      <c r="R121" s="8"/>
    </row>
    <row r="122" spans="1:18" ht="14.25" customHeight="1">
      <c r="A122" s="11">
        <v>44805</v>
      </c>
      <c r="B122" s="7">
        <f>CHOOSE( CONTROL!$C$37, 5.6346, 5.6329) * CHOOSE(CONTROL!$C$20, $D$12, 100%, $F$12)</f>
        <v>5.6345999999999998</v>
      </c>
      <c r="C122" s="7">
        <f>CHOOSE( CONTROL!$C$37, 5.6426, 5.6409) * CHOOSE(CONTROL!$C$20, $D$12, 100%, $F$12)</f>
        <v>5.6425999999999998</v>
      </c>
      <c r="D122" s="7">
        <f>CHOOSE( CONTROL!$C$37, 5.6488, 5.6471) * CHOOSE( CONTROL!$C$20, $D$12, 100%, $F$12)</f>
        <v>5.6487999999999996</v>
      </c>
      <c r="E122" s="10">
        <f>CHOOSE( CONTROL!$C$37, 5.6453, 5.6436) * CHOOSE( CONTROL!$C$20, $D$12, 100%, $F$12)</f>
        <v>5.6452999999999998</v>
      </c>
      <c r="F122" s="4">
        <f>CHOOSE( CONTROL!$C$37, 6.3599, 6.3582) * CHOOSE(CONTROL!$C$20, $D$12, 100%, $F$12)</f>
        <v>6.3598999999999997</v>
      </c>
      <c r="G122" s="7">
        <f>CHOOSE( CONTROL!$C$37, 5.6003, 5.5987) * CHOOSE( CONTROL!$C$20, $D$12, 100%, $F$12)</f>
        <v>5.6002999999999998</v>
      </c>
      <c r="H122" s="4">
        <f>CHOOSE( CONTROL!$C$37, 6.545, 6.5433) * CHOOSE(CONTROL!$C$20, $D$12, 100%, $F$12)</f>
        <v>6.5449999999999999</v>
      </c>
      <c r="I122" s="7">
        <f>CHOOSE( CONTROL!$C$37, 5.5975, 5.5959) * CHOOSE(CONTROL!$C$20, $D$12, 100%, $F$12)</f>
        <v>5.5975000000000001</v>
      </c>
      <c r="J122" s="4">
        <f>CHOOSE( CONTROL!$C$37, 5.4706, 5.469) * CHOOSE(CONTROL!$C$20, $D$12, 100%, $F$12)</f>
        <v>5.4706000000000001</v>
      </c>
      <c r="K122" s="4"/>
      <c r="L122" s="8">
        <v>29.7257</v>
      </c>
      <c r="M122" s="8">
        <v>11.6745</v>
      </c>
      <c r="N122" s="8">
        <v>4.7850000000000001</v>
      </c>
      <c r="O122" s="8">
        <v>0.36199999999999999</v>
      </c>
      <c r="P122" s="8">
        <v>1.2509999999999999</v>
      </c>
      <c r="Q122" s="8">
        <v>31.753799999999998</v>
      </c>
      <c r="R122" s="8"/>
    </row>
    <row r="123" spans="1:18" ht="14.25" customHeight="1">
      <c r="A123" s="11">
        <v>44835</v>
      </c>
      <c r="B123" s="7">
        <f>CHOOSE( CONTROL!$C$37, 5.8832, 5.8821) * CHOOSE(CONTROL!$C$20, $D$12, 100%, $F$12)</f>
        <v>5.8832000000000004</v>
      </c>
      <c r="C123" s="7">
        <f>CHOOSE( CONTROL!$C$37, 5.8885, 5.8875) * CHOOSE(CONTROL!$C$20, $D$12, 100%, $F$12)</f>
        <v>5.8884999999999996</v>
      </c>
      <c r="D123" s="7">
        <f>CHOOSE( CONTROL!$C$37, 5.9005, 5.8995) * CHOOSE( CONTROL!$C$20, $D$12, 100%, $F$12)</f>
        <v>5.9005000000000001</v>
      </c>
      <c r="E123" s="10">
        <f>CHOOSE( CONTROL!$C$37, 5.896, 5.895) * CHOOSE( CONTROL!$C$20, $D$12, 100%, $F$12)</f>
        <v>5.8959999999999999</v>
      </c>
      <c r="F123" s="4">
        <f>CHOOSE( CONTROL!$C$37, 6.6102, 6.6091) * CHOOSE(CONTROL!$C$20, $D$12, 100%, $F$12)</f>
        <v>6.6101999999999999</v>
      </c>
      <c r="G123" s="7">
        <f>CHOOSE( CONTROL!$C$37, 5.8473, 5.8462) * CHOOSE( CONTROL!$C$20, $D$12, 100%, $F$12)</f>
        <v>5.8472999999999997</v>
      </c>
      <c r="H123" s="4">
        <f>CHOOSE( CONTROL!$C$37, 6.7918, 6.7907) * CHOOSE(CONTROL!$C$20, $D$12, 100%, $F$12)</f>
        <v>6.7918000000000003</v>
      </c>
      <c r="I123" s="7">
        <f>CHOOSE( CONTROL!$C$37, 5.8407, 5.8396) * CHOOSE(CONTROL!$C$20, $D$12, 100%, $F$12)</f>
        <v>5.8407</v>
      </c>
      <c r="J123" s="4">
        <f>CHOOSE( CONTROL!$C$37, 5.713, 5.7119) * CHOOSE(CONTROL!$C$20, $D$12, 100%, $F$12)</f>
        <v>5.7130000000000001</v>
      </c>
      <c r="K123" s="4"/>
      <c r="L123" s="8">
        <v>31.095300000000002</v>
      </c>
      <c r="M123" s="8">
        <v>12.063700000000001</v>
      </c>
      <c r="N123" s="8">
        <v>4.9444999999999997</v>
      </c>
      <c r="O123" s="8">
        <v>0.37409999999999999</v>
      </c>
      <c r="P123" s="8">
        <v>1.2927</v>
      </c>
      <c r="Q123" s="8">
        <v>32.8123</v>
      </c>
      <c r="R123" s="8"/>
    </row>
    <row r="124" spans="1:18" ht="14.25" customHeight="1">
      <c r="A124" s="11">
        <v>44866</v>
      </c>
      <c r="B124" s="7">
        <f>CHOOSE( CONTROL!$C$37, 6.3459, 6.3448) * CHOOSE(CONTROL!$C$20, $D$12, 100%, $F$12)</f>
        <v>6.3459000000000003</v>
      </c>
      <c r="C124" s="7">
        <f>CHOOSE( CONTROL!$C$37, 6.351, 6.3499) * CHOOSE(CONTROL!$C$20, $D$12, 100%, $F$12)</f>
        <v>6.351</v>
      </c>
      <c r="D124" s="7">
        <f>CHOOSE( CONTROL!$C$37, 6.3295, 6.3284) * CHOOSE( CONTROL!$C$20, $D$12, 100%, $F$12)</f>
        <v>6.3295000000000003</v>
      </c>
      <c r="E124" s="10">
        <f>CHOOSE( CONTROL!$C$37, 6.3368, 6.3357) * CHOOSE( CONTROL!$C$20, $D$12, 100%, $F$12)</f>
        <v>6.3368000000000002</v>
      </c>
      <c r="F124" s="4">
        <f>CHOOSE( CONTROL!$C$37, 6.9984, 6.9974) * CHOOSE(CONTROL!$C$20, $D$12, 100%, $F$12)</f>
        <v>6.9984000000000002</v>
      </c>
      <c r="G124" s="7">
        <f>CHOOSE( CONTROL!$C$37, 6.29, 6.289) * CHOOSE( CONTROL!$C$20, $D$12, 100%, $F$12)</f>
        <v>6.29</v>
      </c>
      <c r="H124" s="4">
        <f>CHOOSE( CONTROL!$C$37, 7.1746, 7.1736) * CHOOSE(CONTROL!$C$20, $D$12, 100%, $F$12)</f>
        <v>7.1745999999999999</v>
      </c>
      <c r="I124" s="7">
        <f>CHOOSE( CONTROL!$C$37, 6.3405, 6.3395) * CHOOSE(CONTROL!$C$20, $D$12, 100%, $F$12)</f>
        <v>6.3404999999999996</v>
      </c>
      <c r="J124" s="4">
        <f>CHOOSE( CONTROL!$C$37, 6.1614, 6.1603) * CHOOSE(CONTROL!$C$20, $D$12, 100%, $F$12)</f>
        <v>6.1614000000000004</v>
      </c>
      <c r="K124" s="4"/>
      <c r="L124" s="8">
        <v>28.360600000000002</v>
      </c>
      <c r="M124" s="8">
        <v>11.6745</v>
      </c>
      <c r="N124" s="8">
        <v>4.7850000000000001</v>
      </c>
      <c r="O124" s="8">
        <v>0.36199999999999999</v>
      </c>
      <c r="P124" s="8">
        <v>1.2509999999999999</v>
      </c>
      <c r="Q124" s="8">
        <v>31.753799999999998</v>
      </c>
      <c r="R124" s="8"/>
    </row>
    <row r="125" spans="1:18" ht="14.25" customHeight="1">
      <c r="A125" s="11">
        <v>44896</v>
      </c>
      <c r="B125" s="7">
        <f>CHOOSE( CONTROL!$C$37, 6.3343, 6.3332) * CHOOSE(CONTROL!$C$20, $D$12, 100%, $F$12)</f>
        <v>6.3342999999999998</v>
      </c>
      <c r="C125" s="7">
        <f>CHOOSE( CONTROL!$C$37, 6.3394, 6.3383) * CHOOSE(CONTROL!$C$20, $D$12, 100%, $F$12)</f>
        <v>6.3394000000000004</v>
      </c>
      <c r="D125" s="7">
        <f>CHOOSE( CONTROL!$C$37, 6.3194, 6.3184) * CHOOSE( CONTROL!$C$20, $D$12, 100%, $F$12)</f>
        <v>6.3193999999999999</v>
      </c>
      <c r="E125" s="10">
        <f>CHOOSE( CONTROL!$C$37, 6.3262, 6.3251) * CHOOSE( CONTROL!$C$20, $D$12, 100%, $F$12)</f>
        <v>6.3262</v>
      </c>
      <c r="F125" s="4">
        <f>CHOOSE( CONTROL!$C$37, 6.9869, 6.9858) * CHOOSE(CONTROL!$C$20, $D$12, 100%, $F$12)</f>
        <v>6.9869000000000003</v>
      </c>
      <c r="G125" s="7">
        <f>CHOOSE( CONTROL!$C$37, 6.2798, 6.2787) * CHOOSE( CONTROL!$C$20, $D$12, 100%, $F$12)</f>
        <v>6.2797999999999998</v>
      </c>
      <c r="H125" s="4">
        <f>CHOOSE( CONTROL!$C$37, 7.1632, 7.1622) * CHOOSE(CONTROL!$C$20, $D$12, 100%, $F$12)</f>
        <v>7.1631999999999998</v>
      </c>
      <c r="I125" s="7">
        <f>CHOOSE( CONTROL!$C$37, 6.3342, 6.3331) * CHOOSE(CONTROL!$C$20, $D$12, 100%, $F$12)</f>
        <v>6.3342000000000001</v>
      </c>
      <c r="J125" s="4">
        <f>CHOOSE( CONTROL!$C$37, 6.1502, 6.1491) * CHOOSE(CONTROL!$C$20, $D$12, 100%, $F$12)</f>
        <v>6.1501999999999999</v>
      </c>
      <c r="K125" s="4"/>
      <c r="L125" s="8">
        <v>29.306000000000001</v>
      </c>
      <c r="M125" s="8">
        <v>12.063700000000001</v>
      </c>
      <c r="N125" s="8">
        <v>4.9444999999999997</v>
      </c>
      <c r="O125" s="8">
        <v>0.37409999999999999</v>
      </c>
      <c r="P125" s="8">
        <v>1.2927</v>
      </c>
      <c r="Q125" s="8">
        <v>32.8123</v>
      </c>
      <c r="R125" s="8"/>
    </row>
    <row r="126" spans="1:18" ht="14.25" customHeight="1">
      <c r="A126" s="11">
        <v>44927</v>
      </c>
      <c r="B126" s="7">
        <f>CHOOSE( CONTROL!$C$37, 6.5865, 6.5854) * CHOOSE(CONTROL!$C$20, $D$12, 100%, $F$12)</f>
        <v>6.5865</v>
      </c>
      <c r="C126" s="7">
        <f>CHOOSE( CONTROL!$C$37, 6.5916, 6.5905) * CHOOSE(CONTROL!$C$20, $D$12, 100%, $F$12)</f>
        <v>6.5915999999999997</v>
      </c>
      <c r="D126" s="7">
        <f>CHOOSE( CONTROL!$C$37, 6.5847, 6.5836) * CHOOSE( CONTROL!$C$20, $D$12, 100%, $F$12)</f>
        <v>6.5846999999999998</v>
      </c>
      <c r="E126" s="10">
        <f>CHOOSE( CONTROL!$C$37, 6.5867, 6.5856) * CHOOSE( CONTROL!$C$20, $D$12, 100%, $F$12)</f>
        <v>6.5867000000000004</v>
      </c>
      <c r="F126" s="4">
        <f>CHOOSE( CONTROL!$C$37, 7.2391, 7.238) * CHOOSE(CONTROL!$C$20, $D$12, 100%, $F$12)</f>
        <v>7.2390999999999996</v>
      </c>
      <c r="G126" s="7">
        <f>CHOOSE( CONTROL!$C$37, 6.5329, 6.5319) * CHOOSE( CONTROL!$C$20, $D$12, 100%, $F$12)</f>
        <v>6.5328999999999997</v>
      </c>
      <c r="H126" s="4">
        <f>CHOOSE( CONTROL!$C$37, 7.4119, 7.4108) * CHOOSE(CONTROL!$C$20, $D$12, 100%, $F$12)</f>
        <v>7.4119000000000002</v>
      </c>
      <c r="I126" s="7">
        <f>CHOOSE( CONTROL!$C$37, 6.5498, 6.5487) * CHOOSE(CONTROL!$C$20, $D$12, 100%, $F$12)</f>
        <v>6.5498000000000003</v>
      </c>
      <c r="J126" s="4">
        <f>CHOOSE( CONTROL!$C$37, 6.3944, 6.3933) * CHOOSE(CONTROL!$C$20, $D$12, 100%, $F$12)</f>
        <v>6.3944000000000001</v>
      </c>
      <c r="K126" s="4"/>
      <c r="L126" s="8">
        <v>29.306000000000001</v>
      </c>
      <c r="M126" s="8">
        <v>12.063700000000001</v>
      </c>
      <c r="N126" s="8">
        <v>4.9444999999999997</v>
      </c>
      <c r="O126" s="8">
        <v>0.37409999999999999</v>
      </c>
      <c r="P126" s="8">
        <v>1.2927</v>
      </c>
      <c r="Q126" s="8">
        <v>32.624400000000001</v>
      </c>
      <c r="R126" s="8"/>
    </row>
    <row r="127" spans="1:18" ht="14.25" customHeight="1">
      <c r="A127" s="11">
        <v>44958</v>
      </c>
      <c r="B127" s="7">
        <f>CHOOSE( CONTROL!$C$37, 6.1597, 6.1586) * CHOOSE(CONTROL!$C$20, $D$12, 100%, $F$12)</f>
        <v>6.1597</v>
      </c>
      <c r="C127" s="7">
        <f>CHOOSE( CONTROL!$C$37, 6.1648, 6.1637) * CHOOSE(CONTROL!$C$20, $D$12, 100%, $F$12)</f>
        <v>6.1647999999999996</v>
      </c>
      <c r="D127" s="7">
        <f>CHOOSE( CONTROL!$C$37, 6.1578, 6.1567) * CHOOSE( CONTROL!$C$20, $D$12, 100%, $F$12)</f>
        <v>6.1577999999999999</v>
      </c>
      <c r="E127" s="10">
        <f>CHOOSE( CONTROL!$C$37, 6.1598, 6.1587) * CHOOSE( CONTROL!$C$20, $D$12, 100%, $F$12)</f>
        <v>6.1597999999999997</v>
      </c>
      <c r="F127" s="4">
        <f>CHOOSE( CONTROL!$C$37, 6.8122, 6.8111) * CHOOSE(CONTROL!$C$20, $D$12, 100%, $F$12)</f>
        <v>6.8121999999999998</v>
      </c>
      <c r="G127" s="7">
        <f>CHOOSE( CONTROL!$C$37, 6.112, 6.1109) * CHOOSE( CONTROL!$C$20, $D$12, 100%, $F$12)</f>
        <v>6.1120000000000001</v>
      </c>
      <c r="H127" s="4">
        <f>CHOOSE( CONTROL!$C$37, 6.991, 6.9899) * CHOOSE(CONTROL!$C$20, $D$12, 100%, $F$12)</f>
        <v>6.9909999999999997</v>
      </c>
      <c r="I127" s="7">
        <f>CHOOSE( CONTROL!$C$37, 6.136, 6.1349) * CHOOSE(CONTROL!$C$20, $D$12, 100%, $F$12)</f>
        <v>6.1360000000000001</v>
      </c>
      <c r="J127" s="4">
        <f>CHOOSE( CONTROL!$C$37, 5.9811, 5.98) * CHOOSE(CONTROL!$C$20, $D$12, 100%, $F$12)</f>
        <v>5.9810999999999996</v>
      </c>
      <c r="K127" s="4"/>
      <c r="L127" s="8">
        <v>26.469899999999999</v>
      </c>
      <c r="M127" s="8">
        <v>10.8962</v>
      </c>
      <c r="N127" s="8">
        <v>4.4660000000000002</v>
      </c>
      <c r="O127" s="8">
        <v>0.33789999999999998</v>
      </c>
      <c r="P127" s="8">
        <v>1.1676</v>
      </c>
      <c r="Q127" s="8">
        <v>29.467199999999998</v>
      </c>
      <c r="R127" s="8"/>
    </row>
    <row r="128" spans="1:18" ht="14.25" customHeight="1">
      <c r="A128" s="11">
        <v>44986</v>
      </c>
      <c r="B128" s="7">
        <f>CHOOSE( CONTROL!$C$37, 6.0282, 6.0271) * CHOOSE(CONTROL!$C$20, $D$12, 100%, $F$12)</f>
        <v>6.0282</v>
      </c>
      <c r="C128" s="7">
        <f>CHOOSE( CONTROL!$C$37, 6.0333, 6.0322) * CHOOSE(CONTROL!$C$20, $D$12, 100%, $F$12)</f>
        <v>6.0332999999999997</v>
      </c>
      <c r="D128" s="7">
        <f>CHOOSE( CONTROL!$C$37, 6.0257, 6.0246) * CHOOSE( CONTROL!$C$20, $D$12, 100%, $F$12)</f>
        <v>6.0256999999999996</v>
      </c>
      <c r="E128" s="10">
        <f>CHOOSE( CONTROL!$C$37, 6.0279, 6.0268) * CHOOSE( CONTROL!$C$20, $D$12, 100%, $F$12)</f>
        <v>6.0278999999999998</v>
      </c>
      <c r="F128" s="4">
        <f>CHOOSE( CONTROL!$C$37, 6.6807, 6.6797) * CHOOSE(CONTROL!$C$20, $D$12, 100%, $F$12)</f>
        <v>6.6806999999999999</v>
      </c>
      <c r="G128" s="7">
        <f>CHOOSE( CONTROL!$C$37, 5.9819, 5.9808) * CHOOSE( CONTROL!$C$20, $D$12, 100%, $F$12)</f>
        <v>5.9819000000000004</v>
      </c>
      <c r="H128" s="4">
        <f>CHOOSE( CONTROL!$C$37, 6.8614, 6.8603) * CHOOSE(CONTROL!$C$20, $D$12, 100%, $F$12)</f>
        <v>6.8613999999999997</v>
      </c>
      <c r="I128" s="7">
        <f>CHOOSE( CONTROL!$C$37, 6.0067, 6.0057) * CHOOSE(CONTROL!$C$20, $D$12, 100%, $F$12)</f>
        <v>6.0067000000000004</v>
      </c>
      <c r="J128" s="4">
        <f>CHOOSE( CONTROL!$C$37, 5.8538, 5.8527) * CHOOSE(CONTROL!$C$20, $D$12, 100%, $F$12)</f>
        <v>5.8537999999999997</v>
      </c>
      <c r="K128" s="4"/>
      <c r="L128" s="8">
        <v>29.306000000000001</v>
      </c>
      <c r="M128" s="8">
        <v>12.063700000000001</v>
      </c>
      <c r="N128" s="8">
        <v>4.9444999999999997</v>
      </c>
      <c r="O128" s="8">
        <v>0.37409999999999999</v>
      </c>
      <c r="P128" s="8">
        <v>1.2927</v>
      </c>
      <c r="Q128" s="8">
        <v>32.624400000000001</v>
      </c>
      <c r="R128" s="8"/>
    </row>
    <row r="129" spans="1:18" ht="14.25" customHeight="1">
      <c r="A129" s="11">
        <v>45017</v>
      </c>
      <c r="B129" s="7">
        <f>CHOOSE( CONTROL!$C$37, 6.1208, 6.1197) * CHOOSE(CONTROL!$C$20, $D$12, 100%, $F$12)</f>
        <v>6.1208</v>
      </c>
      <c r="C129" s="7">
        <f>CHOOSE( CONTROL!$C$37, 6.1254, 6.1243) * CHOOSE(CONTROL!$C$20, $D$12, 100%, $F$12)</f>
        <v>6.1254</v>
      </c>
      <c r="D129" s="7">
        <f>CHOOSE( CONTROL!$C$37, 6.1372, 6.1361) * CHOOSE( CONTROL!$C$20, $D$12, 100%, $F$12)</f>
        <v>6.1372</v>
      </c>
      <c r="E129" s="10">
        <f>CHOOSE( CONTROL!$C$37, 6.1328, 6.1317) * CHOOSE( CONTROL!$C$20, $D$12, 100%, $F$12)</f>
        <v>6.1327999999999996</v>
      </c>
      <c r="F129" s="4">
        <f>CHOOSE( CONTROL!$C$37, 6.8475, 6.8464) * CHOOSE(CONTROL!$C$20, $D$12, 100%, $F$12)</f>
        <v>6.8475000000000001</v>
      </c>
      <c r="G129" s="7">
        <f>CHOOSE( CONTROL!$C$37, 6.0807, 6.0796) * CHOOSE( CONTROL!$C$20, $D$12, 100%, $F$12)</f>
        <v>6.0807000000000002</v>
      </c>
      <c r="H129" s="4">
        <f>CHOOSE( CONTROL!$C$37, 7.0258, 7.0247) * CHOOSE(CONTROL!$C$20, $D$12, 100%, $F$12)</f>
        <v>7.0258000000000003</v>
      </c>
      <c r="I129" s="7">
        <f>CHOOSE( CONTROL!$C$37, 6.0683, 6.0672) * CHOOSE(CONTROL!$C$20, $D$12, 100%, $F$12)</f>
        <v>6.0682999999999998</v>
      </c>
      <c r="J129" s="4">
        <f>CHOOSE( CONTROL!$C$37, 5.9427, 5.9417) * CHOOSE(CONTROL!$C$20, $D$12, 100%, $F$12)</f>
        <v>5.9427000000000003</v>
      </c>
      <c r="K129" s="4"/>
      <c r="L129" s="8">
        <v>30.092199999999998</v>
      </c>
      <c r="M129" s="8">
        <v>11.6745</v>
      </c>
      <c r="N129" s="8">
        <v>4.7850000000000001</v>
      </c>
      <c r="O129" s="8">
        <v>0.36199999999999999</v>
      </c>
      <c r="P129" s="8">
        <v>1.2509999999999999</v>
      </c>
      <c r="Q129" s="8">
        <v>31.571999999999999</v>
      </c>
      <c r="R129" s="8"/>
    </row>
    <row r="130" spans="1:18" ht="14.25" customHeight="1">
      <c r="A130" s="11">
        <v>45047</v>
      </c>
      <c r="B130" s="7">
        <f>CHOOSE( CONTROL!$C$37, 6.2863, 6.2846) * CHOOSE(CONTROL!$C$20, $D$12, 100%, $F$12)</f>
        <v>6.2862999999999998</v>
      </c>
      <c r="C130" s="7">
        <f>CHOOSE( CONTROL!$C$37, 6.2943, 6.2926) * CHOOSE(CONTROL!$C$20, $D$12, 100%, $F$12)</f>
        <v>6.2942999999999998</v>
      </c>
      <c r="D130" s="7">
        <f>CHOOSE( CONTROL!$C$37, 6.2999, 6.2983) * CHOOSE( CONTROL!$C$20, $D$12, 100%, $F$12)</f>
        <v>6.2999000000000001</v>
      </c>
      <c r="E130" s="10">
        <f>CHOOSE( CONTROL!$C$37, 6.2967, 6.295) * CHOOSE( CONTROL!$C$20, $D$12, 100%, $F$12)</f>
        <v>6.2967000000000004</v>
      </c>
      <c r="F130" s="4">
        <f>CHOOSE( CONTROL!$C$37, 7.0116, 7.0099) * CHOOSE(CONTROL!$C$20, $D$12, 100%, $F$12)</f>
        <v>7.0115999999999996</v>
      </c>
      <c r="G130" s="7">
        <f>CHOOSE( CONTROL!$C$37, 6.2425, 6.2408) * CHOOSE( CONTROL!$C$20, $D$12, 100%, $F$12)</f>
        <v>6.2424999999999997</v>
      </c>
      <c r="H130" s="4">
        <f>CHOOSE( CONTROL!$C$37, 7.1876, 7.1859) * CHOOSE(CONTROL!$C$20, $D$12, 100%, $F$12)</f>
        <v>7.1875999999999998</v>
      </c>
      <c r="I130" s="7">
        <f>CHOOSE( CONTROL!$C$37, 6.227, 6.2253) * CHOOSE(CONTROL!$C$20, $D$12, 100%, $F$12)</f>
        <v>6.2270000000000003</v>
      </c>
      <c r="J130" s="4">
        <f>CHOOSE( CONTROL!$C$37, 6.1016, 6.1) * CHOOSE(CONTROL!$C$20, $D$12, 100%, $F$12)</f>
        <v>6.1016000000000004</v>
      </c>
      <c r="K130" s="4"/>
      <c r="L130" s="8">
        <v>30.7165</v>
      </c>
      <c r="M130" s="8">
        <v>12.063700000000001</v>
      </c>
      <c r="N130" s="8">
        <v>4.9444999999999997</v>
      </c>
      <c r="O130" s="8">
        <v>0.37409999999999999</v>
      </c>
      <c r="P130" s="8">
        <v>1.2927</v>
      </c>
      <c r="Q130" s="8">
        <v>32.624400000000001</v>
      </c>
      <c r="R130" s="8"/>
    </row>
    <row r="131" spans="1:18" ht="14.25" customHeight="1">
      <c r="A131" s="11">
        <v>45078</v>
      </c>
      <c r="B131" s="7">
        <f>CHOOSE( CONTROL!$C$37, 6.185, 6.1833) * CHOOSE(CONTROL!$C$20, $D$12, 100%, $F$12)</f>
        <v>6.1849999999999996</v>
      </c>
      <c r="C131" s="7">
        <f>CHOOSE( CONTROL!$C$37, 6.193, 6.1913) * CHOOSE(CONTROL!$C$20, $D$12, 100%, $F$12)</f>
        <v>6.1929999999999996</v>
      </c>
      <c r="D131" s="7">
        <f>CHOOSE( CONTROL!$C$37, 6.1989, 6.1973) * CHOOSE( CONTROL!$C$20, $D$12, 100%, $F$12)</f>
        <v>6.1989000000000001</v>
      </c>
      <c r="E131" s="10">
        <f>CHOOSE( CONTROL!$C$37, 6.1955, 6.1939) * CHOOSE( CONTROL!$C$20, $D$12, 100%, $F$12)</f>
        <v>6.1955</v>
      </c>
      <c r="F131" s="4">
        <f>CHOOSE( CONTROL!$C$37, 6.9103, 6.9086) * CHOOSE(CONTROL!$C$20, $D$12, 100%, $F$12)</f>
        <v>6.9103000000000003</v>
      </c>
      <c r="G131" s="7">
        <f>CHOOSE( CONTROL!$C$37, 6.1428, 6.1412) * CHOOSE( CONTROL!$C$20, $D$12, 100%, $F$12)</f>
        <v>6.1428000000000003</v>
      </c>
      <c r="H131" s="4">
        <f>CHOOSE( CONTROL!$C$37, 7.0877, 7.0861) * CHOOSE(CONTROL!$C$20, $D$12, 100%, $F$12)</f>
        <v>7.0876999999999999</v>
      </c>
      <c r="I131" s="7">
        <f>CHOOSE( CONTROL!$C$37, 6.1298, 6.1282) * CHOOSE(CONTROL!$C$20, $D$12, 100%, $F$12)</f>
        <v>6.1298000000000004</v>
      </c>
      <c r="J131" s="4">
        <f>CHOOSE( CONTROL!$C$37, 6.0035, 6.0019) * CHOOSE(CONTROL!$C$20, $D$12, 100%, $F$12)</f>
        <v>6.0034999999999998</v>
      </c>
      <c r="K131" s="4"/>
      <c r="L131" s="8">
        <v>29.7257</v>
      </c>
      <c r="M131" s="8">
        <v>11.6745</v>
      </c>
      <c r="N131" s="8">
        <v>4.7850000000000001</v>
      </c>
      <c r="O131" s="8">
        <v>0.36199999999999999</v>
      </c>
      <c r="P131" s="8">
        <v>1.2509999999999999</v>
      </c>
      <c r="Q131" s="8">
        <v>31.571999999999999</v>
      </c>
      <c r="R131" s="8"/>
    </row>
    <row r="132" spans="1:18" ht="14.25" customHeight="1">
      <c r="A132" s="11">
        <v>45108</v>
      </c>
      <c r="B132" s="7">
        <f>CHOOSE( CONTROL!$C$37, 6.4517, 6.45) * CHOOSE(CONTROL!$C$20, $D$12, 100%, $F$12)</f>
        <v>6.4516999999999998</v>
      </c>
      <c r="C132" s="7">
        <f>CHOOSE( CONTROL!$C$37, 6.4597, 6.458) * CHOOSE(CONTROL!$C$20, $D$12, 100%, $F$12)</f>
        <v>6.4596999999999998</v>
      </c>
      <c r="D132" s="7">
        <f>CHOOSE( CONTROL!$C$37, 6.4659, 6.4643) * CHOOSE( CONTROL!$C$20, $D$12, 100%, $F$12)</f>
        <v>6.4659000000000004</v>
      </c>
      <c r="E132" s="10">
        <f>CHOOSE( CONTROL!$C$37, 6.4624, 6.4608) * CHOOSE( CONTROL!$C$20, $D$12, 100%, $F$12)</f>
        <v>6.4623999999999997</v>
      </c>
      <c r="F132" s="4">
        <f>CHOOSE( CONTROL!$C$37, 7.177, 7.1753) * CHOOSE(CONTROL!$C$20, $D$12, 100%, $F$12)</f>
        <v>7.1769999999999996</v>
      </c>
      <c r="G132" s="7">
        <f>CHOOSE( CONTROL!$C$37, 6.4061, 6.4044) * CHOOSE( CONTROL!$C$20, $D$12, 100%, $F$12)</f>
        <v>6.4061000000000003</v>
      </c>
      <c r="H132" s="4">
        <f>CHOOSE( CONTROL!$C$37, 7.3507, 7.3491) * CHOOSE(CONTROL!$C$20, $D$12, 100%, $F$12)</f>
        <v>7.3506999999999998</v>
      </c>
      <c r="I132" s="7">
        <f>CHOOSE( CONTROL!$C$37, 6.3892, 6.3876) * CHOOSE(CONTROL!$C$20, $D$12, 100%, $F$12)</f>
        <v>6.3891999999999998</v>
      </c>
      <c r="J132" s="4">
        <f>CHOOSE( CONTROL!$C$37, 6.2618, 6.2602) * CHOOSE(CONTROL!$C$20, $D$12, 100%, $F$12)</f>
        <v>6.2618</v>
      </c>
      <c r="K132" s="4"/>
      <c r="L132" s="8">
        <v>30.7165</v>
      </c>
      <c r="M132" s="8">
        <v>12.063700000000001</v>
      </c>
      <c r="N132" s="8">
        <v>4.9444999999999997</v>
      </c>
      <c r="O132" s="8">
        <v>0.37409999999999999</v>
      </c>
      <c r="P132" s="8">
        <v>1.2927</v>
      </c>
      <c r="Q132" s="8">
        <v>32.624400000000001</v>
      </c>
      <c r="R132" s="8"/>
    </row>
    <row r="133" spans="1:18" ht="14.25" customHeight="1">
      <c r="A133" s="11">
        <v>45139</v>
      </c>
      <c r="B133" s="7">
        <f>CHOOSE( CONTROL!$C$37, 5.9526, 5.951) * CHOOSE(CONTROL!$C$20, $D$12, 100%, $F$12)</f>
        <v>5.9526000000000003</v>
      </c>
      <c r="C133" s="7">
        <f>CHOOSE( CONTROL!$C$37, 5.9606, 5.959) * CHOOSE(CONTROL!$C$20, $D$12, 100%, $F$12)</f>
        <v>5.9606000000000003</v>
      </c>
      <c r="D133" s="7">
        <f>CHOOSE( CONTROL!$C$37, 5.967, 5.9653) * CHOOSE( CONTROL!$C$20, $D$12, 100%, $F$12)</f>
        <v>5.9669999999999996</v>
      </c>
      <c r="E133" s="10">
        <f>CHOOSE( CONTROL!$C$37, 5.9635, 5.9618) * CHOOSE( CONTROL!$C$20, $D$12, 100%, $F$12)</f>
        <v>5.9634999999999998</v>
      </c>
      <c r="F133" s="4">
        <f>CHOOSE( CONTROL!$C$37, 6.6779, 6.6763) * CHOOSE(CONTROL!$C$20, $D$12, 100%, $F$12)</f>
        <v>6.6779000000000002</v>
      </c>
      <c r="G133" s="7">
        <f>CHOOSE( CONTROL!$C$37, 5.914, 5.9124) * CHOOSE( CONTROL!$C$20, $D$12, 100%, $F$12)</f>
        <v>5.9139999999999997</v>
      </c>
      <c r="H133" s="4">
        <f>CHOOSE( CONTROL!$C$37, 6.8586, 6.857) * CHOOSE(CONTROL!$C$20, $D$12, 100%, $F$12)</f>
        <v>6.8586</v>
      </c>
      <c r="I133" s="7">
        <f>CHOOSE( CONTROL!$C$37, 5.906, 5.9044) * CHOOSE(CONTROL!$C$20, $D$12, 100%, $F$12)</f>
        <v>5.9059999999999997</v>
      </c>
      <c r="J133" s="4">
        <f>CHOOSE( CONTROL!$C$37, 5.7785, 5.7769) * CHOOSE(CONTROL!$C$20, $D$12, 100%, $F$12)</f>
        <v>5.7785000000000002</v>
      </c>
      <c r="K133" s="4"/>
      <c r="L133" s="8">
        <v>30.7165</v>
      </c>
      <c r="M133" s="8">
        <v>12.063700000000001</v>
      </c>
      <c r="N133" s="8">
        <v>4.9444999999999997</v>
      </c>
      <c r="O133" s="8">
        <v>0.37409999999999999</v>
      </c>
      <c r="P133" s="8">
        <v>1.2927</v>
      </c>
      <c r="Q133" s="8">
        <v>32.624400000000001</v>
      </c>
      <c r="R133" s="8"/>
    </row>
    <row r="134" spans="1:18" ht="14.25" customHeight="1">
      <c r="A134" s="11">
        <v>45170</v>
      </c>
      <c r="B134" s="7">
        <f>CHOOSE( CONTROL!$C$37, 5.8277, 5.826) * CHOOSE(CONTROL!$C$20, $D$12, 100%, $F$12)</f>
        <v>5.8277000000000001</v>
      </c>
      <c r="C134" s="7">
        <f>CHOOSE( CONTROL!$C$37, 5.8357, 5.834) * CHOOSE(CONTROL!$C$20, $D$12, 100%, $F$12)</f>
        <v>5.8357000000000001</v>
      </c>
      <c r="D134" s="7">
        <f>CHOOSE( CONTROL!$C$37, 5.8419, 5.8402) * CHOOSE( CONTROL!$C$20, $D$12, 100%, $F$12)</f>
        <v>5.8418999999999999</v>
      </c>
      <c r="E134" s="10">
        <f>CHOOSE( CONTROL!$C$37, 5.8384, 5.8367) * CHOOSE( CONTROL!$C$20, $D$12, 100%, $F$12)</f>
        <v>5.8384</v>
      </c>
      <c r="F134" s="4">
        <f>CHOOSE( CONTROL!$C$37, 6.553, 6.5513) * CHOOSE(CONTROL!$C$20, $D$12, 100%, $F$12)</f>
        <v>6.5529999999999999</v>
      </c>
      <c r="G134" s="7">
        <f>CHOOSE( CONTROL!$C$37, 5.7907, 5.7891) * CHOOSE( CONTROL!$C$20, $D$12, 100%, $F$12)</f>
        <v>5.7907000000000002</v>
      </c>
      <c r="H134" s="4">
        <f>CHOOSE( CONTROL!$C$37, 6.7354, 6.7337) * CHOOSE(CONTROL!$C$20, $D$12, 100%, $F$12)</f>
        <v>6.7354000000000003</v>
      </c>
      <c r="I134" s="7">
        <f>CHOOSE( CONTROL!$C$37, 5.7846, 5.783) * CHOOSE(CONTROL!$C$20, $D$12, 100%, $F$12)</f>
        <v>5.7846000000000002</v>
      </c>
      <c r="J134" s="4">
        <f>CHOOSE( CONTROL!$C$37, 5.6575, 5.6559) * CHOOSE(CONTROL!$C$20, $D$12, 100%, $F$12)</f>
        <v>5.6574999999999998</v>
      </c>
      <c r="K134" s="4"/>
      <c r="L134" s="8">
        <v>29.7257</v>
      </c>
      <c r="M134" s="8">
        <v>11.6745</v>
      </c>
      <c r="N134" s="8">
        <v>4.7850000000000001</v>
      </c>
      <c r="O134" s="8">
        <v>0.36199999999999999</v>
      </c>
      <c r="P134" s="8">
        <v>1.2509999999999999</v>
      </c>
      <c r="Q134" s="8">
        <v>31.571999999999999</v>
      </c>
      <c r="R134" s="8"/>
    </row>
    <row r="135" spans="1:18" ht="14.25" customHeight="1">
      <c r="A135" s="11">
        <v>45200</v>
      </c>
      <c r="B135" s="7">
        <f>CHOOSE( CONTROL!$C$37, 6.0849, 6.0838) * CHOOSE(CONTROL!$C$20, $D$12, 100%, $F$12)</f>
        <v>6.0849000000000002</v>
      </c>
      <c r="C135" s="7">
        <f>CHOOSE( CONTROL!$C$37, 6.0902, 6.0891) * CHOOSE(CONTROL!$C$20, $D$12, 100%, $F$12)</f>
        <v>6.0902000000000003</v>
      </c>
      <c r="D135" s="7">
        <f>CHOOSE( CONTROL!$C$37, 6.1022, 6.1011) * CHOOSE( CONTROL!$C$20, $D$12, 100%, $F$12)</f>
        <v>6.1021999999999998</v>
      </c>
      <c r="E135" s="10">
        <f>CHOOSE( CONTROL!$C$37, 6.0977, 6.0966) * CHOOSE( CONTROL!$C$20, $D$12, 100%, $F$12)</f>
        <v>6.0976999999999997</v>
      </c>
      <c r="F135" s="4">
        <f>CHOOSE( CONTROL!$C$37, 6.8119, 6.8108) * CHOOSE(CONTROL!$C$20, $D$12, 100%, $F$12)</f>
        <v>6.8118999999999996</v>
      </c>
      <c r="G135" s="7">
        <f>CHOOSE( CONTROL!$C$37, 6.0461, 6.0451) * CHOOSE( CONTROL!$C$20, $D$12, 100%, $F$12)</f>
        <v>6.0461</v>
      </c>
      <c r="H135" s="4">
        <f>CHOOSE( CONTROL!$C$37, 6.9907, 6.9896) * CHOOSE(CONTROL!$C$20, $D$12, 100%, $F$12)</f>
        <v>6.9907000000000004</v>
      </c>
      <c r="I135" s="7">
        <f>CHOOSE( CONTROL!$C$37, 6.0361, 6.035) * CHOOSE(CONTROL!$C$20, $D$12, 100%, $F$12)</f>
        <v>6.0361000000000002</v>
      </c>
      <c r="J135" s="4">
        <f>CHOOSE( CONTROL!$C$37, 5.9082, 5.9072) * CHOOSE(CONTROL!$C$20, $D$12, 100%, $F$12)</f>
        <v>5.9081999999999999</v>
      </c>
      <c r="K135" s="4"/>
      <c r="L135" s="8">
        <v>31.095300000000002</v>
      </c>
      <c r="M135" s="8">
        <v>12.063700000000001</v>
      </c>
      <c r="N135" s="8">
        <v>4.9444999999999997</v>
      </c>
      <c r="O135" s="8">
        <v>0.37409999999999999</v>
      </c>
      <c r="P135" s="8">
        <v>1.2927</v>
      </c>
      <c r="Q135" s="8">
        <v>32.624400000000001</v>
      </c>
      <c r="R135" s="8"/>
    </row>
    <row r="136" spans="1:18" ht="14.25" customHeight="1">
      <c r="A136" s="11">
        <v>45231</v>
      </c>
      <c r="B136" s="7">
        <f>CHOOSE( CONTROL!$C$37, 6.5634, 6.5623) * CHOOSE(CONTROL!$C$20, $D$12, 100%, $F$12)</f>
        <v>6.5633999999999997</v>
      </c>
      <c r="C136" s="7">
        <f>CHOOSE( CONTROL!$C$37, 6.5685, 6.5674) * CHOOSE(CONTROL!$C$20, $D$12, 100%, $F$12)</f>
        <v>6.5685000000000002</v>
      </c>
      <c r="D136" s="7">
        <f>CHOOSE( CONTROL!$C$37, 6.547, 6.5459) * CHOOSE( CONTROL!$C$20, $D$12, 100%, $F$12)</f>
        <v>6.5469999999999997</v>
      </c>
      <c r="E136" s="10">
        <f>CHOOSE( CONTROL!$C$37, 6.5543, 6.5532) * CHOOSE( CONTROL!$C$20, $D$12, 100%, $F$12)</f>
        <v>6.5542999999999996</v>
      </c>
      <c r="F136" s="4">
        <f>CHOOSE( CONTROL!$C$37, 7.2159, 7.2149) * CHOOSE(CONTROL!$C$20, $D$12, 100%, $F$12)</f>
        <v>7.2159000000000004</v>
      </c>
      <c r="G136" s="7">
        <f>CHOOSE( CONTROL!$C$37, 6.5045, 6.5034) * CHOOSE( CONTROL!$C$20, $D$12, 100%, $F$12)</f>
        <v>6.5045000000000002</v>
      </c>
      <c r="H136" s="4">
        <f>CHOOSE( CONTROL!$C$37, 7.3891, 7.388) * CHOOSE(CONTROL!$C$20, $D$12, 100%, $F$12)</f>
        <v>7.3891</v>
      </c>
      <c r="I136" s="7">
        <f>CHOOSE( CONTROL!$C$37, 6.5512, 6.5502) * CHOOSE(CONTROL!$C$20, $D$12, 100%, $F$12)</f>
        <v>6.5511999999999997</v>
      </c>
      <c r="J136" s="4">
        <f>CHOOSE( CONTROL!$C$37, 6.372, 6.3709) * CHOOSE(CONTROL!$C$20, $D$12, 100%, $F$12)</f>
        <v>6.3719999999999999</v>
      </c>
      <c r="K136" s="4"/>
      <c r="L136" s="8">
        <v>28.360600000000002</v>
      </c>
      <c r="M136" s="8">
        <v>11.6745</v>
      </c>
      <c r="N136" s="8">
        <v>4.7850000000000001</v>
      </c>
      <c r="O136" s="8">
        <v>0.36199999999999999</v>
      </c>
      <c r="P136" s="8">
        <v>1.2509999999999999</v>
      </c>
      <c r="Q136" s="8">
        <v>31.571999999999999</v>
      </c>
      <c r="R136" s="8"/>
    </row>
    <row r="137" spans="1:18" ht="14.25" customHeight="1">
      <c r="A137" s="11">
        <v>45261</v>
      </c>
      <c r="B137" s="7">
        <f>CHOOSE( CONTROL!$C$37, 6.5514, 6.5503) * CHOOSE(CONTROL!$C$20, $D$12, 100%, $F$12)</f>
        <v>6.5514000000000001</v>
      </c>
      <c r="C137" s="7">
        <f>CHOOSE( CONTROL!$C$37, 6.5565, 6.5554) * CHOOSE(CONTROL!$C$20, $D$12, 100%, $F$12)</f>
        <v>6.5564999999999998</v>
      </c>
      <c r="D137" s="7">
        <f>CHOOSE( CONTROL!$C$37, 6.5366, 6.5355) * CHOOSE( CONTROL!$C$20, $D$12, 100%, $F$12)</f>
        <v>6.5366</v>
      </c>
      <c r="E137" s="10">
        <f>CHOOSE( CONTROL!$C$37, 6.5433, 6.5422) * CHOOSE( CONTROL!$C$20, $D$12, 100%, $F$12)</f>
        <v>6.5433000000000003</v>
      </c>
      <c r="F137" s="4">
        <f>CHOOSE( CONTROL!$C$37, 7.204, 7.2029) * CHOOSE(CONTROL!$C$20, $D$12, 100%, $F$12)</f>
        <v>7.2039999999999997</v>
      </c>
      <c r="G137" s="7">
        <f>CHOOSE( CONTROL!$C$37, 6.4938, 6.4928) * CHOOSE( CONTROL!$C$20, $D$12, 100%, $F$12)</f>
        <v>6.4938000000000002</v>
      </c>
      <c r="H137" s="4">
        <f>CHOOSE( CONTROL!$C$37, 7.3773, 7.3762) * CHOOSE(CONTROL!$C$20, $D$12, 100%, $F$12)</f>
        <v>7.3773</v>
      </c>
      <c r="I137" s="7">
        <f>CHOOSE( CONTROL!$C$37, 6.5445, 6.5435) * CHOOSE(CONTROL!$C$20, $D$12, 100%, $F$12)</f>
        <v>6.5445000000000002</v>
      </c>
      <c r="J137" s="4">
        <f>CHOOSE( CONTROL!$C$37, 6.3604, 6.3594) * CHOOSE(CONTROL!$C$20, $D$12, 100%, $F$12)</f>
        <v>6.3604000000000003</v>
      </c>
      <c r="K137" s="4"/>
      <c r="L137" s="8">
        <v>29.306000000000001</v>
      </c>
      <c r="M137" s="8">
        <v>12.063700000000001</v>
      </c>
      <c r="N137" s="8">
        <v>4.9444999999999997</v>
      </c>
      <c r="O137" s="8">
        <v>0.37409999999999999</v>
      </c>
      <c r="P137" s="8">
        <v>1.2927</v>
      </c>
      <c r="Q137" s="8">
        <v>32.624400000000001</v>
      </c>
      <c r="R137" s="8"/>
    </row>
    <row r="138" spans="1:18" ht="14.25" customHeight="1">
      <c r="A138" s="11">
        <v>45292</v>
      </c>
      <c r="B138" s="7">
        <f>CHOOSE( CONTROL!$C$37, 6.8048, 6.8037) * CHOOSE(CONTROL!$C$20, $D$12, 100%, $F$12)</f>
        <v>6.8048000000000002</v>
      </c>
      <c r="C138" s="7">
        <f>CHOOSE( CONTROL!$C$37, 6.8099, 6.8088) * CHOOSE(CONTROL!$C$20, $D$12, 100%, $F$12)</f>
        <v>6.8098999999999998</v>
      </c>
      <c r="D138" s="7">
        <f>CHOOSE( CONTROL!$C$37, 6.803, 6.8019) * CHOOSE( CONTROL!$C$20, $D$12, 100%, $F$12)</f>
        <v>6.8029999999999999</v>
      </c>
      <c r="E138" s="10">
        <f>CHOOSE( CONTROL!$C$37, 6.805, 6.8039) * CHOOSE( CONTROL!$C$20, $D$12, 100%, $F$12)</f>
        <v>6.8049999999999997</v>
      </c>
      <c r="F138" s="4">
        <f>CHOOSE( CONTROL!$C$37, 7.4573, 7.4562) * CHOOSE(CONTROL!$C$20, $D$12, 100%, $F$12)</f>
        <v>7.4573</v>
      </c>
      <c r="G138" s="7">
        <f>CHOOSE( CONTROL!$C$37, 6.7481, 6.7471) * CHOOSE( CONTROL!$C$20, $D$12, 100%, $F$12)</f>
        <v>6.7481</v>
      </c>
      <c r="H138" s="4">
        <f>CHOOSE( CONTROL!$C$37, 7.6271, 7.6261) * CHOOSE(CONTROL!$C$20, $D$12, 100%, $F$12)</f>
        <v>7.6271000000000004</v>
      </c>
      <c r="I138" s="7">
        <f>CHOOSE( CONTROL!$C$37, 6.7612, 6.7602) * CHOOSE(CONTROL!$C$20, $D$12, 100%, $F$12)</f>
        <v>6.7611999999999997</v>
      </c>
      <c r="J138" s="4">
        <f>CHOOSE( CONTROL!$C$37, 6.6057, 6.6047) * CHOOSE(CONTROL!$C$20, $D$12, 100%, $F$12)</f>
        <v>6.6056999999999997</v>
      </c>
      <c r="K138" s="4"/>
      <c r="L138" s="8">
        <v>29.306000000000001</v>
      </c>
      <c r="M138" s="8">
        <v>12.063700000000001</v>
      </c>
      <c r="N138" s="8">
        <v>4.9444999999999997</v>
      </c>
      <c r="O138" s="8">
        <v>0.37409999999999999</v>
      </c>
      <c r="P138" s="8">
        <v>1.2927</v>
      </c>
      <c r="Q138" s="8">
        <v>32.440300000000001</v>
      </c>
      <c r="R138" s="8"/>
    </row>
    <row r="139" spans="1:18" ht="14.25" customHeight="1">
      <c r="A139" s="11">
        <v>45323</v>
      </c>
      <c r="B139" s="7">
        <f>CHOOSE( CONTROL!$C$37, 6.3638, 6.3627) * CHOOSE(CONTROL!$C$20, $D$12, 100%, $F$12)</f>
        <v>6.3638000000000003</v>
      </c>
      <c r="C139" s="7">
        <f>CHOOSE( CONTROL!$C$37, 6.3689, 6.3678) * CHOOSE(CONTROL!$C$20, $D$12, 100%, $F$12)</f>
        <v>6.3689</v>
      </c>
      <c r="D139" s="7">
        <f>CHOOSE( CONTROL!$C$37, 6.3619, 6.3609) * CHOOSE( CONTROL!$C$20, $D$12, 100%, $F$12)</f>
        <v>6.3619000000000003</v>
      </c>
      <c r="E139" s="10">
        <f>CHOOSE( CONTROL!$C$37, 6.3639, 6.3629) * CHOOSE( CONTROL!$C$20, $D$12, 100%, $F$12)</f>
        <v>6.3639000000000001</v>
      </c>
      <c r="F139" s="4">
        <f>CHOOSE( CONTROL!$C$37, 7.0164, 7.0153) * CHOOSE(CONTROL!$C$20, $D$12, 100%, $F$12)</f>
        <v>7.0164</v>
      </c>
      <c r="G139" s="7">
        <f>CHOOSE( CONTROL!$C$37, 6.3133, 6.3122) * CHOOSE( CONTROL!$C$20, $D$12, 100%, $F$12)</f>
        <v>6.3132999999999999</v>
      </c>
      <c r="H139" s="4">
        <f>CHOOSE( CONTROL!$C$37, 7.1923, 7.1912) * CHOOSE(CONTROL!$C$20, $D$12, 100%, $F$12)</f>
        <v>7.1923000000000004</v>
      </c>
      <c r="I139" s="7">
        <f>CHOOSE( CONTROL!$C$37, 6.3338, 6.3327) * CHOOSE(CONTROL!$C$20, $D$12, 100%, $F$12)</f>
        <v>6.3338000000000001</v>
      </c>
      <c r="J139" s="4">
        <f>CHOOSE( CONTROL!$C$37, 6.1787, 6.1777) * CHOOSE(CONTROL!$C$20, $D$12, 100%, $F$12)</f>
        <v>6.1787000000000001</v>
      </c>
      <c r="K139" s="4"/>
      <c r="L139" s="8">
        <v>27.415299999999998</v>
      </c>
      <c r="M139" s="8">
        <v>11.285299999999999</v>
      </c>
      <c r="N139" s="8">
        <v>4.6254999999999997</v>
      </c>
      <c r="O139" s="8">
        <v>0.34989999999999999</v>
      </c>
      <c r="P139" s="8">
        <v>1.2093</v>
      </c>
      <c r="Q139" s="8">
        <v>30.347300000000001</v>
      </c>
      <c r="R139" s="8"/>
    </row>
    <row r="140" spans="1:18" ht="14.25" customHeight="1">
      <c r="A140" s="11">
        <v>45352</v>
      </c>
      <c r="B140" s="7">
        <f>CHOOSE( CONTROL!$C$37, 6.228, 6.2269) * CHOOSE(CONTROL!$C$20, $D$12, 100%, $F$12)</f>
        <v>6.2279999999999998</v>
      </c>
      <c r="C140" s="7">
        <f>CHOOSE( CONTROL!$C$37, 6.2331, 6.232) * CHOOSE(CONTROL!$C$20, $D$12, 100%, $F$12)</f>
        <v>6.2331000000000003</v>
      </c>
      <c r="D140" s="7">
        <f>CHOOSE( CONTROL!$C$37, 6.2255, 6.2244) * CHOOSE( CONTROL!$C$20, $D$12, 100%, $F$12)</f>
        <v>6.2255000000000003</v>
      </c>
      <c r="E140" s="10">
        <f>CHOOSE( CONTROL!$C$37, 6.2277, 6.2266) * CHOOSE( CONTROL!$C$20, $D$12, 100%, $F$12)</f>
        <v>6.2276999999999996</v>
      </c>
      <c r="F140" s="4">
        <f>CHOOSE( CONTROL!$C$37, 6.8805, 6.8795) * CHOOSE(CONTROL!$C$20, $D$12, 100%, $F$12)</f>
        <v>6.8804999999999996</v>
      </c>
      <c r="G140" s="7">
        <f>CHOOSE( CONTROL!$C$37, 6.1789, 6.1778) * CHOOSE( CONTROL!$C$20, $D$12, 100%, $F$12)</f>
        <v>6.1788999999999996</v>
      </c>
      <c r="H140" s="4">
        <f>CHOOSE( CONTROL!$C$37, 7.0584, 7.0573) * CHOOSE(CONTROL!$C$20, $D$12, 100%, $F$12)</f>
        <v>7.0583999999999998</v>
      </c>
      <c r="I140" s="7">
        <f>CHOOSE( CONTROL!$C$37, 6.2003, 6.1992) * CHOOSE(CONTROL!$C$20, $D$12, 100%, $F$12)</f>
        <v>6.2003000000000004</v>
      </c>
      <c r="J140" s="4">
        <f>CHOOSE( CONTROL!$C$37, 6.0472, 6.0462) * CHOOSE(CONTROL!$C$20, $D$12, 100%, $F$12)</f>
        <v>6.0472000000000001</v>
      </c>
      <c r="K140" s="4"/>
      <c r="L140" s="8">
        <v>29.306000000000001</v>
      </c>
      <c r="M140" s="8">
        <v>12.063700000000001</v>
      </c>
      <c r="N140" s="8">
        <v>4.9444999999999997</v>
      </c>
      <c r="O140" s="8">
        <v>0.37409999999999999</v>
      </c>
      <c r="P140" s="8">
        <v>1.2927</v>
      </c>
      <c r="Q140" s="8">
        <v>32.440300000000001</v>
      </c>
      <c r="R140" s="8"/>
    </row>
    <row r="141" spans="1:18" ht="14.25" customHeight="1">
      <c r="A141" s="11">
        <v>45383</v>
      </c>
      <c r="B141" s="7">
        <f>CHOOSE( CONTROL!$C$37, 6.3237, 6.3226) * CHOOSE(CONTROL!$C$20, $D$12, 100%, $F$12)</f>
        <v>6.3236999999999997</v>
      </c>
      <c r="C141" s="7">
        <f>CHOOSE( CONTROL!$C$37, 6.3282, 6.3271) * CHOOSE(CONTROL!$C$20, $D$12, 100%, $F$12)</f>
        <v>6.3281999999999998</v>
      </c>
      <c r="D141" s="7">
        <f>CHOOSE( CONTROL!$C$37, 6.34, 6.339) * CHOOSE( CONTROL!$C$20, $D$12, 100%, $F$12)</f>
        <v>6.34</v>
      </c>
      <c r="E141" s="10">
        <f>CHOOSE( CONTROL!$C$37, 6.3356, 6.3346) * CHOOSE( CONTROL!$C$20, $D$12, 100%, $F$12)</f>
        <v>6.3356000000000003</v>
      </c>
      <c r="F141" s="4">
        <f>CHOOSE( CONTROL!$C$37, 7.0503, 7.0492) * CHOOSE(CONTROL!$C$20, $D$12, 100%, $F$12)</f>
        <v>7.0503</v>
      </c>
      <c r="G141" s="7">
        <f>CHOOSE( CONTROL!$C$37, 6.2807, 6.2797) * CHOOSE( CONTROL!$C$20, $D$12, 100%, $F$12)</f>
        <v>6.2807000000000004</v>
      </c>
      <c r="H141" s="4">
        <f>CHOOSE( CONTROL!$C$37, 7.2258, 7.2247) * CHOOSE(CONTROL!$C$20, $D$12, 100%, $F$12)</f>
        <v>7.2257999999999996</v>
      </c>
      <c r="I141" s="7">
        <f>CHOOSE( CONTROL!$C$37, 6.2648, 6.2638) * CHOOSE(CONTROL!$C$20, $D$12, 100%, $F$12)</f>
        <v>6.2648000000000001</v>
      </c>
      <c r="J141" s="4">
        <f>CHOOSE( CONTROL!$C$37, 6.1391, 6.1381) * CHOOSE(CONTROL!$C$20, $D$12, 100%, $F$12)</f>
        <v>6.1391</v>
      </c>
      <c r="K141" s="4"/>
      <c r="L141" s="8">
        <v>30.092199999999998</v>
      </c>
      <c r="M141" s="8">
        <v>11.6745</v>
      </c>
      <c r="N141" s="8">
        <v>4.7850000000000001</v>
      </c>
      <c r="O141" s="8">
        <v>0.36199999999999999</v>
      </c>
      <c r="P141" s="8">
        <v>1.2509999999999999</v>
      </c>
      <c r="Q141" s="8">
        <v>31.393799999999999</v>
      </c>
      <c r="R141" s="8"/>
    </row>
    <row r="142" spans="1:18" ht="14.25" customHeight="1">
      <c r="A142" s="11">
        <v>45413</v>
      </c>
      <c r="B142" s="7">
        <f>CHOOSE( CONTROL!$C$37, 6.4945, 6.4929) * CHOOSE(CONTROL!$C$20, $D$12, 100%, $F$12)</f>
        <v>6.4945000000000004</v>
      </c>
      <c r="C142" s="7">
        <f>CHOOSE( CONTROL!$C$37, 6.5025, 6.5009) * CHOOSE(CONTROL!$C$20, $D$12, 100%, $F$12)</f>
        <v>6.5025000000000004</v>
      </c>
      <c r="D142" s="7">
        <f>CHOOSE( CONTROL!$C$37, 6.5082, 6.5065) * CHOOSE( CONTROL!$C$20, $D$12, 100%, $F$12)</f>
        <v>6.5082000000000004</v>
      </c>
      <c r="E142" s="10">
        <f>CHOOSE( CONTROL!$C$37, 6.5049, 6.5033) * CHOOSE( CONTROL!$C$20, $D$12, 100%, $F$12)</f>
        <v>6.5049000000000001</v>
      </c>
      <c r="F142" s="4">
        <f>CHOOSE( CONTROL!$C$37, 7.2198, 7.2181) * CHOOSE(CONTROL!$C$20, $D$12, 100%, $F$12)</f>
        <v>7.2198000000000002</v>
      </c>
      <c r="G142" s="7">
        <f>CHOOSE( CONTROL!$C$37, 6.4478, 6.4462) * CHOOSE( CONTROL!$C$20, $D$12, 100%, $F$12)</f>
        <v>6.4478</v>
      </c>
      <c r="H142" s="4">
        <f>CHOOSE( CONTROL!$C$37, 7.3929, 7.3913) * CHOOSE(CONTROL!$C$20, $D$12, 100%, $F$12)</f>
        <v>7.3929</v>
      </c>
      <c r="I142" s="7">
        <f>CHOOSE( CONTROL!$C$37, 6.4287, 6.4271) * CHOOSE(CONTROL!$C$20, $D$12, 100%, $F$12)</f>
        <v>6.4287000000000001</v>
      </c>
      <c r="J142" s="4">
        <f>CHOOSE( CONTROL!$C$37, 6.3032, 6.3016) * CHOOSE(CONTROL!$C$20, $D$12, 100%, $F$12)</f>
        <v>6.3032000000000004</v>
      </c>
      <c r="K142" s="4"/>
      <c r="L142" s="8">
        <v>30.7165</v>
      </c>
      <c r="M142" s="8">
        <v>12.063700000000001</v>
      </c>
      <c r="N142" s="8">
        <v>4.9444999999999997</v>
      </c>
      <c r="O142" s="8">
        <v>0.37409999999999999</v>
      </c>
      <c r="P142" s="8">
        <v>1.2927</v>
      </c>
      <c r="Q142" s="8">
        <v>32.440300000000001</v>
      </c>
      <c r="R142" s="8"/>
    </row>
    <row r="143" spans="1:18" ht="14.25" customHeight="1">
      <c r="A143" s="11">
        <v>45444</v>
      </c>
      <c r="B143" s="7">
        <f>CHOOSE( CONTROL!$C$37, 6.3899, 6.3882) * CHOOSE(CONTROL!$C$20, $D$12, 100%, $F$12)</f>
        <v>6.3898999999999999</v>
      </c>
      <c r="C143" s="7">
        <f>CHOOSE( CONTROL!$C$37, 6.3979, 6.3962) * CHOOSE(CONTROL!$C$20, $D$12, 100%, $F$12)</f>
        <v>6.3978999999999999</v>
      </c>
      <c r="D143" s="7">
        <f>CHOOSE( CONTROL!$C$37, 6.4038, 6.4022) * CHOOSE( CONTROL!$C$20, $D$12, 100%, $F$12)</f>
        <v>6.4038000000000004</v>
      </c>
      <c r="E143" s="10">
        <f>CHOOSE( CONTROL!$C$37, 6.4004, 6.3988) * CHOOSE( CONTROL!$C$20, $D$12, 100%, $F$12)</f>
        <v>6.4004000000000003</v>
      </c>
      <c r="F143" s="4">
        <f>CHOOSE( CONTROL!$C$37, 7.1152, 7.1135) * CHOOSE(CONTROL!$C$20, $D$12, 100%, $F$12)</f>
        <v>7.1151999999999997</v>
      </c>
      <c r="G143" s="7">
        <f>CHOOSE( CONTROL!$C$37, 6.3449, 6.3432) * CHOOSE( CONTROL!$C$20, $D$12, 100%, $F$12)</f>
        <v>6.3449</v>
      </c>
      <c r="H143" s="4">
        <f>CHOOSE( CONTROL!$C$37, 7.2898, 7.2881) * CHOOSE(CONTROL!$C$20, $D$12, 100%, $F$12)</f>
        <v>7.2897999999999996</v>
      </c>
      <c r="I143" s="7">
        <f>CHOOSE( CONTROL!$C$37, 6.3283, 6.3267) * CHOOSE(CONTROL!$C$20, $D$12, 100%, $F$12)</f>
        <v>6.3282999999999996</v>
      </c>
      <c r="J143" s="4">
        <f>CHOOSE( CONTROL!$C$37, 6.2019, 6.2003) * CHOOSE(CONTROL!$C$20, $D$12, 100%, $F$12)</f>
        <v>6.2019000000000002</v>
      </c>
      <c r="K143" s="4"/>
      <c r="L143" s="8">
        <v>29.7257</v>
      </c>
      <c r="M143" s="8">
        <v>11.6745</v>
      </c>
      <c r="N143" s="8">
        <v>4.7850000000000001</v>
      </c>
      <c r="O143" s="8">
        <v>0.36199999999999999</v>
      </c>
      <c r="P143" s="8">
        <v>1.2509999999999999</v>
      </c>
      <c r="Q143" s="8">
        <v>31.393799999999999</v>
      </c>
      <c r="R143" s="8"/>
    </row>
    <row r="144" spans="1:18" ht="14.25" customHeight="1">
      <c r="A144" s="11">
        <v>45474</v>
      </c>
      <c r="B144" s="7">
        <f>CHOOSE( CONTROL!$C$37, 6.6654, 6.6638) * CHOOSE(CONTROL!$C$20, $D$12, 100%, $F$12)</f>
        <v>6.6654</v>
      </c>
      <c r="C144" s="7">
        <f>CHOOSE( CONTROL!$C$37, 6.6734, 6.6718) * CHOOSE(CONTROL!$C$20, $D$12, 100%, $F$12)</f>
        <v>6.6734</v>
      </c>
      <c r="D144" s="7">
        <f>CHOOSE( CONTROL!$C$37, 6.6797, 6.678) * CHOOSE( CONTROL!$C$20, $D$12, 100%, $F$12)</f>
        <v>6.6797000000000004</v>
      </c>
      <c r="E144" s="10">
        <f>CHOOSE( CONTROL!$C$37, 6.6762, 6.6745) * CHOOSE( CONTROL!$C$20, $D$12, 100%, $F$12)</f>
        <v>6.6761999999999997</v>
      </c>
      <c r="F144" s="4">
        <f>CHOOSE( CONTROL!$C$37, 7.3907, 7.3891) * CHOOSE(CONTROL!$C$20, $D$12, 100%, $F$12)</f>
        <v>7.3906999999999998</v>
      </c>
      <c r="G144" s="7">
        <f>CHOOSE( CONTROL!$C$37, 6.6168, 6.6152) * CHOOSE( CONTROL!$C$20, $D$12, 100%, $F$12)</f>
        <v>6.6167999999999996</v>
      </c>
      <c r="H144" s="4">
        <f>CHOOSE( CONTROL!$C$37, 7.5614, 7.5598) * CHOOSE(CONTROL!$C$20, $D$12, 100%, $F$12)</f>
        <v>7.5613999999999999</v>
      </c>
      <c r="I144" s="7">
        <f>CHOOSE( CONTROL!$C$37, 6.5963, 6.5947) * CHOOSE(CONTROL!$C$20, $D$12, 100%, $F$12)</f>
        <v>6.5963000000000003</v>
      </c>
      <c r="J144" s="4">
        <f>CHOOSE( CONTROL!$C$37, 6.4687, 6.4671) * CHOOSE(CONTROL!$C$20, $D$12, 100%, $F$12)</f>
        <v>6.4687000000000001</v>
      </c>
      <c r="K144" s="4"/>
      <c r="L144" s="8">
        <v>30.7165</v>
      </c>
      <c r="M144" s="8">
        <v>12.063700000000001</v>
      </c>
      <c r="N144" s="8">
        <v>4.9444999999999997</v>
      </c>
      <c r="O144" s="8">
        <v>0.37409999999999999</v>
      </c>
      <c r="P144" s="8">
        <v>1.2927</v>
      </c>
      <c r="Q144" s="8">
        <v>32.440300000000001</v>
      </c>
      <c r="R144" s="8"/>
    </row>
    <row r="145" spans="1:18" ht="14.25" customHeight="1">
      <c r="A145" s="11">
        <v>45505</v>
      </c>
      <c r="B145" s="7">
        <f>CHOOSE( CONTROL!$C$37, 6.1499, 6.1482) * CHOOSE(CONTROL!$C$20, $D$12, 100%, $F$12)</f>
        <v>6.1498999999999997</v>
      </c>
      <c r="C145" s="7">
        <f>CHOOSE( CONTROL!$C$37, 6.1579, 6.1562) * CHOOSE(CONTROL!$C$20, $D$12, 100%, $F$12)</f>
        <v>6.1578999999999997</v>
      </c>
      <c r="D145" s="7">
        <f>CHOOSE( CONTROL!$C$37, 6.1642, 6.1625) * CHOOSE( CONTROL!$C$20, $D$12, 100%, $F$12)</f>
        <v>6.1642000000000001</v>
      </c>
      <c r="E145" s="10">
        <f>CHOOSE( CONTROL!$C$37, 6.1607, 6.159) * CHOOSE( CONTROL!$C$20, $D$12, 100%, $F$12)</f>
        <v>6.1607000000000003</v>
      </c>
      <c r="F145" s="4">
        <f>CHOOSE( CONTROL!$C$37, 6.8752, 6.8735) * CHOOSE(CONTROL!$C$20, $D$12, 100%, $F$12)</f>
        <v>6.8752000000000004</v>
      </c>
      <c r="G145" s="7">
        <f>CHOOSE( CONTROL!$C$37, 6.1085, 6.1069) * CHOOSE( CONTROL!$C$20, $D$12, 100%, $F$12)</f>
        <v>6.1085000000000003</v>
      </c>
      <c r="H145" s="4">
        <f>CHOOSE( CONTROL!$C$37, 7.0531, 7.0514) * CHOOSE(CONTROL!$C$20, $D$12, 100%, $F$12)</f>
        <v>7.0530999999999997</v>
      </c>
      <c r="I145" s="7">
        <f>CHOOSE( CONTROL!$C$37, 6.0971, 6.0955) * CHOOSE(CONTROL!$C$20, $D$12, 100%, $F$12)</f>
        <v>6.0971000000000002</v>
      </c>
      <c r="J145" s="4">
        <f>CHOOSE( CONTROL!$C$37, 5.9695, 5.9679) * CHOOSE(CONTROL!$C$20, $D$12, 100%, $F$12)</f>
        <v>5.9695</v>
      </c>
      <c r="K145" s="4"/>
      <c r="L145" s="8">
        <v>30.7165</v>
      </c>
      <c r="M145" s="8">
        <v>12.063700000000001</v>
      </c>
      <c r="N145" s="8">
        <v>4.9444999999999997</v>
      </c>
      <c r="O145" s="8">
        <v>0.37409999999999999</v>
      </c>
      <c r="P145" s="8">
        <v>1.2927</v>
      </c>
      <c r="Q145" s="8">
        <v>32.440300000000001</v>
      </c>
      <c r="R145" s="8"/>
    </row>
    <row r="146" spans="1:18" ht="14.25" customHeight="1">
      <c r="A146" s="11">
        <v>45536</v>
      </c>
      <c r="B146" s="7">
        <f>CHOOSE( CONTROL!$C$37, 6.0208, 6.0191) * CHOOSE(CONTROL!$C$20, $D$12, 100%, $F$12)</f>
        <v>6.0208000000000004</v>
      </c>
      <c r="C146" s="7">
        <f>CHOOSE( CONTROL!$C$37, 6.0288, 6.0271) * CHOOSE(CONTROL!$C$20, $D$12, 100%, $F$12)</f>
        <v>6.0288000000000004</v>
      </c>
      <c r="D146" s="7">
        <f>CHOOSE( CONTROL!$C$37, 6.035, 6.0333) * CHOOSE( CONTROL!$C$20, $D$12, 100%, $F$12)</f>
        <v>6.0350000000000001</v>
      </c>
      <c r="E146" s="10">
        <f>CHOOSE( CONTROL!$C$37, 6.0315, 6.0298) * CHOOSE( CONTROL!$C$20, $D$12, 100%, $F$12)</f>
        <v>6.0315000000000003</v>
      </c>
      <c r="F146" s="4">
        <f>CHOOSE( CONTROL!$C$37, 6.7461, 6.7444) * CHOOSE(CONTROL!$C$20, $D$12, 100%, $F$12)</f>
        <v>6.7461000000000002</v>
      </c>
      <c r="G146" s="7">
        <f>CHOOSE( CONTROL!$C$37, 5.9811, 5.9795) * CHOOSE( CONTROL!$C$20, $D$12, 100%, $F$12)</f>
        <v>5.9810999999999996</v>
      </c>
      <c r="H146" s="4">
        <f>CHOOSE( CONTROL!$C$37, 6.9258, 6.9241) * CHOOSE(CONTROL!$C$20, $D$12, 100%, $F$12)</f>
        <v>6.9257999999999997</v>
      </c>
      <c r="I146" s="7">
        <f>CHOOSE( CONTROL!$C$37, 5.9716, 5.97) * CHOOSE(CONTROL!$C$20, $D$12, 100%, $F$12)</f>
        <v>5.9715999999999996</v>
      </c>
      <c r="J146" s="4">
        <f>CHOOSE( CONTROL!$C$37, 5.8445, 5.8429) * CHOOSE(CONTROL!$C$20, $D$12, 100%, $F$12)</f>
        <v>5.8445</v>
      </c>
      <c r="K146" s="4"/>
      <c r="L146" s="8">
        <v>29.7257</v>
      </c>
      <c r="M146" s="8">
        <v>11.6745</v>
      </c>
      <c r="N146" s="8">
        <v>4.7850000000000001</v>
      </c>
      <c r="O146" s="8">
        <v>0.36199999999999999</v>
      </c>
      <c r="P146" s="8">
        <v>1.2509999999999999</v>
      </c>
      <c r="Q146" s="8">
        <v>31.393799999999999</v>
      </c>
      <c r="R146" s="8"/>
    </row>
    <row r="147" spans="1:18" ht="14.25" customHeight="1">
      <c r="A147" s="11">
        <v>45566</v>
      </c>
      <c r="B147" s="7">
        <f>CHOOSE( CONTROL!$C$37, 6.2865, 6.2854) * CHOOSE(CONTROL!$C$20, $D$12, 100%, $F$12)</f>
        <v>6.2865000000000002</v>
      </c>
      <c r="C147" s="7">
        <f>CHOOSE( CONTROL!$C$37, 6.2919, 6.2908) * CHOOSE(CONTROL!$C$20, $D$12, 100%, $F$12)</f>
        <v>6.2919</v>
      </c>
      <c r="D147" s="7">
        <f>CHOOSE( CONTROL!$C$37, 6.3039, 6.3028) * CHOOSE( CONTROL!$C$20, $D$12, 100%, $F$12)</f>
        <v>6.3038999999999996</v>
      </c>
      <c r="E147" s="10">
        <f>CHOOSE( CONTROL!$C$37, 6.2994, 6.2983) * CHOOSE( CONTROL!$C$20, $D$12, 100%, $F$12)</f>
        <v>6.2994000000000003</v>
      </c>
      <c r="F147" s="4">
        <f>CHOOSE( CONTROL!$C$37, 7.0135, 7.0125) * CHOOSE(CONTROL!$C$20, $D$12, 100%, $F$12)</f>
        <v>7.0134999999999996</v>
      </c>
      <c r="G147" s="7">
        <f>CHOOSE( CONTROL!$C$37, 6.245, 6.2439) * CHOOSE( CONTROL!$C$20, $D$12, 100%, $F$12)</f>
        <v>6.2450000000000001</v>
      </c>
      <c r="H147" s="4">
        <f>CHOOSE( CONTROL!$C$37, 7.1895, 7.1885) * CHOOSE(CONTROL!$C$20, $D$12, 100%, $F$12)</f>
        <v>7.1894999999999998</v>
      </c>
      <c r="I147" s="7">
        <f>CHOOSE( CONTROL!$C$37, 6.2314, 6.2304) * CHOOSE(CONTROL!$C$20, $D$12, 100%, $F$12)</f>
        <v>6.2313999999999998</v>
      </c>
      <c r="J147" s="4">
        <f>CHOOSE( CONTROL!$C$37, 6.1035, 6.1025) * CHOOSE(CONTROL!$C$20, $D$12, 100%, $F$12)</f>
        <v>6.1035000000000004</v>
      </c>
      <c r="K147" s="4"/>
      <c r="L147" s="8">
        <v>31.095300000000002</v>
      </c>
      <c r="M147" s="8">
        <v>12.063700000000001</v>
      </c>
      <c r="N147" s="8">
        <v>4.9444999999999997</v>
      </c>
      <c r="O147" s="8">
        <v>0.37409999999999999</v>
      </c>
      <c r="P147" s="8">
        <v>1.2927</v>
      </c>
      <c r="Q147" s="8">
        <v>32.440300000000001</v>
      </c>
      <c r="R147" s="8"/>
    </row>
    <row r="148" spans="1:18" ht="14.25" customHeight="1">
      <c r="A148" s="11">
        <v>45597</v>
      </c>
      <c r="B148" s="7">
        <f>CHOOSE( CONTROL!$C$37, 6.7809, 6.7798) * CHOOSE(CONTROL!$C$20, $D$12, 100%, $F$12)</f>
        <v>6.7808999999999999</v>
      </c>
      <c r="C148" s="7">
        <f>CHOOSE( CONTROL!$C$37, 6.786, 6.7849) * CHOOSE(CONTROL!$C$20, $D$12, 100%, $F$12)</f>
        <v>6.7859999999999996</v>
      </c>
      <c r="D148" s="7">
        <f>CHOOSE( CONTROL!$C$37, 6.7645, 6.7634) * CHOOSE( CONTROL!$C$20, $D$12, 100%, $F$12)</f>
        <v>6.7645</v>
      </c>
      <c r="E148" s="10">
        <f>CHOOSE( CONTROL!$C$37, 6.7718, 6.7707) * CHOOSE( CONTROL!$C$20, $D$12, 100%, $F$12)</f>
        <v>6.7717999999999998</v>
      </c>
      <c r="F148" s="4">
        <f>CHOOSE( CONTROL!$C$37, 7.4334, 7.4324) * CHOOSE(CONTROL!$C$20, $D$12, 100%, $F$12)</f>
        <v>7.4333999999999998</v>
      </c>
      <c r="G148" s="7">
        <f>CHOOSE( CONTROL!$C$37, 6.719, 6.7179) * CHOOSE( CONTROL!$C$20, $D$12, 100%, $F$12)</f>
        <v>6.7190000000000003</v>
      </c>
      <c r="H148" s="4">
        <f>CHOOSE( CONTROL!$C$37, 7.6036, 7.6025) * CHOOSE(CONTROL!$C$20, $D$12, 100%, $F$12)</f>
        <v>7.6036000000000001</v>
      </c>
      <c r="I148" s="7">
        <f>CHOOSE( CONTROL!$C$37, 6.7619, 6.7609) * CHOOSE(CONTROL!$C$20, $D$12, 100%, $F$12)</f>
        <v>6.7618999999999998</v>
      </c>
      <c r="J148" s="4">
        <f>CHOOSE( CONTROL!$C$37, 6.5826, 6.5816) * CHOOSE(CONTROL!$C$20, $D$12, 100%, $F$12)</f>
        <v>6.5826000000000002</v>
      </c>
      <c r="K148" s="4"/>
      <c r="L148" s="8">
        <v>28.360600000000002</v>
      </c>
      <c r="M148" s="8">
        <v>11.6745</v>
      </c>
      <c r="N148" s="8">
        <v>4.7850000000000001</v>
      </c>
      <c r="O148" s="8">
        <v>0.36199999999999999</v>
      </c>
      <c r="P148" s="8">
        <v>1.2509999999999999</v>
      </c>
      <c r="Q148" s="8">
        <v>31.393799999999999</v>
      </c>
      <c r="R148" s="8"/>
    </row>
    <row r="149" spans="1:18" ht="14.25" customHeight="1">
      <c r="A149" s="11">
        <v>45627</v>
      </c>
      <c r="B149" s="7">
        <f>CHOOSE( CONTROL!$C$37, 6.7685, 6.7675) * CHOOSE(CONTROL!$C$20, $D$12, 100%, $F$12)</f>
        <v>6.7685000000000004</v>
      </c>
      <c r="C149" s="7">
        <f>CHOOSE( CONTROL!$C$37, 6.7736, 6.7726) * CHOOSE(CONTROL!$C$20, $D$12, 100%, $F$12)</f>
        <v>6.7736000000000001</v>
      </c>
      <c r="D149" s="7">
        <f>CHOOSE( CONTROL!$C$37, 6.7537, 6.7526) * CHOOSE( CONTROL!$C$20, $D$12, 100%, $F$12)</f>
        <v>6.7537000000000003</v>
      </c>
      <c r="E149" s="10">
        <f>CHOOSE( CONTROL!$C$37, 6.7604, 6.7594) * CHOOSE( CONTROL!$C$20, $D$12, 100%, $F$12)</f>
        <v>6.7603999999999997</v>
      </c>
      <c r="F149" s="4">
        <f>CHOOSE( CONTROL!$C$37, 7.4211, 7.42) * CHOOSE(CONTROL!$C$20, $D$12, 100%, $F$12)</f>
        <v>7.4211</v>
      </c>
      <c r="G149" s="7">
        <f>CHOOSE( CONTROL!$C$37, 6.7079, 6.7068) * CHOOSE( CONTROL!$C$20, $D$12, 100%, $F$12)</f>
        <v>6.7079000000000004</v>
      </c>
      <c r="H149" s="4">
        <f>CHOOSE( CONTROL!$C$37, 7.5914, 7.5903) * CHOOSE(CONTROL!$C$20, $D$12, 100%, $F$12)</f>
        <v>7.5914000000000001</v>
      </c>
      <c r="I149" s="7">
        <f>CHOOSE( CONTROL!$C$37, 6.7548, 6.7538) * CHOOSE(CONTROL!$C$20, $D$12, 100%, $F$12)</f>
        <v>6.7548000000000004</v>
      </c>
      <c r="J149" s="4">
        <f>CHOOSE( CONTROL!$C$37, 6.5706, 6.5696) * CHOOSE(CONTROL!$C$20, $D$12, 100%, $F$12)</f>
        <v>6.5705999999999998</v>
      </c>
      <c r="K149" s="4"/>
      <c r="L149" s="8">
        <v>29.306000000000001</v>
      </c>
      <c r="M149" s="8">
        <v>12.063700000000001</v>
      </c>
      <c r="N149" s="8">
        <v>4.9444999999999997</v>
      </c>
      <c r="O149" s="8">
        <v>0.37409999999999999</v>
      </c>
      <c r="P149" s="8">
        <v>1.2927</v>
      </c>
      <c r="Q149" s="8">
        <v>32.440300000000001</v>
      </c>
      <c r="R149" s="8"/>
    </row>
    <row r="150" spans="1:18" ht="14.25" customHeight="1">
      <c r="A150" s="11">
        <v>45658</v>
      </c>
      <c r="B150" s="7">
        <f>CHOOSE( CONTROL!$C$37, 6.9685, 6.9674) * CHOOSE(CONTROL!$C$20, $D$12, 100%, $F$12)</f>
        <v>6.9684999999999997</v>
      </c>
      <c r="C150" s="7">
        <f>CHOOSE( CONTROL!$C$37, 6.9736, 6.9725) * CHOOSE(CONTROL!$C$20, $D$12, 100%, $F$12)</f>
        <v>6.9736000000000002</v>
      </c>
      <c r="D150" s="7">
        <f>CHOOSE( CONTROL!$C$37, 6.9667, 6.9656) * CHOOSE( CONTROL!$C$20, $D$12, 100%, $F$12)</f>
        <v>6.9667000000000003</v>
      </c>
      <c r="E150" s="10">
        <f>CHOOSE( CONTROL!$C$37, 6.9687, 6.9676) * CHOOSE( CONTROL!$C$20, $D$12, 100%, $F$12)</f>
        <v>6.9687000000000001</v>
      </c>
      <c r="F150" s="4">
        <f>CHOOSE( CONTROL!$C$37, 7.621, 7.6199) * CHOOSE(CONTROL!$C$20, $D$12, 100%, $F$12)</f>
        <v>7.6210000000000004</v>
      </c>
      <c r="G150" s="7">
        <f>CHOOSE( CONTROL!$C$37, 6.9096, 6.9085) * CHOOSE( CONTROL!$C$20, $D$12, 100%, $F$12)</f>
        <v>6.9096000000000002</v>
      </c>
      <c r="H150" s="4">
        <f>CHOOSE( CONTROL!$C$37, 7.7885, 7.7875) * CHOOSE(CONTROL!$C$20, $D$12, 100%, $F$12)</f>
        <v>7.7885</v>
      </c>
      <c r="I150" s="7">
        <f>CHOOSE( CONTROL!$C$37, 6.9198, 6.9188) * CHOOSE(CONTROL!$C$20, $D$12, 100%, $F$12)</f>
        <v>6.9198000000000004</v>
      </c>
      <c r="J150" s="4">
        <f>CHOOSE( CONTROL!$C$37, 6.7642, 6.7632) * CHOOSE(CONTROL!$C$20, $D$12, 100%, $F$12)</f>
        <v>6.7641999999999998</v>
      </c>
      <c r="K150" s="4"/>
      <c r="L150" s="8">
        <v>29.306000000000001</v>
      </c>
      <c r="M150" s="8">
        <v>12.063700000000001</v>
      </c>
      <c r="N150" s="8">
        <v>4.9444999999999997</v>
      </c>
      <c r="O150" s="8">
        <v>0.37409999999999999</v>
      </c>
      <c r="P150" s="8">
        <v>1.2927</v>
      </c>
      <c r="Q150" s="8">
        <v>32.254300000000001</v>
      </c>
      <c r="R150" s="8"/>
    </row>
    <row r="151" spans="1:18" ht="14.25" customHeight="1">
      <c r="A151" s="11">
        <v>45689</v>
      </c>
      <c r="B151" s="7">
        <f>CHOOSE( CONTROL!$C$37, 6.5169, 6.5159) * CHOOSE(CONTROL!$C$20, $D$12, 100%, $F$12)</f>
        <v>6.5168999999999997</v>
      </c>
      <c r="C151" s="7">
        <f>CHOOSE( CONTROL!$C$37, 6.522, 6.521) * CHOOSE(CONTROL!$C$20, $D$12, 100%, $F$12)</f>
        <v>6.5220000000000002</v>
      </c>
      <c r="D151" s="7">
        <f>CHOOSE( CONTROL!$C$37, 6.5151, 6.514) * CHOOSE( CONTROL!$C$20, $D$12, 100%, $F$12)</f>
        <v>6.5151000000000003</v>
      </c>
      <c r="E151" s="10">
        <f>CHOOSE( CONTROL!$C$37, 6.5171, 6.516) * CHOOSE( CONTROL!$C$20, $D$12, 100%, $F$12)</f>
        <v>6.5171000000000001</v>
      </c>
      <c r="F151" s="4">
        <f>CHOOSE( CONTROL!$C$37, 7.1695, 7.1684) * CHOOSE(CONTROL!$C$20, $D$12, 100%, $F$12)</f>
        <v>7.1695000000000002</v>
      </c>
      <c r="G151" s="7">
        <f>CHOOSE( CONTROL!$C$37, 6.4643, 6.4632) * CHOOSE( CONTROL!$C$20, $D$12, 100%, $F$12)</f>
        <v>6.4642999999999997</v>
      </c>
      <c r="H151" s="4">
        <f>CHOOSE( CONTROL!$C$37, 7.3433, 7.3422) * CHOOSE(CONTROL!$C$20, $D$12, 100%, $F$12)</f>
        <v>7.3433000000000002</v>
      </c>
      <c r="I151" s="7">
        <f>CHOOSE( CONTROL!$C$37, 6.4821, 6.4811) * CHOOSE(CONTROL!$C$20, $D$12, 100%, $F$12)</f>
        <v>6.4821</v>
      </c>
      <c r="J151" s="4">
        <f>CHOOSE( CONTROL!$C$37, 6.327, 6.326) * CHOOSE(CONTROL!$C$20, $D$12, 100%, $F$12)</f>
        <v>6.327</v>
      </c>
      <c r="K151" s="4"/>
      <c r="L151" s="8">
        <v>26.469899999999999</v>
      </c>
      <c r="M151" s="8">
        <v>10.8962</v>
      </c>
      <c r="N151" s="8">
        <v>4.4660000000000002</v>
      </c>
      <c r="O151" s="8">
        <v>0.33789999999999998</v>
      </c>
      <c r="P151" s="8">
        <v>1.1676</v>
      </c>
      <c r="Q151" s="8">
        <v>29.132899999999999</v>
      </c>
      <c r="R151" s="8"/>
    </row>
    <row r="152" spans="1:18" ht="14.25" customHeight="1">
      <c r="A152" s="11">
        <v>45717</v>
      </c>
      <c r="B152" s="7">
        <f>CHOOSE( CONTROL!$C$37, 6.3779, 6.3768) * CHOOSE(CONTROL!$C$20, $D$12, 100%, $F$12)</f>
        <v>6.3779000000000003</v>
      </c>
      <c r="C152" s="7">
        <f>CHOOSE( CONTROL!$C$37, 6.383, 6.3819) * CHOOSE(CONTROL!$C$20, $D$12, 100%, $F$12)</f>
        <v>6.383</v>
      </c>
      <c r="D152" s="7">
        <f>CHOOSE( CONTROL!$C$37, 6.3754, 6.3743) * CHOOSE( CONTROL!$C$20, $D$12, 100%, $F$12)</f>
        <v>6.3754</v>
      </c>
      <c r="E152" s="10">
        <f>CHOOSE( CONTROL!$C$37, 6.3776, 6.3765) * CHOOSE( CONTROL!$C$20, $D$12, 100%, $F$12)</f>
        <v>6.3776000000000002</v>
      </c>
      <c r="F152" s="4">
        <f>CHOOSE( CONTROL!$C$37, 7.0304, 7.0293) * CHOOSE(CONTROL!$C$20, $D$12, 100%, $F$12)</f>
        <v>7.0304000000000002</v>
      </c>
      <c r="G152" s="7">
        <f>CHOOSE( CONTROL!$C$37, 6.3267, 6.3256) * CHOOSE( CONTROL!$C$20, $D$12, 100%, $F$12)</f>
        <v>6.3266999999999998</v>
      </c>
      <c r="H152" s="4">
        <f>CHOOSE( CONTROL!$C$37, 7.2062, 7.2051) * CHOOSE(CONTROL!$C$20, $D$12, 100%, $F$12)</f>
        <v>7.2061999999999999</v>
      </c>
      <c r="I152" s="7">
        <f>CHOOSE( CONTROL!$C$37, 6.3455, 6.3444) * CHOOSE(CONTROL!$C$20, $D$12, 100%, $F$12)</f>
        <v>6.3455000000000004</v>
      </c>
      <c r="J152" s="4">
        <f>CHOOSE( CONTROL!$C$37, 6.1923, 6.1913) * CHOOSE(CONTROL!$C$20, $D$12, 100%, $F$12)</f>
        <v>6.1923000000000004</v>
      </c>
      <c r="K152" s="4"/>
      <c r="L152" s="8">
        <v>29.306000000000001</v>
      </c>
      <c r="M152" s="8">
        <v>12.063700000000001</v>
      </c>
      <c r="N152" s="8">
        <v>4.9444999999999997</v>
      </c>
      <c r="O152" s="8">
        <v>0.37409999999999999</v>
      </c>
      <c r="P152" s="8">
        <v>1.2927</v>
      </c>
      <c r="Q152" s="8">
        <v>32.254300000000001</v>
      </c>
      <c r="R152" s="8"/>
    </row>
    <row r="153" spans="1:18" ht="14.25" customHeight="1">
      <c r="A153" s="11">
        <v>45748</v>
      </c>
      <c r="B153" s="7">
        <f>CHOOSE( CONTROL!$C$37, 6.4758, 6.4747) * CHOOSE(CONTROL!$C$20, $D$12, 100%, $F$12)</f>
        <v>6.4757999999999996</v>
      </c>
      <c r="C153" s="7">
        <f>CHOOSE( CONTROL!$C$37, 6.4803, 6.4793) * CHOOSE(CONTROL!$C$20, $D$12, 100%, $F$12)</f>
        <v>6.4802999999999997</v>
      </c>
      <c r="D153" s="7">
        <f>CHOOSE( CONTROL!$C$37, 6.4922, 6.4911) * CHOOSE( CONTROL!$C$20, $D$12, 100%, $F$12)</f>
        <v>6.4922000000000004</v>
      </c>
      <c r="E153" s="10">
        <f>CHOOSE( CONTROL!$C$37, 6.4878, 6.4867) * CHOOSE( CONTROL!$C$20, $D$12, 100%, $F$12)</f>
        <v>6.4878</v>
      </c>
      <c r="F153" s="4">
        <f>CHOOSE( CONTROL!$C$37, 7.2025, 7.2014) * CHOOSE(CONTROL!$C$20, $D$12, 100%, $F$12)</f>
        <v>7.2024999999999997</v>
      </c>
      <c r="G153" s="7">
        <f>CHOOSE( CONTROL!$C$37, 6.4308, 6.4297) * CHOOSE( CONTROL!$C$20, $D$12, 100%, $F$12)</f>
        <v>6.4307999999999996</v>
      </c>
      <c r="H153" s="4">
        <f>CHOOSE( CONTROL!$C$37, 7.3758, 7.3748) * CHOOSE(CONTROL!$C$20, $D$12, 100%, $F$12)</f>
        <v>7.3757999999999999</v>
      </c>
      <c r="I153" s="7">
        <f>CHOOSE( CONTROL!$C$37, 6.4122, 6.4111) * CHOOSE(CONTROL!$C$20, $D$12, 100%, $F$12)</f>
        <v>6.4122000000000003</v>
      </c>
      <c r="J153" s="4">
        <f>CHOOSE( CONTROL!$C$37, 6.2864, 6.2854) * CHOOSE(CONTROL!$C$20, $D$12, 100%, $F$12)</f>
        <v>6.2864000000000004</v>
      </c>
      <c r="K153" s="4"/>
      <c r="L153" s="8">
        <v>30.092199999999998</v>
      </c>
      <c r="M153" s="8">
        <v>11.6745</v>
      </c>
      <c r="N153" s="8">
        <v>4.7850000000000001</v>
      </c>
      <c r="O153" s="8">
        <v>0.36199999999999999</v>
      </c>
      <c r="P153" s="8">
        <v>1.2509999999999999</v>
      </c>
      <c r="Q153" s="8">
        <v>31.213799999999999</v>
      </c>
      <c r="R153" s="8"/>
    </row>
    <row r="154" spans="1:18" ht="14.25" customHeight="1">
      <c r="A154" s="11">
        <v>45778</v>
      </c>
      <c r="B154" s="7">
        <f>CHOOSE( CONTROL!$C$37, 6.6507, 6.6491) * CHOOSE(CONTROL!$C$20, $D$12, 100%, $F$12)</f>
        <v>6.6506999999999996</v>
      </c>
      <c r="C154" s="7">
        <f>CHOOSE( CONTROL!$C$37, 6.6587, 6.6571) * CHOOSE(CONTROL!$C$20, $D$12, 100%, $F$12)</f>
        <v>6.6586999999999996</v>
      </c>
      <c r="D154" s="7">
        <f>CHOOSE( CONTROL!$C$37, 6.6644, 6.6627) * CHOOSE( CONTROL!$C$20, $D$12, 100%, $F$12)</f>
        <v>6.6643999999999997</v>
      </c>
      <c r="E154" s="10">
        <f>CHOOSE( CONTROL!$C$37, 6.6611, 6.6595) * CHOOSE( CONTROL!$C$20, $D$12, 100%, $F$12)</f>
        <v>6.6611000000000002</v>
      </c>
      <c r="F154" s="4">
        <f>CHOOSE( CONTROL!$C$37, 7.376, 7.3743) * CHOOSE(CONTROL!$C$20, $D$12, 100%, $F$12)</f>
        <v>7.3760000000000003</v>
      </c>
      <c r="G154" s="7">
        <f>CHOOSE( CONTROL!$C$37, 6.6018, 6.6002) * CHOOSE( CONTROL!$C$20, $D$12, 100%, $F$12)</f>
        <v>6.6017999999999999</v>
      </c>
      <c r="H154" s="4">
        <f>CHOOSE( CONTROL!$C$37, 7.5469, 7.5453) * CHOOSE(CONTROL!$C$20, $D$12, 100%, $F$12)</f>
        <v>7.5468999999999999</v>
      </c>
      <c r="I154" s="7">
        <f>CHOOSE( CONTROL!$C$37, 6.58, 6.5784) * CHOOSE(CONTROL!$C$20, $D$12, 100%, $F$12)</f>
        <v>6.58</v>
      </c>
      <c r="J154" s="4">
        <f>CHOOSE( CONTROL!$C$37, 6.4545, 6.4529) * CHOOSE(CONTROL!$C$20, $D$12, 100%, $F$12)</f>
        <v>6.4545000000000003</v>
      </c>
      <c r="K154" s="4"/>
      <c r="L154" s="8">
        <v>30.7165</v>
      </c>
      <c r="M154" s="8">
        <v>12.063700000000001</v>
      </c>
      <c r="N154" s="8">
        <v>4.9444999999999997</v>
      </c>
      <c r="O154" s="8">
        <v>0.37409999999999999</v>
      </c>
      <c r="P154" s="8">
        <v>1.2927</v>
      </c>
      <c r="Q154" s="8">
        <v>32.254300000000001</v>
      </c>
      <c r="R154" s="8"/>
    </row>
    <row r="155" spans="1:18" ht="14.25" customHeight="1">
      <c r="A155" s="11">
        <v>45809</v>
      </c>
      <c r="B155" s="7">
        <f>CHOOSE( CONTROL!$C$37, 6.5436, 6.5419) * CHOOSE(CONTROL!$C$20, $D$12, 100%, $F$12)</f>
        <v>6.5435999999999996</v>
      </c>
      <c r="C155" s="7">
        <f>CHOOSE( CONTROL!$C$37, 6.5516, 6.5499) * CHOOSE(CONTROL!$C$20, $D$12, 100%, $F$12)</f>
        <v>6.5515999999999996</v>
      </c>
      <c r="D155" s="7">
        <f>CHOOSE( CONTROL!$C$37, 6.5575, 6.5558) * CHOOSE( CONTROL!$C$20, $D$12, 100%, $F$12)</f>
        <v>6.5575000000000001</v>
      </c>
      <c r="E155" s="10">
        <f>CHOOSE( CONTROL!$C$37, 6.5541, 6.5524) * CHOOSE( CONTROL!$C$20, $D$12, 100%, $F$12)</f>
        <v>6.5541</v>
      </c>
      <c r="F155" s="4">
        <f>CHOOSE( CONTROL!$C$37, 7.2689, 7.2672) * CHOOSE(CONTROL!$C$20, $D$12, 100%, $F$12)</f>
        <v>7.2689000000000004</v>
      </c>
      <c r="G155" s="7">
        <f>CHOOSE( CONTROL!$C$37, 6.4964, 6.4948) * CHOOSE( CONTROL!$C$20, $D$12, 100%, $F$12)</f>
        <v>6.4964000000000004</v>
      </c>
      <c r="H155" s="4">
        <f>CHOOSE( CONTROL!$C$37, 7.4413, 7.4397) * CHOOSE(CONTROL!$C$20, $D$12, 100%, $F$12)</f>
        <v>7.4413</v>
      </c>
      <c r="I155" s="7">
        <f>CHOOSE( CONTROL!$C$37, 6.4772, 6.4756) * CHOOSE(CONTROL!$C$20, $D$12, 100%, $F$12)</f>
        <v>6.4771999999999998</v>
      </c>
      <c r="J155" s="4">
        <f>CHOOSE( CONTROL!$C$37, 6.3507, 6.3491) * CHOOSE(CONTROL!$C$20, $D$12, 100%, $F$12)</f>
        <v>6.3506999999999998</v>
      </c>
      <c r="K155" s="4"/>
      <c r="L155" s="8">
        <v>29.7257</v>
      </c>
      <c r="M155" s="8">
        <v>11.6745</v>
      </c>
      <c r="N155" s="8">
        <v>4.7850000000000001</v>
      </c>
      <c r="O155" s="8">
        <v>0.36199999999999999</v>
      </c>
      <c r="P155" s="8">
        <v>1.2509999999999999</v>
      </c>
      <c r="Q155" s="8">
        <v>31.213799999999999</v>
      </c>
      <c r="R155" s="8"/>
    </row>
    <row r="156" spans="1:18" ht="14.25" customHeight="1">
      <c r="A156" s="11">
        <v>45839</v>
      </c>
      <c r="B156" s="7">
        <f>CHOOSE( CONTROL!$C$37, 6.8257, 6.8241) * CHOOSE(CONTROL!$C$20, $D$12, 100%, $F$12)</f>
        <v>6.8257000000000003</v>
      </c>
      <c r="C156" s="7">
        <f>CHOOSE( CONTROL!$C$37, 6.8337, 6.8321) * CHOOSE(CONTROL!$C$20, $D$12, 100%, $F$12)</f>
        <v>6.8337000000000003</v>
      </c>
      <c r="D156" s="7">
        <f>CHOOSE( CONTROL!$C$37, 6.8399, 6.8383) * CHOOSE( CONTROL!$C$20, $D$12, 100%, $F$12)</f>
        <v>6.8399000000000001</v>
      </c>
      <c r="E156" s="10">
        <f>CHOOSE( CONTROL!$C$37, 6.8364, 6.8348) * CHOOSE( CONTROL!$C$20, $D$12, 100%, $F$12)</f>
        <v>6.8364000000000003</v>
      </c>
      <c r="F156" s="4">
        <f>CHOOSE( CONTROL!$C$37, 7.551, 7.5493) * CHOOSE(CONTROL!$C$20, $D$12, 100%, $F$12)</f>
        <v>7.5510000000000002</v>
      </c>
      <c r="G156" s="7">
        <f>CHOOSE( CONTROL!$C$37, 6.7749, 6.7732) * CHOOSE( CONTROL!$C$20, $D$12, 100%, $F$12)</f>
        <v>6.7748999999999997</v>
      </c>
      <c r="H156" s="4">
        <f>CHOOSE( CONTROL!$C$37, 7.7195, 7.7179) * CHOOSE(CONTROL!$C$20, $D$12, 100%, $F$12)</f>
        <v>7.7195</v>
      </c>
      <c r="I156" s="7">
        <f>CHOOSE( CONTROL!$C$37, 6.7516, 6.7499) * CHOOSE(CONTROL!$C$20, $D$12, 100%, $F$12)</f>
        <v>6.7515999999999998</v>
      </c>
      <c r="J156" s="4">
        <f>CHOOSE( CONTROL!$C$37, 6.6239, 6.6223) * CHOOSE(CONTROL!$C$20, $D$12, 100%, $F$12)</f>
        <v>6.6238999999999999</v>
      </c>
      <c r="K156" s="4"/>
      <c r="L156" s="8">
        <v>30.7165</v>
      </c>
      <c r="M156" s="8">
        <v>12.063700000000001</v>
      </c>
      <c r="N156" s="8">
        <v>4.9444999999999997</v>
      </c>
      <c r="O156" s="8">
        <v>0.37409999999999999</v>
      </c>
      <c r="P156" s="8">
        <v>1.2927</v>
      </c>
      <c r="Q156" s="8">
        <v>32.254300000000001</v>
      </c>
      <c r="R156" s="8"/>
    </row>
    <row r="157" spans="1:18" ht="14.25" customHeight="1">
      <c r="A157" s="11">
        <v>45870</v>
      </c>
      <c r="B157" s="7">
        <f>CHOOSE( CONTROL!$C$37, 6.2978, 6.2961) * CHOOSE(CONTROL!$C$20, $D$12, 100%, $F$12)</f>
        <v>6.2977999999999996</v>
      </c>
      <c r="C157" s="7">
        <f>CHOOSE( CONTROL!$C$37, 6.3058, 6.3041) * CHOOSE(CONTROL!$C$20, $D$12, 100%, $F$12)</f>
        <v>6.3057999999999996</v>
      </c>
      <c r="D157" s="7">
        <f>CHOOSE( CONTROL!$C$37, 6.3121, 6.3104) * CHOOSE( CONTROL!$C$20, $D$12, 100%, $F$12)</f>
        <v>6.3121</v>
      </c>
      <c r="E157" s="10">
        <f>CHOOSE( CONTROL!$C$37, 6.3086, 6.3069) * CHOOSE( CONTROL!$C$20, $D$12, 100%, $F$12)</f>
        <v>6.3086000000000002</v>
      </c>
      <c r="F157" s="4">
        <f>CHOOSE( CONTROL!$C$37, 7.0231, 7.0214) * CHOOSE(CONTROL!$C$20, $D$12, 100%, $F$12)</f>
        <v>7.0231000000000003</v>
      </c>
      <c r="G157" s="7">
        <f>CHOOSE( CONTROL!$C$37, 6.2544, 6.2527) * CHOOSE( CONTROL!$C$20, $D$12, 100%, $F$12)</f>
        <v>6.2544000000000004</v>
      </c>
      <c r="H157" s="4">
        <f>CHOOSE( CONTROL!$C$37, 7.1989, 7.1973) * CHOOSE(CONTROL!$C$20, $D$12, 100%, $F$12)</f>
        <v>7.1989000000000001</v>
      </c>
      <c r="I157" s="7">
        <f>CHOOSE( CONTROL!$C$37, 6.2404, 6.2388) * CHOOSE(CONTROL!$C$20, $D$12, 100%, $F$12)</f>
        <v>6.2404000000000002</v>
      </c>
      <c r="J157" s="4">
        <f>CHOOSE( CONTROL!$C$37, 6.1127, 6.1111) * CHOOSE(CONTROL!$C$20, $D$12, 100%, $F$12)</f>
        <v>6.1127000000000002</v>
      </c>
      <c r="K157" s="4"/>
      <c r="L157" s="8">
        <v>30.7165</v>
      </c>
      <c r="M157" s="8">
        <v>12.063700000000001</v>
      </c>
      <c r="N157" s="8">
        <v>4.9444999999999997</v>
      </c>
      <c r="O157" s="8">
        <v>0.37409999999999999</v>
      </c>
      <c r="P157" s="8">
        <v>1.2927</v>
      </c>
      <c r="Q157" s="8">
        <v>32.254300000000001</v>
      </c>
      <c r="R157" s="8"/>
    </row>
    <row r="158" spans="1:18" ht="14.25" customHeight="1">
      <c r="A158" s="11">
        <v>45901</v>
      </c>
      <c r="B158" s="7">
        <f>CHOOSE( CONTROL!$C$37, 6.1656, 6.1639) * CHOOSE(CONTROL!$C$20, $D$12, 100%, $F$12)</f>
        <v>6.1656000000000004</v>
      </c>
      <c r="C158" s="7">
        <f>CHOOSE( CONTROL!$C$37, 6.1736, 6.1719) * CHOOSE(CONTROL!$C$20, $D$12, 100%, $F$12)</f>
        <v>6.1736000000000004</v>
      </c>
      <c r="D158" s="7">
        <f>CHOOSE( CONTROL!$C$37, 6.1798, 6.1781) * CHOOSE( CONTROL!$C$20, $D$12, 100%, $F$12)</f>
        <v>6.1798000000000002</v>
      </c>
      <c r="E158" s="10">
        <f>CHOOSE( CONTROL!$C$37, 6.1763, 6.1746) * CHOOSE( CONTROL!$C$20, $D$12, 100%, $F$12)</f>
        <v>6.1763000000000003</v>
      </c>
      <c r="F158" s="4">
        <f>CHOOSE( CONTROL!$C$37, 6.8909, 6.8892) * CHOOSE(CONTROL!$C$20, $D$12, 100%, $F$12)</f>
        <v>6.8909000000000002</v>
      </c>
      <c r="G158" s="7">
        <f>CHOOSE( CONTROL!$C$37, 6.1239, 6.1223) * CHOOSE( CONTROL!$C$20, $D$12, 100%, $F$12)</f>
        <v>6.1238999999999999</v>
      </c>
      <c r="H158" s="4">
        <f>CHOOSE( CONTROL!$C$37, 7.0686, 7.0669) * CHOOSE(CONTROL!$C$20, $D$12, 100%, $F$12)</f>
        <v>7.0686</v>
      </c>
      <c r="I158" s="7">
        <f>CHOOSE( CONTROL!$C$37, 6.1119, 6.1103) * CHOOSE(CONTROL!$C$20, $D$12, 100%, $F$12)</f>
        <v>6.1119000000000003</v>
      </c>
      <c r="J158" s="4">
        <f>CHOOSE( CONTROL!$C$37, 5.9847, 5.9831) * CHOOSE(CONTROL!$C$20, $D$12, 100%, $F$12)</f>
        <v>5.9847000000000001</v>
      </c>
      <c r="K158" s="4"/>
      <c r="L158" s="8">
        <v>29.7257</v>
      </c>
      <c r="M158" s="8">
        <v>11.6745</v>
      </c>
      <c r="N158" s="8">
        <v>4.7850000000000001</v>
      </c>
      <c r="O158" s="8">
        <v>0.36199999999999999</v>
      </c>
      <c r="P158" s="8">
        <v>1.2509999999999999</v>
      </c>
      <c r="Q158" s="8">
        <v>31.213799999999999</v>
      </c>
      <c r="R158" s="8"/>
    </row>
    <row r="159" spans="1:18" ht="14.25" customHeight="1">
      <c r="A159" s="11">
        <v>45931</v>
      </c>
      <c r="B159" s="7">
        <f>CHOOSE( CONTROL!$C$37, 6.4378, 6.4367) * CHOOSE(CONTROL!$C$20, $D$12, 100%, $F$12)</f>
        <v>6.4378000000000002</v>
      </c>
      <c r="C159" s="7">
        <f>CHOOSE( CONTROL!$C$37, 6.4431, 6.442) * CHOOSE(CONTROL!$C$20, $D$12, 100%, $F$12)</f>
        <v>6.4431000000000003</v>
      </c>
      <c r="D159" s="7">
        <f>CHOOSE( CONTROL!$C$37, 6.4551, 6.4541) * CHOOSE( CONTROL!$C$20, $D$12, 100%, $F$12)</f>
        <v>6.4550999999999998</v>
      </c>
      <c r="E159" s="10">
        <f>CHOOSE( CONTROL!$C$37, 6.4506, 6.4495) * CHOOSE( CONTROL!$C$20, $D$12, 100%, $F$12)</f>
        <v>6.4505999999999997</v>
      </c>
      <c r="F159" s="4">
        <f>CHOOSE( CONTROL!$C$37, 7.1648, 7.1637) * CHOOSE(CONTROL!$C$20, $D$12, 100%, $F$12)</f>
        <v>7.1647999999999996</v>
      </c>
      <c r="G159" s="7">
        <f>CHOOSE( CONTROL!$C$37, 6.3941, 6.3931) * CHOOSE( CONTROL!$C$20, $D$12, 100%, $F$12)</f>
        <v>6.3940999999999999</v>
      </c>
      <c r="H159" s="4">
        <f>CHOOSE( CONTROL!$C$37, 7.3387, 7.3376) * CHOOSE(CONTROL!$C$20, $D$12, 100%, $F$12)</f>
        <v>7.3387000000000002</v>
      </c>
      <c r="I159" s="7">
        <f>CHOOSE( CONTROL!$C$37, 6.378, 6.3769) * CHOOSE(CONTROL!$C$20, $D$12, 100%, $F$12)</f>
        <v>6.3780000000000001</v>
      </c>
      <c r="J159" s="4">
        <f>CHOOSE( CONTROL!$C$37, 6.25, 6.2489) * CHOOSE(CONTROL!$C$20, $D$12, 100%, $F$12)</f>
        <v>6.25</v>
      </c>
      <c r="K159" s="4"/>
      <c r="L159" s="8">
        <v>31.095300000000002</v>
      </c>
      <c r="M159" s="8">
        <v>12.063700000000001</v>
      </c>
      <c r="N159" s="8">
        <v>4.9444999999999997</v>
      </c>
      <c r="O159" s="8">
        <v>0.37409999999999999</v>
      </c>
      <c r="P159" s="8">
        <v>1.2927</v>
      </c>
      <c r="Q159" s="8">
        <v>32.254300000000001</v>
      </c>
      <c r="R159" s="8"/>
    </row>
    <row r="160" spans="1:18" ht="14.25" customHeight="1">
      <c r="A160" s="11">
        <v>45962</v>
      </c>
      <c r="B160" s="7">
        <f>CHOOSE( CONTROL!$C$37, 6.944, 6.9429) * CHOOSE(CONTROL!$C$20, $D$12, 100%, $F$12)</f>
        <v>6.944</v>
      </c>
      <c r="C160" s="7">
        <f>CHOOSE( CONTROL!$C$37, 6.9491, 6.948) * CHOOSE(CONTROL!$C$20, $D$12, 100%, $F$12)</f>
        <v>6.9490999999999996</v>
      </c>
      <c r="D160" s="7">
        <f>CHOOSE( CONTROL!$C$37, 6.9276, 6.9265) * CHOOSE( CONTROL!$C$20, $D$12, 100%, $F$12)</f>
        <v>6.9276</v>
      </c>
      <c r="E160" s="10">
        <f>CHOOSE( CONTROL!$C$37, 6.9349, 6.9338) * CHOOSE( CONTROL!$C$20, $D$12, 100%, $F$12)</f>
        <v>6.9348999999999998</v>
      </c>
      <c r="F160" s="4">
        <f>CHOOSE( CONTROL!$C$37, 7.5966, 7.5955) * CHOOSE(CONTROL!$C$20, $D$12, 100%, $F$12)</f>
        <v>7.5965999999999996</v>
      </c>
      <c r="G160" s="7">
        <f>CHOOSE( CONTROL!$C$37, 6.8798, 6.8788) * CHOOSE( CONTROL!$C$20, $D$12, 100%, $F$12)</f>
        <v>6.8798000000000004</v>
      </c>
      <c r="H160" s="4">
        <f>CHOOSE( CONTROL!$C$37, 7.7644, 7.7634) * CHOOSE(CONTROL!$C$20, $D$12, 100%, $F$12)</f>
        <v>7.7644000000000002</v>
      </c>
      <c r="I160" s="7">
        <f>CHOOSE( CONTROL!$C$37, 6.92, 6.9189) * CHOOSE(CONTROL!$C$20, $D$12, 100%, $F$12)</f>
        <v>6.92</v>
      </c>
      <c r="J160" s="4">
        <f>CHOOSE( CONTROL!$C$37, 6.7406, 6.7395) * CHOOSE(CONTROL!$C$20, $D$12, 100%, $F$12)</f>
        <v>6.7405999999999997</v>
      </c>
      <c r="K160" s="4"/>
      <c r="L160" s="8">
        <v>28.360600000000002</v>
      </c>
      <c r="M160" s="8">
        <v>11.6745</v>
      </c>
      <c r="N160" s="8">
        <v>4.7850000000000001</v>
      </c>
      <c r="O160" s="8">
        <v>0.36199999999999999</v>
      </c>
      <c r="P160" s="8">
        <v>1.2509999999999999</v>
      </c>
      <c r="Q160" s="8">
        <v>31.213799999999999</v>
      </c>
      <c r="R160" s="8"/>
    </row>
    <row r="161" spans="1:18" ht="14.25" customHeight="1">
      <c r="A161" s="11">
        <v>45992</v>
      </c>
      <c r="B161" s="7">
        <f>CHOOSE( CONTROL!$C$37, 6.9314, 6.9303) * CHOOSE(CONTROL!$C$20, $D$12, 100%, $F$12)</f>
        <v>6.9314</v>
      </c>
      <c r="C161" s="7">
        <f>CHOOSE( CONTROL!$C$37, 6.9365, 6.9354) * CHOOSE(CONTROL!$C$20, $D$12, 100%, $F$12)</f>
        <v>6.9364999999999997</v>
      </c>
      <c r="D161" s="7">
        <f>CHOOSE( CONTROL!$C$37, 6.9165, 6.9154) * CHOOSE( CONTROL!$C$20, $D$12, 100%, $F$12)</f>
        <v>6.9165000000000001</v>
      </c>
      <c r="E161" s="10">
        <f>CHOOSE( CONTROL!$C$37, 6.9233, 6.9222) * CHOOSE( CONTROL!$C$20, $D$12, 100%, $F$12)</f>
        <v>6.9233000000000002</v>
      </c>
      <c r="F161" s="4">
        <f>CHOOSE( CONTROL!$C$37, 7.5839, 7.5828) * CHOOSE(CONTROL!$C$20, $D$12, 100%, $F$12)</f>
        <v>7.5838999999999999</v>
      </c>
      <c r="G161" s="7">
        <f>CHOOSE( CONTROL!$C$37, 6.8685, 6.8674) * CHOOSE( CONTROL!$C$20, $D$12, 100%, $F$12)</f>
        <v>6.8685</v>
      </c>
      <c r="H161" s="4">
        <f>CHOOSE( CONTROL!$C$37, 7.752, 7.7509) * CHOOSE(CONTROL!$C$20, $D$12, 100%, $F$12)</f>
        <v>7.7519999999999998</v>
      </c>
      <c r="I161" s="7">
        <f>CHOOSE( CONTROL!$C$37, 6.9126, 6.9115) * CHOOSE(CONTROL!$C$20, $D$12, 100%, $F$12)</f>
        <v>6.9126000000000003</v>
      </c>
      <c r="J161" s="4">
        <f>CHOOSE( CONTROL!$C$37, 6.7283, 6.7273) * CHOOSE(CONTROL!$C$20, $D$12, 100%, $F$12)</f>
        <v>6.7282999999999999</v>
      </c>
      <c r="K161" s="4"/>
      <c r="L161" s="8">
        <v>29.306000000000001</v>
      </c>
      <c r="M161" s="8">
        <v>12.063700000000001</v>
      </c>
      <c r="N161" s="8">
        <v>4.9444999999999997</v>
      </c>
      <c r="O161" s="8">
        <v>0.37409999999999999</v>
      </c>
      <c r="P161" s="8">
        <v>1.2927</v>
      </c>
      <c r="Q161" s="8">
        <v>32.254300000000001</v>
      </c>
      <c r="R161" s="8"/>
    </row>
    <row r="162" spans="1:18" ht="14.25" customHeight="1">
      <c r="A162" s="11">
        <v>46023</v>
      </c>
      <c r="B162" s="7">
        <f>CHOOSE( CONTROL!$C$37, 7.1868, 7.1857) * CHOOSE(CONTROL!$C$20, $D$12, 100%, $F$12)</f>
        <v>7.1867999999999999</v>
      </c>
      <c r="C162" s="7">
        <f>CHOOSE( CONTROL!$C$37, 7.1918, 7.1908) * CHOOSE(CONTROL!$C$20, $D$12, 100%, $F$12)</f>
        <v>7.1917999999999997</v>
      </c>
      <c r="D162" s="7">
        <f>CHOOSE( CONTROL!$C$37, 7.185, 7.1839) * CHOOSE( CONTROL!$C$20, $D$12, 100%, $F$12)</f>
        <v>7.1849999999999996</v>
      </c>
      <c r="E162" s="10">
        <f>CHOOSE( CONTROL!$C$37, 7.187, 7.1859) * CHOOSE( CONTROL!$C$20, $D$12, 100%, $F$12)</f>
        <v>7.1870000000000003</v>
      </c>
      <c r="F162" s="4">
        <f>CHOOSE( CONTROL!$C$37, 7.8393, 7.8382) * CHOOSE(CONTROL!$C$20, $D$12, 100%, $F$12)</f>
        <v>7.8392999999999997</v>
      </c>
      <c r="G162" s="7">
        <f>CHOOSE( CONTROL!$C$37, 7.1248, 7.1237) * CHOOSE( CONTROL!$C$20, $D$12, 100%, $F$12)</f>
        <v>7.1247999999999996</v>
      </c>
      <c r="H162" s="4">
        <f>CHOOSE( CONTROL!$C$37, 8.0038, 8.0027) * CHOOSE(CONTROL!$C$20, $D$12, 100%, $F$12)</f>
        <v>8.0038</v>
      </c>
      <c r="I162" s="7">
        <f>CHOOSE( CONTROL!$C$37, 7.1313, 7.1302) * CHOOSE(CONTROL!$C$20, $D$12, 100%, $F$12)</f>
        <v>7.1313000000000004</v>
      </c>
      <c r="J162" s="4">
        <f>CHOOSE( CONTROL!$C$37, 6.9756, 6.9745) * CHOOSE(CONTROL!$C$20, $D$12, 100%, $F$12)</f>
        <v>6.9756</v>
      </c>
      <c r="K162" s="4"/>
      <c r="L162" s="8">
        <v>29.306000000000001</v>
      </c>
      <c r="M162" s="8">
        <v>12.063700000000001</v>
      </c>
      <c r="N162" s="8">
        <v>4.9444999999999997</v>
      </c>
      <c r="O162" s="8">
        <v>0.37409999999999999</v>
      </c>
      <c r="P162" s="8">
        <v>1.2927</v>
      </c>
      <c r="Q162" s="8">
        <v>32.070099999999996</v>
      </c>
      <c r="R162" s="8"/>
    </row>
    <row r="163" spans="1:18" ht="14.25" customHeight="1">
      <c r="A163" s="11">
        <v>46054</v>
      </c>
      <c r="B163" s="7">
        <f>CHOOSE( CONTROL!$C$37, 6.7211, 6.72) * CHOOSE(CONTROL!$C$20, $D$12, 100%, $F$12)</f>
        <v>6.7210999999999999</v>
      </c>
      <c r="C163" s="7">
        <f>CHOOSE( CONTROL!$C$37, 6.7262, 6.7251) * CHOOSE(CONTROL!$C$20, $D$12, 100%, $F$12)</f>
        <v>6.7262000000000004</v>
      </c>
      <c r="D163" s="7">
        <f>CHOOSE( CONTROL!$C$37, 6.7192, 6.7181) * CHOOSE( CONTROL!$C$20, $D$12, 100%, $F$12)</f>
        <v>6.7191999999999998</v>
      </c>
      <c r="E163" s="10">
        <f>CHOOSE( CONTROL!$C$37, 6.7212, 6.7201) * CHOOSE( CONTROL!$C$20, $D$12, 100%, $F$12)</f>
        <v>6.7211999999999996</v>
      </c>
      <c r="F163" s="4">
        <f>CHOOSE( CONTROL!$C$37, 7.3736, 7.3726) * CHOOSE(CONTROL!$C$20, $D$12, 100%, $F$12)</f>
        <v>7.3735999999999997</v>
      </c>
      <c r="G163" s="7">
        <f>CHOOSE( CONTROL!$C$37, 6.6656, 6.6645) * CHOOSE( CONTROL!$C$20, $D$12, 100%, $F$12)</f>
        <v>6.6656000000000004</v>
      </c>
      <c r="H163" s="4">
        <f>CHOOSE( CONTROL!$C$37, 7.5446, 7.5435) * CHOOSE(CONTROL!$C$20, $D$12, 100%, $F$12)</f>
        <v>7.5446</v>
      </c>
      <c r="I163" s="7">
        <f>CHOOSE( CONTROL!$C$37, 6.6799, 6.6789) * CHOOSE(CONTROL!$C$20, $D$12, 100%, $F$12)</f>
        <v>6.6798999999999999</v>
      </c>
      <c r="J163" s="4">
        <f>CHOOSE( CONTROL!$C$37, 6.5247, 6.5236) * CHOOSE(CONTROL!$C$20, $D$12, 100%, $F$12)</f>
        <v>6.5247000000000002</v>
      </c>
      <c r="K163" s="4"/>
      <c r="L163" s="8">
        <v>26.469899999999999</v>
      </c>
      <c r="M163" s="8">
        <v>10.8962</v>
      </c>
      <c r="N163" s="8">
        <v>4.4660000000000002</v>
      </c>
      <c r="O163" s="8">
        <v>0.33789999999999998</v>
      </c>
      <c r="P163" s="8">
        <v>1.1676</v>
      </c>
      <c r="Q163" s="8">
        <v>28.9666</v>
      </c>
      <c r="R163" s="8"/>
    </row>
    <row r="164" spans="1:18" ht="14.25" customHeight="1">
      <c r="A164" s="11">
        <v>46082</v>
      </c>
      <c r="B164" s="7">
        <f>CHOOSE( CONTROL!$C$37, 6.5777, 6.5766) * CHOOSE(CONTROL!$C$20, $D$12, 100%, $F$12)</f>
        <v>6.5777000000000001</v>
      </c>
      <c r="C164" s="7">
        <f>CHOOSE( CONTROL!$C$37, 6.5828, 6.5817) * CHOOSE(CONTROL!$C$20, $D$12, 100%, $F$12)</f>
        <v>6.5827999999999998</v>
      </c>
      <c r="D164" s="7">
        <f>CHOOSE( CONTROL!$C$37, 6.5752, 6.5741) * CHOOSE( CONTROL!$C$20, $D$12, 100%, $F$12)</f>
        <v>6.5751999999999997</v>
      </c>
      <c r="E164" s="10">
        <f>CHOOSE( CONTROL!$C$37, 6.5774, 6.5763) * CHOOSE( CONTROL!$C$20, $D$12, 100%, $F$12)</f>
        <v>6.5773999999999999</v>
      </c>
      <c r="F164" s="4">
        <f>CHOOSE( CONTROL!$C$37, 7.2302, 7.2291) * CHOOSE(CONTROL!$C$20, $D$12, 100%, $F$12)</f>
        <v>7.2302</v>
      </c>
      <c r="G164" s="7">
        <f>CHOOSE( CONTROL!$C$37, 6.5237, 6.5226) * CHOOSE( CONTROL!$C$20, $D$12, 100%, $F$12)</f>
        <v>6.5236999999999998</v>
      </c>
      <c r="H164" s="4">
        <f>CHOOSE( CONTROL!$C$37, 7.4032, 7.4021) * CHOOSE(CONTROL!$C$20, $D$12, 100%, $F$12)</f>
        <v>7.4032</v>
      </c>
      <c r="I164" s="7">
        <f>CHOOSE( CONTROL!$C$37, 6.539, 6.538) * CHOOSE(CONTROL!$C$20, $D$12, 100%, $F$12)</f>
        <v>6.5389999999999997</v>
      </c>
      <c r="J164" s="4">
        <f>CHOOSE( CONTROL!$C$37, 6.3858, 6.3848) * CHOOSE(CONTROL!$C$20, $D$12, 100%, $F$12)</f>
        <v>6.3857999999999997</v>
      </c>
      <c r="K164" s="4"/>
      <c r="L164" s="8">
        <v>29.306000000000001</v>
      </c>
      <c r="M164" s="8">
        <v>12.063700000000001</v>
      </c>
      <c r="N164" s="8">
        <v>4.9444999999999997</v>
      </c>
      <c r="O164" s="8">
        <v>0.37409999999999999</v>
      </c>
      <c r="P164" s="8">
        <v>1.2927</v>
      </c>
      <c r="Q164" s="8">
        <v>32.070099999999996</v>
      </c>
      <c r="R164" s="8"/>
    </row>
    <row r="165" spans="1:18" ht="14.25" customHeight="1">
      <c r="A165" s="11">
        <v>46113</v>
      </c>
      <c r="B165" s="7">
        <f>CHOOSE( CONTROL!$C$37, 6.6787, 6.6776) * CHOOSE(CONTROL!$C$20, $D$12, 100%, $F$12)</f>
        <v>6.6787000000000001</v>
      </c>
      <c r="C165" s="7">
        <f>CHOOSE( CONTROL!$C$37, 6.6832, 6.6821) * CHOOSE(CONTROL!$C$20, $D$12, 100%, $F$12)</f>
        <v>6.6832000000000003</v>
      </c>
      <c r="D165" s="7">
        <f>CHOOSE( CONTROL!$C$37, 6.695, 6.6939) * CHOOSE( CONTROL!$C$20, $D$12, 100%, $F$12)</f>
        <v>6.6950000000000003</v>
      </c>
      <c r="E165" s="10">
        <f>CHOOSE( CONTROL!$C$37, 6.6906, 6.6895) * CHOOSE( CONTROL!$C$20, $D$12, 100%, $F$12)</f>
        <v>6.6905999999999999</v>
      </c>
      <c r="F165" s="4">
        <f>CHOOSE( CONTROL!$C$37, 7.4053, 7.4042) * CHOOSE(CONTROL!$C$20, $D$12, 100%, $F$12)</f>
        <v>7.4053000000000004</v>
      </c>
      <c r="G165" s="7">
        <f>CHOOSE( CONTROL!$C$37, 6.6308, 6.6297) * CHOOSE( CONTROL!$C$20, $D$12, 100%, $F$12)</f>
        <v>6.6307999999999998</v>
      </c>
      <c r="H165" s="4">
        <f>CHOOSE( CONTROL!$C$37, 7.5758, 7.5748) * CHOOSE(CONTROL!$C$20, $D$12, 100%, $F$12)</f>
        <v>7.5758000000000001</v>
      </c>
      <c r="I165" s="7">
        <f>CHOOSE( CONTROL!$C$37, 6.6087, 6.6077) * CHOOSE(CONTROL!$C$20, $D$12, 100%, $F$12)</f>
        <v>6.6086999999999998</v>
      </c>
      <c r="J165" s="4">
        <f>CHOOSE( CONTROL!$C$37, 6.4829, 6.4818) * CHOOSE(CONTROL!$C$20, $D$12, 100%, $F$12)</f>
        <v>6.4828999999999999</v>
      </c>
      <c r="K165" s="4"/>
      <c r="L165" s="8">
        <v>30.092199999999998</v>
      </c>
      <c r="M165" s="8">
        <v>11.6745</v>
      </c>
      <c r="N165" s="8">
        <v>4.7850000000000001</v>
      </c>
      <c r="O165" s="8">
        <v>0.36199999999999999</v>
      </c>
      <c r="P165" s="8">
        <v>1.2509999999999999</v>
      </c>
      <c r="Q165" s="8">
        <v>31.035599999999999</v>
      </c>
      <c r="R165" s="8"/>
    </row>
    <row r="166" spans="1:18" ht="14.25" customHeight="1">
      <c r="A166" s="11">
        <v>46143</v>
      </c>
      <c r="B166" s="7">
        <f>CHOOSE( CONTROL!$C$37, 6.859, 6.8573) * CHOOSE(CONTROL!$C$20, $D$12, 100%, $F$12)</f>
        <v>6.859</v>
      </c>
      <c r="C166" s="7">
        <f>CHOOSE( CONTROL!$C$37, 6.867, 6.8653) * CHOOSE(CONTROL!$C$20, $D$12, 100%, $F$12)</f>
        <v>6.867</v>
      </c>
      <c r="D166" s="7">
        <f>CHOOSE( CONTROL!$C$37, 6.8726, 6.871) * CHOOSE( CONTROL!$C$20, $D$12, 100%, $F$12)</f>
        <v>6.8726000000000003</v>
      </c>
      <c r="E166" s="10">
        <f>CHOOSE( CONTROL!$C$37, 6.8694, 6.8677) * CHOOSE( CONTROL!$C$20, $D$12, 100%, $F$12)</f>
        <v>6.8693999999999997</v>
      </c>
      <c r="F166" s="4">
        <f>CHOOSE( CONTROL!$C$37, 7.5843, 7.5826) * CHOOSE(CONTROL!$C$20, $D$12, 100%, $F$12)</f>
        <v>7.5842999999999998</v>
      </c>
      <c r="G166" s="7">
        <f>CHOOSE( CONTROL!$C$37, 6.8072, 6.8055) * CHOOSE( CONTROL!$C$20, $D$12, 100%, $F$12)</f>
        <v>6.8071999999999999</v>
      </c>
      <c r="H166" s="4">
        <f>CHOOSE( CONTROL!$C$37, 7.7523, 7.7506) * CHOOSE(CONTROL!$C$20, $D$12, 100%, $F$12)</f>
        <v>7.7523</v>
      </c>
      <c r="I166" s="7">
        <f>CHOOSE( CONTROL!$C$37, 6.7818, 6.7802) * CHOOSE(CONTROL!$C$20, $D$12, 100%, $F$12)</f>
        <v>6.7817999999999996</v>
      </c>
      <c r="J166" s="4">
        <f>CHOOSE( CONTROL!$C$37, 6.6561, 6.6545) * CHOOSE(CONTROL!$C$20, $D$12, 100%, $F$12)</f>
        <v>6.6561000000000003</v>
      </c>
      <c r="K166" s="4"/>
      <c r="L166" s="8">
        <v>30.7165</v>
      </c>
      <c r="M166" s="8">
        <v>12.063700000000001</v>
      </c>
      <c r="N166" s="8">
        <v>4.9444999999999997</v>
      </c>
      <c r="O166" s="8">
        <v>0.37409999999999999</v>
      </c>
      <c r="P166" s="8">
        <v>1.2927</v>
      </c>
      <c r="Q166" s="8">
        <v>32.070099999999996</v>
      </c>
      <c r="R166" s="8"/>
    </row>
    <row r="167" spans="1:18" ht="14.25" customHeight="1">
      <c r="A167" s="11">
        <v>46174</v>
      </c>
      <c r="B167" s="7">
        <f>CHOOSE( CONTROL!$C$37, 6.7485, 6.7468) * CHOOSE(CONTROL!$C$20, $D$12, 100%, $F$12)</f>
        <v>6.7484999999999999</v>
      </c>
      <c r="C167" s="7">
        <f>CHOOSE( CONTROL!$C$37, 6.7565, 6.7548) * CHOOSE(CONTROL!$C$20, $D$12, 100%, $F$12)</f>
        <v>6.7565</v>
      </c>
      <c r="D167" s="7">
        <f>CHOOSE( CONTROL!$C$37, 6.7624, 6.7607) * CHOOSE( CONTROL!$C$20, $D$12, 100%, $F$12)</f>
        <v>6.7624000000000004</v>
      </c>
      <c r="E167" s="10">
        <f>CHOOSE( CONTROL!$C$37, 6.759, 6.7573) * CHOOSE( CONTROL!$C$20, $D$12, 100%, $F$12)</f>
        <v>6.7590000000000003</v>
      </c>
      <c r="F167" s="4">
        <f>CHOOSE( CONTROL!$C$37, 7.4738, 7.4721) * CHOOSE(CONTROL!$C$20, $D$12, 100%, $F$12)</f>
        <v>7.4737999999999998</v>
      </c>
      <c r="G167" s="7">
        <f>CHOOSE( CONTROL!$C$37, 6.6984, 6.6968) * CHOOSE( CONTROL!$C$20, $D$12, 100%, $F$12)</f>
        <v>6.6984000000000004</v>
      </c>
      <c r="H167" s="4">
        <f>CHOOSE( CONTROL!$C$37, 7.6433, 7.6417) * CHOOSE(CONTROL!$C$20, $D$12, 100%, $F$12)</f>
        <v>7.6433</v>
      </c>
      <c r="I167" s="7">
        <f>CHOOSE( CONTROL!$C$37, 6.6757, 6.6741) * CHOOSE(CONTROL!$C$20, $D$12, 100%, $F$12)</f>
        <v>6.6757</v>
      </c>
      <c r="J167" s="4">
        <f>CHOOSE( CONTROL!$C$37, 6.5491, 6.5475) * CHOOSE(CONTROL!$C$20, $D$12, 100%, $F$12)</f>
        <v>6.5491000000000001</v>
      </c>
      <c r="K167" s="4"/>
      <c r="L167" s="8">
        <v>29.7257</v>
      </c>
      <c r="M167" s="8">
        <v>11.6745</v>
      </c>
      <c r="N167" s="8">
        <v>4.7850000000000001</v>
      </c>
      <c r="O167" s="8">
        <v>0.36199999999999999</v>
      </c>
      <c r="P167" s="8">
        <v>1.2509999999999999</v>
      </c>
      <c r="Q167" s="8">
        <v>31.035599999999999</v>
      </c>
      <c r="R167" s="8"/>
    </row>
    <row r="168" spans="1:18" ht="14.25" customHeight="1">
      <c r="A168" s="11">
        <v>46204</v>
      </c>
      <c r="B168" s="7">
        <f>CHOOSE( CONTROL!$C$37, 7.0394, 7.0378) * CHOOSE(CONTROL!$C$20, $D$12, 100%, $F$12)</f>
        <v>7.0393999999999997</v>
      </c>
      <c r="C168" s="7">
        <f>CHOOSE( CONTROL!$C$37, 7.0474, 7.0458) * CHOOSE(CONTROL!$C$20, $D$12, 100%, $F$12)</f>
        <v>7.0473999999999997</v>
      </c>
      <c r="D168" s="7">
        <f>CHOOSE( CONTROL!$C$37, 7.0537, 7.052) * CHOOSE( CONTROL!$C$20, $D$12, 100%, $F$12)</f>
        <v>7.0537000000000001</v>
      </c>
      <c r="E168" s="10">
        <f>CHOOSE( CONTROL!$C$37, 7.0502, 7.0485) * CHOOSE( CONTROL!$C$20, $D$12, 100%, $F$12)</f>
        <v>7.0502000000000002</v>
      </c>
      <c r="F168" s="4">
        <f>CHOOSE( CONTROL!$C$37, 7.7647, 7.7631) * CHOOSE(CONTROL!$C$20, $D$12, 100%, $F$12)</f>
        <v>7.7647000000000004</v>
      </c>
      <c r="G168" s="7">
        <f>CHOOSE( CONTROL!$C$37, 6.9856, 6.984) * CHOOSE( CONTROL!$C$20, $D$12, 100%, $F$12)</f>
        <v>6.9855999999999998</v>
      </c>
      <c r="H168" s="4">
        <f>CHOOSE( CONTROL!$C$37, 7.9302, 7.9286) * CHOOSE(CONTROL!$C$20, $D$12, 100%, $F$12)</f>
        <v>7.9302000000000001</v>
      </c>
      <c r="I168" s="7">
        <f>CHOOSE( CONTROL!$C$37, 6.9586, 6.957) * CHOOSE(CONTROL!$C$20, $D$12, 100%, $F$12)</f>
        <v>6.9585999999999997</v>
      </c>
      <c r="J168" s="4">
        <f>CHOOSE( CONTROL!$C$37, 6.8309, 6.8293) * CHOOSE(CONTROL!$C$20, $D$12, 100%, $F$12)</f>
        <v>6.8308999999999997</v>
      </c>
      <c r="K168" s="4"/>
      <c r="L168" s="8">
        <v>30.7165</v>
      </c>
      <c r="M168" s="8">
        <v>12.063700000000001</v>
      </c>
      <c r="N168" s="8">
        <v>4.9444999999999997</v>
      </c>
      <c r="O168" s="8">
        <v>0.37409999999999999</v>
      </c>
      <c r="P168" s="8">
        <v>1.2927</v>
      </c>
      <c r="Q168" s="8">
        <v>32.070099999999996</v>
      </c>
      <c r="R168" s="8"/>
    </row>
    <row r="169" spans="1:18" ht="14.25" customHeight="1">
      <c r="A169" s="11">
        <v>46235</v>
      </c>
      <c r="B169" s="7">
        <f>CHOOSE( CONTROL!$C$37, 6.495, 6.4934) * CHOOSE(CONTROL!$C$20, $D$12, 100%, $F$12)</f>
        <v>6.4950000000000001</v>
      </c>
      <c r="C169" s="7">
        <f>CHOOSE( CONTROL!$C$37, 6.503, 6.5014) * CHOOSE(CONTROL!$C$20, $D$12, 100%, $F$12)</f>
        <v>6.5030000000000001</v>
      </c>
      <c r="D169" s="7">
        <f>CHOOSE( CONTROL!$C$37, 6.5093, 6.5077) * CHOOSE( CONTROL!$C$20, $D$12, 100%, $F$12)</f>
        <v>6.5092999999999996</v>
      </c>
      <c r="E169" s="10">
        <f>CHOOSE( CONTROL!$C$37, 6.5058, 6.5042) * CHOOSE( CONTROL!$C$20, $D$12, 100%, $F$12)</f>
        <v>6.5057999999999998</v>
      </c>
      <c r="F169" s="4">
        <f>CHOOSE( CONTROL!$C$37, 7.2203, 7.2186) * CHOOSE(CONTROL!$C$20, $D$12, 100%, $F$12)</f>
        <v>7.2202999999999999</v>
      </c>
      <c r="G169" s="7">
        <f>CHOOSE( CONTROL!$C$37, 6.4488, 6.4472) * CHOOSE( CONTROL!$C$20, $D$12, 100%, $F$12)</f>
        <v>6.4488000000000003</v>
      </c>
      <c r="H169" s="4">
        <f>CHOOSE( CONTROL!$C$37, 7.3934, 7.3918) * CHOOSE(CONTROL!$C$20, $D$12, 100%, $F$12)</f>
        <v>7.3933999999999997</v>
      </c>
      <c r="I169" s="7">
        <f>CHOOSE( CONTROL!$C$37, 6.4315, 6.4299) * CHOOSE(CONTROL!$C$20, $D$12, 100%, $F$12)</f>
        <v>6.4314999999999998</v>
      </c>
      <c r="J169" s="4">
        <f>CHOOSE( CONTROL!$C$37, 6.3037, 6.3021) * CHOOSE(CONTROL!$C$20, $D$12, 100%, $F$12)</f>
        <v>6.3037000000000001</v>
      </c>
      <c r="K169" s="4"/>
      <c r="L169" s="8">
        <v>30.7165</v>
      </c>
      <c r="M169" s="8">
        <v>12.063700000000001</v>
      </c>
      <c r="N169" s="8">
        <v>4.9444999999999997</v>
      </c>
      <c r="O169" s="8">
        <v>0.37409999999999999</v>
      </c>
      <c r="P169" s="8">
        <v>1.2927</v>
      </c>
      <c r="Q169" s="8">
        <v>32.070099999999996</v>
      </c>
      <c r="R169" s="8"/>
    </row>
    <row r="170" spans="1:18" ht="14.25" customHeight="1">
      <c r="A170" s="11">
        <v>46266</v>
      </c>
      <c r="B170" s="7">
        <f>CHOOSE( CONTROL!$C$37, 6.3587, 6.357) * CHOOSE(CONTROL!$C$20, $D$12, 100%, $F$12)</f>
        <v>6.3586999999999998</v>
      </c>
      <c r="C170" s="7">
        <f>CHOOSE( CONTROL!$C$37, 6.3667, 6.365) * CHOOSE(CONTROL!$C$20, $D$12, 100%, $F$12)</f>
        <v>6.3666999999999998</v>
      </c>
      <c r="D170" s="7">
        <f>CHOOSE( CONTROL!$C$37, 6.3729, 6.3712) * CHOOSE( CONTROL!$C$20, $D$12, 100%, $F$12)</f>
        <v>6.3728999999999996</v>
      </c>
      <c r="E170" s="10">
        <f>CHOOSE( CONTROL!$C$37, 6.3694, 6.3677) * CHOOSE( CONTROL!$C$20, $D$12, 100%, $F$12)</f>
        <v>6.3693999999999997</v>
      </c>
      <c r="F170" s="4">
        <f>CHOOSE( CONTROL!$C$37, 7.084, 7.0823) * CHOOSE(CONTROL!$C$20, $D$12, 100%, $F$12)</f>
        <v>7.0839999999999996</v>
      </c>
      <c r="G170" s="7">
        <f>CHOOSE( CONTROL!$C$37, 6.3143, 6.3127) * CHOOSE( CONTROL!$C$20, $D$12, 100%, $F$12)</f>
        <v>6.3143000000000002</v>
      </c>
      <c r="H170" s="4">
        <f>CHOOSE( CONTROL!$C$37, 7.259, 7.2573) * CHOOSE(CONTROL!$C$20, $D$12, 100%, $F$12)</f>
        <v>7.2590000000000003</v>
      </c>
      <c r="I170" s="7">
        <f>CHOOSE( CONTROL!$C$37, 6.299, 6.2974) * CHOOSE(CONTROL!$C$20, $D$12, 100%, $F$12)</f>
        <v>6.2990000000000004</v>
      </c>
      <c r="J170" s="4">
        <f>CHOOSE( CONTROL!$C$37, 6.1717, 6.1701) * CHOOSE(CONTROL!$C$20, $D$12, 100%, $F$12)</f>
        <v>6.1717000000000004</v>
      </c>
      <c r="K170" s="4"/>
      <c r="L170" s="8">
        <v>29.7257</v>
      </c>
      <c r="M170" s="8">
        <v>11.6745</v>
      </c>
      <c r="N170" s="8">
        <v>4.7850000000000001</v>
      </c>
      <c r="O170" s="8">
        <v>0.36199999999999999</v>
      </c>
      <c r="P170" s="8">
        <v>1.2509999999999999</v>
      </c>
      <c r="Q170" s="8">
        <v>31.035599999999999</v>
      </c>
      <c r="R170" s="8"/>
    </row>
    <row r="171" spans="1:18" ht="14.25" customHeight="1">
      <c r="A171" s="11">
        <v>46296</v>
      </c>
      <c r="B171" s="7">
        <f>CHOOSE( CONTROL!$C$37, 6.6395, 6.6384) * CHOOSE(CONTROL!$C$20, $D$12, 100%, $F$12)</f>
        <v>6.6395</v>
      </c>
      <c r="C171" s="7">
        <f>CHOOSE( CONTROL!$C$37, 6.6448, 6.6437) * CHOOSE(CONTROL!$C$20, $D$12, 100%, $F$12)</f>
        <v>6.6448</v>
      </c>
      <c r="D171" s="7">
        <f>CHOOSE( CONTROL!$C$37, 6.6568, 6.6557) * CHOOSE( CONTROL!$C$20, $D$12, 100%, $F$12)</f>
        <v>6.6567999999999996</v>
      </c>
      <c r="E171" s="10">
        <f>CHOOSE( CONTROL!$C$37, 6.6523, 6.6512) * CHOOSE( CONTROL!$C$20, $D$12, 100%, $F$12)</f>
        <v>6.6523000000000003</v>
      </c>
      <c r="F171" s="4">
        <f>CHOOSE( CONTROL!$C$37, 7.3665, 7.3654) * CHOOSE(CONTROL!$C$20, $D$12, 100%, $F$12)</f>
        <v>7.3665000000000003</v>
      </c>
      <c r="G171" s="7">
        <f>CHOOSE( CONTROL!$C$37, 6.593, 6.5919) * CHOOSE( CONTROL!$C$20, $D$12, 100%, $F$12)</f>
        <v>6.593</v>
      </c>
      <c r="H171" s="4">
        <f>CHOOSE( CONTROL!$C$37, 7.5375, 7.5365) * CHOOSE(CONTROL!$C$20, $D$12, 100%, $F$12)</f>
        <v>7.5374999999999996</v>
      </c>
      <c r="I171" s="7">
        <f>CHOOSE( CONTROL!$C$37, 6.5733, 6.5723) * CHOOSE(CONTROL!$C$20, $D$12, 100%, $F$12)</f>
        <v>6.5732999999999997</v>
      </c>
      <c r="J171" s="4">
        <f>CHOOSE( CONTROL!$C$37, 6.4452, 6.4442) * CHOOSE(CONTROL!$C$20, $D$12, 100%, $F$12)</f>
        <v>6.4451999999999998</v>
      </c>
      <c r="K171" s="4"/>
      <c r="L171" s="8">
        <v>31.095300000000002</v>
      </c>
      <c r="M171" s="8">
        <v>12.063700000000001</v>
      </c>
      <c r="N171" s="8">
        <v>4.9444999999999997</v>
      </c>
      <c r="O171" s="8">
        <v>0.37409999999999999</v>
      </c>
      <c r="P171" s="8">
        <v>1.2927</v>
      </c>
      <c r="Q171" s="8">
        <v>32.070099999999996</v>
      </c>
      <c r="R171" s="8"/>
    </row>
    <row r="172" spans="1:18" ht="14.25" customHeight="1">
      <c r="A172" s="11">
        <v>46327</v>
      </c>
      <c r="B172" s="7">
        <f>CHOOSE( CONTROL!$C$37, 7.1615, 7.1605) * CHOOSE(CONTROL!$C$20, $D$12, 100%, $F$12)</f>
        <v>7.1615000000000002</v>
      </c>
      <c r="C172" s="7">
        <f>CHOOSE( CONTROL!$C$37, 7.1666, 7.1656) * CHOOSE(CONTROL!$C$20, $D$12, 100%, $F$12)</f>
        <v>7.1665999999999999</v>
      </c>
      <c r="D172" s="7">
        <f>CHOOSE( CONTROL!$C$37, 7.1451, 7.144) * CHOOSE( CONTROL!$C$20, $D$12, 100%, $F$12)</f>
        <v>7.1451000000000002</v>
      </c>
      <c r="E172" s="10">
        <f>CHOOSE( CONTROL!$C$37, 7.1524, 7.1514) * CHOOSE( CONTROL!$C$20, $D$12, 100%, $F$12)</f>
        <v>7.1524000000000001</v>
      </c>
      <c r="F172" s="4">
        <f>CHOOSE( CONTROL!$C$37, 7.8141, 7.813) * CHOOSE(CONTROL!$C$20, $D$12, 100%, $F$12)</f>
        <v>7.8140999999999998</v>
      </c>
      <c r="G172" s="7">
        <f>CHOOSE( CONTROL!$C$37, 7.0943, 7.0932) * CHOOSE( CONTROL!$C$20, $D$12, 100%, $F$12)</f>
        <v>7.0942999999999996</v>
      </c>
      <c r="H172" s="4">
        <f>CHOOSE( CONTROL!$C$37, 7.9789, 7.9778) * CHOOSE(CONTROL!$C$20, $D$12, 100%, $F$12)</f>
        <v>7.9789000000000003</v>
      </c>
      <c r="I172" s="7">
        <f>CHOOSE( CONTROL!$C$37, 7.1307, 7.1296) * CHOOSE(CONTROL!$C$20, $D$12, 100%, $F$12)</f>
        <v>7.1307</v>
      </c>
      <c r="J172" s="4">
        <f>CHOOSE( CONTROL!$C$37, 6.9512, 6.9501) * CHOOSE(CONTROL!$C$20, $D$12, 100%, $F$12)</f>
        <v>6.9512</v>
      </c>
      <c r="K172" s="4"/>
      <c r="L172" s="8">
        <v>28.360600000000002</v>
      </c>
      <c r="M172" s="8">
        <v>11.6745</v>
      </c>
      <c r="N172" s="8">
        <v>4.7850000000000001</v>
      </c>
      <c r="O172" s="8">
        <v>0.36199999999999999</v>
      </c>
      <c r="P172" s="8">
        <v>1.2509999999999999</v>
      </c>
      <c r="Q172" s="8">
        <v>31.035599999999999</v>
      </c>
      <c r="R172" s="8"/>
    </row>
    <row r="173" spans="1:18" ht="14.25" customHeight="1">
      <c r="A173" s="11">
        <v>46357</v>
      </c>
      <c r="B173" s="7">
        <f>CHOOSE( CONTROL!$C$37, 7.1485, 7.1474) * CHOOSE(CONTROL!$C$20, $D$12, 100%, $F$12)</f>
        <v>7.1485000000000003</v>
      </c>
      <c r="C173" s="7">
        <f>CHOOSE( CONTROL!$C$37, 7.1536, 7.1525) * CHOOSE(CONTROL!$C$20, $D$12, 100%, $F$12)</f>
        <v>7.1536</v>
      </c>
      <c r="D173" s="7">
        <f>CHOOSE( CONTROL!$C$37, 7.1336, 7.1325) * CHOOSE( CONTROL!$C$20, $D$12, 100%, $F$12)</f>
        <v>7.1336000000000004</v>
      </c>
      <c r="E173" s="10">
        <f>CHOOSE( CONTROL!$C$37, 7.1404, 7.1393) * CHOOSE( CONTROL!$C$20, $D$12, 100%, $F$12)</f>
        <v>7.1403999999999996</v>
      </c>
      <c r="F173" s="4">
        <f>CHOOSE( CONTROL!$C$37, 7.801, 7.7999) * CHOOSE(CONTROL!$C$20, $D$12, 100%, $F$12)</f>
        <v>7.8010000000000002</v>
      </c>
      <c r="G173" s="7">
        <f>CHOOSE( CONTROL!$C$37, 7.0826, 7.0815) * CHOOSE( CONTROL!$C$20, $D$12, 100%, $F$12)</f>
        <v>7.0826000000000002</v>
      </c>
      <c r="H173" s="4">
        <f>CHOOSE( CONTROL!$C$37, 7.966, 7.965) * CHOOSE(CONTROL!$C$20, $D$12, 100%, $F$12)</f>
        <v>7.9660000000000002</v>
      </c>
      <c r="I173" s="7">
        <f>CHOOSE( CONTROL!$C$37, 7.1229, 7.1219) * CHOOSE(CONTROL!$C$20, $D$12, 100%, $F$12)</f>
        <v>7.1228999999999996</v>
      </c>
      <c r="J173" s="4">
        <f>CHOOSE( CONTROL!$C$37, 6.9385, 6.9375) * CHOOSE(CONTROL!$C$20, $D$12, 100%, $F$12)</f>
        <v>6.9385000000000003</v>
      </c>
      <c r="K173" s="4"/>
      <c r="L173" s="8">
        <v>29.306000000000001</v>
      </c>
      <c r="M173" s="8">
        <v>12.063700000000001</v>
      </c>
      <c r="N173" s="8">
        <v>4.9444999999999997</v>
      </c>
      <c r="O173" s="8">
        <v>0.37409999999999999</v>
      </c>
      <c r="P173" s="8">
        <v>1.2927</v>
      </c>
      <c r="Q173" s="8">
        <v>32.070099999999996</v>
      </c>
      <c r="R173" s="8"/>
    </row>
    <row r="174" spans="1:18" ht="14.25" customHeight="1">
      <c r="A174" s="11">
        <v>46388</v>
      </c>
      <c r="B174" s="7">
        <f>CHOOSE( CONTROL!$C$37, 7.4596, 7.4585) * CHOOSE(CONTROL!$C$20, $D$12, 100%, $F$12)</f>
        <v>7.4596</v>
      </c>
      <c r="C174" s="7">
        <f>CHOOSE( CONTROL!$C$37, 7.4647, 7.4636) * CHOOSE(CONTROL!$C$20, $D$12, 100%, $F$12)</f>
        <v>7.4646999999999997</v>
      </c>
      <c r="D174" s="7">
        <f>CHOOSE( CONTROL!$C$37, 7.4578, 7.4567) * CHOOSE( CONTROL!$C$20, $D$12, 100%, $F$12)</f>
        <v>7.4577999999999998</v>
      </c>
      <c r="E174" s="10">
        <f>CHOOSE( CONTROL!$C$37, 7.4598, 7.4587) * CHOOSE( CONTROL!$C$20, $D$12, 100%, $F$12)</f>
        <v>7.4598000000000004</v>
      </c>
      <c r="F174" s="4">
        <f>CHOOSE( CONTROL!$C$37, 8.1121, 8.111) * CHOOSE(CONTROL!$C$20, $D$12, 100%, $F$12)</f>
        <v>8.1120999999999999</v>
      </c>
      <c r="G174" s="7">
        <f>CHOOSE( CONTROL!$C$37, 7.3938, 7.3927) * CHOOSE( CONTROL!$C$20, $D$12, 100%, $F$12)</f>
        <v>7.3937999999999997</v>
      </c>
      <c r="H174" s="4">
        <f>CHOOSE( CONTROL!$C$37, 8.2728, 8.2717) * CHOOSE(CONTROL!$C$20, $D$12, 100%, $F$12)</f>
        <v>8.2728000000000002</v>
      </c>
      <c r="I174" s="7">
        <f>CHOOSE( CONTROL!$C$37, 7.3956, 7.3946) * CHOOSE(CONTROL!$C$20, $D$12, 100%, $F$12)</f>
        <v>7.3956</v>
      </c>
      <c r="J174" s="4">
        <f>CHOOSE( CONTROL!$C$37, 7.2398, 7.2387) * CHOOSE(CONTROL!$C$20, $D$12, 100%, $F$12)</f>
        <v>7.2397999999999998</v>
      </c>
      <c r="K174" s="4"/>
      <c r="L174" s="8">
        <v>29.306000000000001</v>
      </c>
      <c r="M174" s="8">
        <v>12.063700000000001</v>
      </c>
      <c r="N174" s="8">
        <v>4.9444999999999997</v>
      </c>
      <c r="O174" s="8">
        <v>0.37409999999999999</v>
      </c>
      <c r="P174" s="8">
        <v>1.2927</v>
      </c>
      <c r="Q174" s="8">
        <v>31.885999999999999</v>
      </c>
      <c r="R174" s="8"/>
    </row>
    <row r="175" spans="1:18" ht="14.25" customHeight="1">
      <c r="A175" s="11">
        <v>46419</v>
      </c>
      <c r="B175" s="7">
        <f>CHOOSE( CONTROL!$C$37, 6.9763, 6.9752) * CHOOSE(CONTROL!$C$20, $D$12, 100%, $F$12)</f>
        <v>6.9763000000000002</v>
      </c>
      <c r="C175" s="7">
        <f>CHOOSE( CONTROL!$C$37, 6.9814, 6.9803) * CHOOSE(CONTROL!$C$20, $D$12, 100%, $F$12)</f>
        <v>6.9813999999999998</v>
      </c>
      <c r="D175" s="7">
        <f>CHOOSE( CONTROL!$C$37, 6.9744, 6.9733) * CHOOSE( CONTROL!$C$20, $D$12, 100%, $F$12)</f>
        <v>6.9744000000000002</v>
      </c>
      <c r="E175" s="10">
        <f>CHOOSE( CONTROL!$C$37, 6.9764, 6.9753) * CHOOSE( CONTROL!$C$20, $D$12, 100%, $F$12)</f>
        <v>6.9763999999999999</v>
      </c>
      <c r="F175" s="4">
        <f>CHOOSE( CONTROL!$C$37, 7.6288, 7.6277) * CHOOSE(CONTROL!$C$20, $D$12, 100%, $F$12)</f>
        <v>7.6288</v>
      </c>
      <c r="G175" s="7">
        <f>CHOOSE( CONTROL!$C$37, 6.9172, 6.9161) * CHOOSE( CONTROL!$C$20, $D$12, 100%, $F$12)</f>
        <v>6.9172000000000002</v>
      </c>
      <c r="H175" s="4">
        <f>CHOOSE( CONTROL!$C$37, 7.7962, 7.7952) * CHOOSE(CONTROL!$C$20, $D$12, 100%, $F$12)</f>
        <v>7.7961999999999998</v>
      </c>
      <c r="I175" s="7">
        <f>CHOOSE( CONTROL!$C$37, 6.9271, 6.9261) * CHOOSE(CONTROL!$C$20, $D$12, 100%, $F$12)</f>
        <v>6.9271000000000003</v>
      </c>
      <c r="J175" s="4">
        <f>CHOOSE( CONTROL!$C$37, 6.7718, 6.7708) * CHOOSE(CONTROL!$C$20, $D$12, 100%, $F$12)</f>
        <v>6.7717999999999998</v>
      </c>
      <c r="K175" s="4"/>
      <c r="L175" s="8">
        <v>26.469899999999999</v>
      </c>
      <c r="M175" s="8">
        <v>10.8962</v>
      </c>
      <c r="N175" s="8">
        <v>4.4660000000000002</v>
      </c>
      <c r="O175" s="8">
        <v>0.33789999999999998</v>
      </c>
      <c r="P175" s="8">
        <v>1.1676</v>
      </c>
      <c r="Q175" s="8">
        <v>28.8002</v>
      </c>
      <c r="R175" s="8"/>
    </row>
    <row r="176" spans="1:18" ht="14.25" customHeight="1">
      <c r="A176" s="11">
        <v>46447</v>
      </c>
      <c r="B176" s="7">
        <f>CHOOSE( CONTROL!$C$37, 6.8274, 6.8264) * CHOOSE(CONTROL!$C$20, $D$12, 100%, $F$12)</f>
        <v>6.8273999999999999</v>
      </c>
      <c r="C176" s="7">
        <f>CHOOSE( CONTROL!$C$37, 6.8325, 6.8315) * CHOOSE(CONTROL!$C$20, $D$12, 100%, $F$12)</f>
        <v>6.8324999999999996</v>
      </c>
      <c r="D176" s="7">
        <f>CHOOSE( CONTROL!$C$37, 6.8249, 6.8239) * CHOOSE( CONTROL!$C$20, $D$12, 100%, $F$12)</f>
        <v>6.8249000000000004</v>
      </c>
      <c r="E176" s="10">
        <f>CHOOSE( CONTROL!$C$37, 6.8271, 6.8261) * CHOOSE( CONTROL!$C$20, $D$12, 100%, $F$12)</f>
        <v>6.8270999999999997</v>
      </c>
      <c r="F176" s="4">
        <f>CHOOSE( CONTROL!$C$37, 7.48, 7.4789) * CHOOSE(CONTROL!$C$20, $D$12, 100%, $F$12)</f>
        <v>7.48</v>
      </c>
      <c r="G176" s="7">
        <f>CHOOSE( CONTROL!$C$37, 6.77, 6.7689) * CHOOSE( CONTROL!$C$20, $D$12, 100%, $F$12)</f>
        <v>6.77</v>
      </c>
      <c r="H176" s="4">
        <f>CHOOSE( CONTROL!$C$37, 7.6495, 7.6484) * CHOOSE(CONTROL!$C$20, $D$12, 100%, $F$12)</f>
        <v>7.6494999999999997</v>
      </c>
      <c r="I176" s="7">
        <f>CHOOSE( CONTROL!$C$37, 6.781, 6.78) * CHOOSE(CONTROL!$C$20, $D$12, 100%, $F$12)</f>
        <v>6.7809999999999997</v>
      </c>
      <c r="J176" s="4">
        <f>CHOOSE( CONTROL!$C$37, 6.6277, 6.6266) * CHOOSE(CONTROL!$C$20, $D$12, 100%, $F$12)</f>
        <v>6.6276999999999999</v>
      </c>
      <c r="K176" s="4"/>
      <c r="L176" s="8">
        <v>29.306000000000001</v>
      </c>
      <c r="M176" s="8">
        <v>12.063700000000001</v>
      </c>
      <c r="N176" s="8">
        <v>4.9444999999999997</v>
      </c>
      <c r="O176" s="8">
        <v>0.37409999999999999</v>
      </c>
      <c r="P176" s="8">
        <v>1.2927</v>
      </c>
      <c r="Q176" s="8">
        <v>31.885999999999999</v>
      </c>
      <c r="R176" s="8"/>
    </row>
    <row r="177" spans="1:18" ht="14.25" customHeight="1">
      <c r="A177" s="11">
        <v>46478</v>
      </c>
      <c r="B177" s="7">
        <f>CHOOSE( CONTROL!$C$37, 6.9322, 6.9311) * CHOOSE(CONTROL!$C$20, $D$12, 100%, $F$12)</f>
        <v>6.9321999999999999</v>
      </c>
      <c r="C177" s="7">
        <f>CHOOSE( CONTROL!$C$37, 6.9368, 6.9357) * CHOOSE(CONTROL!$C$20, $D$12, 100%, $F$12)</f>
        <v>6.9367999999999999</v>
      </c>
      <c r="D177" s="7">
        <f>CHOOSE( CONTROL!$C$37, 6.9486, 6.9475) * CHOOSE( CONTROL!$C$20, $D$12, 100%, $F$12)</f>
        <v>6.9485999999999999</v>
      </c>
      <c r="E177" s="10">
        <f>CHOOSE( CONTROL!$C$37, 6.9442, 6.9431) * CHOOSE( CONTROL!$C$20, $D$12, 100%, $F$12)</f>
        <v>6.9442000000000004</v>
      </c>
      <c r="F177" s="4">
        <f>CHOOSE( CONTROL!$C$37, 7.6589, 7.6578) * CHOOSE(CONTROL!$C$20, $D$12, 100%, $F$12)</f>
        <v>7.6589</v>
      </c>
      <c r="G177" s="7">
        <f>CHOOSE( CONTROL!$C$37, 6.8808, 6.8797) * CHOOSE( CONTROL!$C$20, $D$12, 100%, $F$12)</f>
        <v>6.8807999999999998</v>
      </c>
      <c r="H177" s="4">
        <f>CHOOSE( CONTROL!$C$37, 7.8259, 7.8248) * CHOOSE(CONTROL!$C$20, $D$12, 100%, $F$12)</f>
        <v>7.8258999999999999</v>
      </c>
      <c r="I177" s="7">
        <f>CHOOSE( CONTROL!$C$37, 6.8544, 6.8533) * CHOOSE(CONTROL!$C$20, $D$12, 100%, $F$12)</f>
        <v>6.8544</v>
      </c>
      <c r="J177" s="4">
        <f>CHOOSE( CONTROL!$C$37, 6.7284, 6.7273) * CHOOSE(CONTROL!$C$20, $D$12, 100%, $F$12)</f>
        <v>6.7283999999999997</v>
      </c>
      <c r="K177" s="4"/>
      <c r="L177" s="8">
        <v>30.092199999999998</v>
      </c>
      <c r="M177" s="8">
        <v>11.6745</v>
      </c>
      <c r="N177" s="8">
        <v>4.7850000000000001</v>
      </c>
      <c r="O177" s="8">
        <v>0.36199999999999999</v>
      </c>
      <c r="P177" s="8">
        <v>1.2509999999999999</v>
      </c>
      <c r="Q177" s="8">
        <v>30.857399999999998</v>
      </c>
      <c r="R177" s="8"/>
    </row>
    <row r="178" spans="1:18" ht="14.25" customHeight="1">
      <c r="A178" s="11">
        <v>46508</v>
      </c>
      <c r="B178" s="7">
        <f>CHOOSE( CONTROL!$C$37, 7.1193, 7.1176) * CHOOSE(CONTROL!$C$20, $D$12, 100%, $F$12)</f>
        <v>7.1193</v>
      </c>
      <c r="C178" s="7">
        <f>CHOOSE( CONTROL!$C$37, 7.1273, 7.1256) * CHOOSE(CONTROL!$C$20, $D$12, 100%, $F$12)</f>
        <v>7.1273</v>
      </c>
      <c r="D178" s="7">
        <f>CHOOSE( CONTROL!$C$37, 7.1329, 7.1313) * CHOOSE( CONTROL!$C$20, $D$12, 100%, $F$12)</f>
        <v>7.1329000000000002</v>
      </c>
      <c r="E178" s="10">
        <f>CHOOSE( CONTROL!$C$37, 7.1297, 7.128) * CHOOSE( CONTROL!$C$20, $D$12, 100%, $F$12)</f>
        <v>7.1296999999999997</v>
      </c>
      <c r="F178" s="4">
        <f>CHOOSE( CONTROL!$C$37, 7.8446, 7.8429) * CHOOSE(CONTROL!$C$20, $D$12, 100%, $F$12)</f>
        <v>7.8445999999999998</v>
      </c>
      <c r="G178" s="7">
        <f>CHOOSE( CONTROL!$C$37, 7.0639, 7.0622) * CHOOSE( CONTROL!$C$20, $D$12, 100%, $F$12)</f>
        <v>7.0639000000000003</v>
      </c>
      <c r="H178" s="4">
        <f>CHOOSE( CONTROL!$C$37, 8.009, 8.0073) * CHOOSE(CONTROL!$C$20, $D$12, 100%, $F$12)</f>
        <v>8.0090000000000003</v>
      </c>
      <c r="I178" s="7">
        <f>CHOOSE( CONTROL!$C$37, 7.034, 7.0324) * CHOOSE(CONTROL!$C$20, $D$12, 100%, $F$12)</f>
        <v>7.0339999999999998</v>
      </c>
      <c r="J178" s="4">
        <f>CHOOSE( CONTROL!$C$37, 6.9082, 6.9066) * CHOOSE(CONTROL!$C$20, $D$12, 100%, $F$12)</f>
        <v>6.9081999999999999</v>
      </c>
      <c r="K178" s="4"/>
      <c r="L178" s="8">
        <v>30.7165</v>
      </c>
      <c r="M178" s="8">
        <v>12.063700000000001</v>
      </c>
      <c r="N178" s="8">
        <v>4.9444999999999997</v>
      </c>
      <c r="O178" s="8">
        <v>0.37409999999999999</v>
      </c>
      <c r="P178" s="8">
        <v>1.2927</v>
      </c>
      <c r="Q178" s="8">
        <v>31.885999999999999</v>
      </c>
      <c r="R178" s="8"/>
    </row>
    <row r="179" spans="1:18" ht="14.25" customHeight="1">
      <c r="A179" s="11">
        <v>46539</v>
      </c>
      <c r="B179" s="7">
        <f>CHOOSE( CONTROL!$C$37, 7.0046, 7.0029) * CHOOSE(CONTROL!$C$20, $D$12, 100%, $F$12)</f>
        <v>7.0045999999999999</v>
      </c>
      <c r="C179" s="7">
        <f>CHOOSE( CONTROL!$C$37, 7.0126, 7.0109) * CHOOSE(CONTROL!$C$20, $D$12, 100%, $F$12)</f>
        <v>7.0125999999999999</v>
      </c>
      <c r="D179" s="7">
        <f>CHOOSE( CONTROL!$C$37, 7.0185, 7.0169) * CHOOSE( CONTROL!$C$20, $D$12, 100%, $F$12)</f>
        <v>7.0185000000000004</v>
      </c>
      <c r="E179" s="10">
        <f>CHOOSE( CONTROL!$C$37, 7.0151, 7.0135) * CHOOSE( CONTROL!$C$20, $D$12, 100%, $F$12)</f>
        <v>7.0151000000000003</v>
      </c>
      <c r="F179" s="4">
        <f>CHOOSE( CONTROL!$C$37, 7.7299, 7.7282) * CHOOSE(CONTROL!$C$20, $D$12, 100%, $F$12)</f>
        <v>7.7298999999999998</v>
      </c>
      <c r="G179" s="7">
        <f>CHOOSE( CONTROL!$C$37, 6.951, 6.9494) * CHOOSE( CONTROL!$C$20, $D$12, 100%, $F$12)</f>
        <v>6.9509999999999996</v>
      </c>
      <c r="H179" s="4">
        <f>CHOOSE( CONTROL!$C$37, 7.8959, 7.8943) * CHOOSE(CONTROL!$C$20, $D$12, 100%, $F$12)</f>
        <v>7.8959000000000001</v>
      </c>
      <c r="I179" s="7">
        <f>CHOOSE( CONTROL!$C$37, 6.9238, 6.9222) * CHOOSE(CONTROL!$C$20, $D$12, 100%, $F$12)</f>
        <v>6.9238</v>
      </c>
      <c r="J179" s="4">
        <f>CHOOSE( CONTROL!$C$37, 6.7972, 6.7955) * CHOOSE(CONTROL!$C$20, $D$12, 100%, $F$12)</f>
        <v>6.7972000000000001</v>
      </c>
      <c r="K179" s="4"/>
      <c r="L179" s="8">
        <v>29.7257</v>
      </c>
      <c r="M179" s="8">
        <v>11.6745</v>
      </c>
      <c r="N179" s="8">
        <v>4.7850000000000001</v>
      </c>
      <c r="O179" s="8">
        <v>0.36199999999999999</v>
      </c>
      <c r="P179" s="8">
        <v>1.2509999999999999</v>
      </c>
      <c r="Q179" s="8">
        <v>30.857399999999998</v>
      </c>
      <c r="R179" s="8"/>
    </row>
    <row r="180" spans="1:18" ht="14.25" customHeight="1">
      <c r="A180" s="11">
        <v>46569</v>
      </c>
      <c r="B180" s="7">
        <f>CHOOSE( CONTROL!$C$37, 7.3066, 7.3049) * CHOOSE(CONTROL!$C$20, $D$12, 100%, $F$12)</f>
        <v>7.3066000000000004</v>
      </c>
      <c r="C180" s="7">
        <f>CHOOSE( CONTROL!$C$37, 7.3146, 7.3129) * CHOOSE(CONTROL!$C$20, $D$12, 100%, $F$12)</f>
        <v>7.3146000000000004</v>
      </c>
      <c r="D180" s="7">
        <f>CHOOSE( CONTROL!$C$37, 7.3208, 7.3192) * CHOOSE( CONTROL!$C$20, $D$12, 100%, $F$12)</f>
        <v>7.3208000000000002</v>
      </c>
      <c r="E180" s="10">
        <f>CHOOSE( CONTROL!$C$37, 7.3173, 7.3157) * CHOOSE( CONTROL!$C$20, $D$12, 100%, $F$12)</f>
        <v>7.3173000000000004</v>
      </c>
      <c r="F180" s="4">
        <f>CHOOSE( CONTROL!$C$37, 8.0319, 8.0302) * CHOOSE(CONTROL!$C$20, $D$12, 100%, $F$12)</f>
        <v>8.0319000000000003</v>
      </c>
      <c r="G180" s="7">
        <f>CHOOSE( CONTROL!$C$37, 7.249, 7.2474) * CHOOSE( CONTROL!$C$20, $D$12, 100%, $F$12)</f>
        <v>7.2489999999999997</v>
      </c>
      <c r="H180" s="4">
        <f>CHOOSE( CONTROL!$C$37, 8.1937, 8.192) * CHOOSE(CONTROL!$C$20, $D$12, 100%, $F$12)</f>
        <v>8.1936999999999998</v>
      </c>
      <c r="I180" s="7">
        <f>CHOOSE( CONTROL!$C$37, 7.2174, 7.2158) * CHOOSE(CONTROL!$C$20, $D$12, 100%, $F$12)</f>
        <v>7.2173999999999996</v>
      </c>
      <c r="J180" s="4">
        <f>CHOOSE( CONTROL!$C$37, 7.0896, 7.088) * CHOOSE(CONTROL!$C$20, $D$12, 100%, $F$12)</f>
        <v>7.0895999999999999</v>
      </c>
      <c r="K180" s="4"/>
      <c r="L180" s="8">
        <v>30.7165</v>
      </c>
      <c r="M180" s="8">
        <v>12.063700000000001</v>
      </c>
      <c r="N180" s="8">
        <v>4.9444999999999997</v>
      </c>
      <c r="O180" s="8">
        <v>0.37409999999999999</v>
      </c>
      <c r="P180" s="8">
        <v>1.2927</v>
      </c>
      <c r="Q180" s="8">
        <v>31.885999999999999</v>
      </c>
      <c r="R180" s="8"/>
    </row>
    <row r="181" spans="1:18" ht="14.25" customHeight="1">
      <c r="A181" s="11">
        <v>46600</v>
      </c>
      <c r="B181" s="7">
        <f>CHOOSE( CONTROL!$C$37, 6.7415, 6.7399) * CHOOSE(CONTROL!$C$20, $D$12, 100%, $F$12)</f>
        <v>6.7415000000000003</v>
      </c>
      <c r="C181" s="7">
        <f>CHOOSE( CONTROL!$C$37, 6.7495, 6.7479) * CHOOSE(CONTROL!$C$20, $D$12, 100%, $F$12)</f>
        <v>6.7495000000000003</v>
      </c>
      <c r="D181" s="7">
        <f>CHOOSE( CONTROL!$C$37, 6.7559, 6.7542) * CHOOSE( CONTROL!$C$20, $D$12, 100%, $F$12)</f>
        <v>6.7558999999999996</v>
      </c>
      <c r="E181" s="10">
        <f>CHOOSE( CONTROL!$C$37, 6.7524, 6.7507) * CHOOSE( CONTROL!$C$20, $D$12, 100%, $F$12)</f>
        <v>6.7523999999999997</v>
      </c>
      <c r="F181" s="4">
        <f>CHOOSE( CONTROL!$C$37, 7.4668, 7.4652) * CHOOSE(CONTROL!$C$20, $D$12, 100%, $F$12)</f>
        <v>7.4668000000000001</v>
      </c>
      <c r="G181" s="7">
        <f>CHOOSE( CONTROL!$C$37, 6.6919, 6.6903) * CHOOSE( CONTROL!$C$20, $D$12, 100%, $F$12)</f>
        <v>6.6919000000000004</v>
      </c>
      <c r="H181" s="4">
        <f>CHOOSE( CONTROL!$C$37, 7.6365, 7.6349) * CHOOSE(CONTROL!$C$20, $D$12, 100%, $F$12)</f>
        <v>7.6364999999999998</v>
      </c>
      <c r="I181" s="7">
        <f>CHOOSE( CONTROL!$C$37, 6.6703, 6.6687) * CHOOSE(CONTROL!$C$20, $D$12, 100%, $F$12)</f>
        <v>6.6703000000000001</v>
      </c>
      <c r="J181" s="4">
        <f>CHOOSE( CONTROL!$C$37, 6.5424, 6.5408) * CHOOSE(CONTROL!$C$20, $D$12, 100%, $F$12)</f>
        <v>6.5423999999999998</v>
      </c>
      <c r="K181" s="4"/>
      <c r="L181" s="8">
        <v>30.7165</v>
      </c>
      <c r="M181" s="8">
        <v>12.063700000000001</v>
      </c>
      <c r="N181" s="8">
        <v>4.9444999999999997</v>
      </c>
      <c r="O181" s="8">
        <v>0.37409999999999999</v>
      </c>
      <c r="P181" s="8">
        <v>1.2927</v>
      </c>
      <c r="Q181" s="8">
        <v>31.885999999999999</v>
      </c>
      <c r="R181" s="8"/>
    </row>
    <row r="182" spans="1:18" ht="14.25" customHeight="1">
      <c r="A182" s="11">
        <v>46631</v>
      </c>
      <c r="B182" s="7">
        <f>CHOOSE( CONTROL!$C$37, 6.6, 6.5984) * CHOOSE(CONTROL!$C$20, $D$12, 100%, $F$12)</f>
        <v>6.6</v>
      </c>
      <c r="C182" s="7">
        <f>CHOOSE( CONTROL!$C$37, 6.608, 6.6064) * CHOOSE(CONTROL!$C$20, $D$12, 100%, $F$12)</f>
        <v>6.6079999999999997</v>
      </c>
      <c r="D182" s="7">
        <f>CHOOSE( CONTROL!$C$37, 6.6142, 6.6126) * CHOOSE( CONTROL!$C$20, $D$12, 100%, $F$12)</f>
        <v>6.6142000000000003</v>
      </c>
      <c r="E182" s="10">
        <f>CHOOSE( CONTROL!$C$37, 6.6107, 6.6091) * CHOOSE( CONTROL!$C$20, $D$12, 100%, $F$12)</f>
        <v>6.6106999999999996</v>
      </c>
      <c r="F182" s="4">
        <f>CHOOSE( CONTROL!$C$37, 7.3253, 7.3237) * CHOOSE(CONTROL!$C$20, $D$12, 100%, $F$12)</f>
        <v>7.3253000000000004</v>
      </c>
      <c r="G182" s="7">
        <f>CHOOSE( CONTROL!$C$37, 6.5523, 6.5507) * CHOOSE( CONTROL!$C$20, $D$12, 100%, $F$12)</f>
        <v>6.5522999999999998</v>
      </c>
      <c r="H182" s="4">
        <f>CHOOSE( CONTROL!$C$37, 7.497, 7.4953) * CHOOSE(CONTROL!$C$20, $D$12, 100%, $F$12)</f>
        <v>7.4969999999999999</v>
      </c>
      <c r="I182" s="7">
        <f>CHOOSE( CONTROL!$C$37, 6.5328, 6.5312) * CHOOSE(CONTROL!$C$20, $D$12, 100%, $F$12)</f>
        <v>6.5327999999999999</v>
      </c>
      <c r="J182" s="4">
        <f>CHOOSE( CONTROL!$C$37, 6.4054, 6.4038) * CHOOSE(CONTROL!$C$20, $D$12, 100%, $F$12)</f>
        <v>6.4054000000000002</v>
      </c>
      <c r="K182" s="4"/>
      <c r="L182" s="8">
        <v>29.7257</v>
      </c>
      <c r="M182" s="8">
        <v>11.6745</v>
      </c>
      <c r="N182" s="8">
        <v>4.7850000000000001</v>
      </c>
      <c r="O182" s="8">
        <v>0.36199999999999999</v>
      </c>
      <c r="P182" s="8">
        <v>1.2509999999999999</v>
      </c>
      <c r="Q182" s="8">
        <v>30.857399999999998</v>
      </c>
      <c r="R182" s="8"/>
    </row>
    <row r="183" spans="1:18" ht="14.25" customHeight="1">
      <c r="A183" s="11">
        <v>46661</v>
      </c>
      <c r="B183" s="7">
        <f>CHOOSE( CONTROL!$C$37, 6.8915, 6.8905) * CHOOSE(CONTROL!$C$20, $D$12, 100%, $F$12)</f>
        <v>6.8914999999999997</v>
      </c>
      <c r="C183" s="7">
        <f>CHOOSE( CONTROL!$C$37, 6.8969, 6.8958) * CHOOSE(CONTROL!$C$20, $D$12, 100%, $F$12)</f>
        <v>6.8968999999999996</v>
      </c>
      <c r="D183" s="7">
        <f>CHOOSE( CONTROL!$C$37, 6.9089, 6.9078) * CHOOSE( CONTROL!$C$20, $D$12, 100%, $F$12)</f>
        <v>6.9089</v>
      </c>
      <c r="E183" s="10">
        <f>CHOOSE( CONTROL!$C$37, 6.9044, 6.9033) * CHOOSE( CONTROL!$C$20, $D$12, 100%, $F$12)</f>
        <v>6.9043999999999999</v>
      </c>
      <c r="F183" s="4">
        <f>CHOOSE( CONTROL!$C$37, 7.6186, 7.6175) * CHOOSE(CONTROL!$C$20, $D$12, 100%, $F$12)</f>
        <v>7.6185999999999998</v>
      </c>
      <c r="G183" s="7">
        <f>CHOOSE( CONTROL!$C$37, 6.8416, 6.8405) * CHOOSE( CONTROL!$C$20, $D$12, 100%, $F$12)</f>
        <v>6.8415999999999997</v>
      </c>
      <c r="H183" s="4">
        <f>CHOOSE( CONTROL!$C$37, 7.7861, 7.785) * CHOOSE(CONTROL!$C$20, $D$12, 100%, $F$12)</f>
        <v>7.7861000000000002</v>
      </c>
      <c r="I183" s="7">
        <f>CHOOSE( CONTROL!$C$37, 6.8176, 6.8165) * CHOOSE(CONTROL!$C$20, $D$12, 100%, $F$12)</f>
        <v>6.8175999999999997</v>
      </c>
      <c r="J183" s="4">
        <f>CHOOSE( CONTROL!$C$37, 6.6893, 6.6883) * CHOOSE(CONTROL!$C$20, $D$12, 100%, $F$12)</f>
        <v>6.6893000000000002</v>
      </c>
      <c r="K183" s="4"/>
      <c r="L183" s="8">
        <v>31.095300000000002</v>
      </c>
      <c r="M183" s="8">
        <v>12.063700000000001</v>
      </c>
      <c r="N183" s="8">
        <v>4.9444999999999997</v>
      </c>
      <c r="O183" s="8">
        <v>0.37409999999999999</v>
      </c>
      <c r="P183" s="8">
        <v>1.2927</v>
      </c>
      <c r="Q183" s="8">
        <v>31.885999999999999</v>
      </c>
      <c r="R183" s="8"/>
    </row>
    <row r="184" spans="1:18" ht="14.25" customHeight="1">
      <c r="A184" s="11">
        <v>46692</v>
      </c>
      <c r="B184" s="7">
        <f>CHOOSE( CONTROL!$C$37, 7.4334, 7.4323) * CHOOSE(CONTROL!$C$20, $D$12, 100%, $F$12)</f>
        <v>7.4333999999999998</v>
      </c>
      <c r="C184" s="7">
        <f>CHOOSE( CONTROL!$C$37, 7.4385, 7.4374) * CHOOSE(CONTROL!$C$20, $D$12, 100%, $F$12)</f>
        <v>7.4385000000000003</v>
      </c>
      <c r="D184" s="7">
        <f>CHOOSE( CONTROL!$C$37, 7.417, 7.4159) * CHOOSE( CONTROL!$C$20, $D$12, 100%, $F$12)</f>
        <v>7.4169999999999998</v>
      </c>
      <c r="E184" s="10">
        <f>CHOOSE( CONTROL!$C$37, 7.4243, 7.4232) * CHOOSE( CONTROL!$C$20, $D$12, 100%, $F$12)</f>
        <v>7.4242999999999997</v>
      </c>
      <c r="F184" s="4">
        <f>CHOOSE( CONTROL!$C$37, 8.086, 8.0849) * CHOOSE(CONTROL!$C$20, $D$12, 100%, $F$12)</f>
        <v>8.0860000000000003</v>
      </c>
      <c r="G184" s="7">
        <f>CHOOSE( CONTROL!$C$37, 7.3624, 7.3613) * CHOOSE( CONTROL!$C$20, $D$12, 100%, $F$12)</f>
        <v>7.3624000000000001</v>
      </c>
      <c r="H184" s="4">
        <f>CHOOSE( CONTROL!$C$37, 8.247, 8.2459) * CHOOSE(CONTROL!$C$20, $D$12, 100%, $F$12)</f>
        <v>8.2469999999999999</v>
      </c>
      <c r="I184" s="7">
        <f>CHOOSE( CONTROL!$C$37, 7.3941, 7.393) * CHOOSE(CONTROL!$C$20, $D$12, 100%, $F$12)</f>
        <v>7.3940999999999999</v>
      </c>
      <c r="J184" s="4">
        <f>CHOOSE( CONTROL!$C$37, 7.2144, 7.2134) * CHOOSE(CONTROL!$C$20, $D$12, 100%, $F$12)</f>
        <v>7.2144000000000004</v>
      </c>
      <c r="K184" s="4"/>
      <c r="L184" s="8">
        <v>28.360600000000002</v>
      </c>
      <c r="M184" s="8">
        <v>11.6745</v>
      </c>
      <c r="N184" s="8">
        <v>4.7850000000000001</v>
      </c>
      <c r="O184" s="8">
        <v>0.36199999999999999</v>
      </c>
      <c r="P184" s="8">
        <v>1.2509999999999999</v>
      </c>
      <c r="Q184" s="8">
        <v>30.857399999999998</v>
      </c>
      <c r="R184" s="8"/>
    </row>
    <row r="185" spans="1:18" ht="14.25" customHeight="1">
      <c r="A185" s="11">
        <v>46722</v>
      </c>
      <c r="B185" s="7">
        <f>CHOOSE( CONTROL!$C$37, 7.4199, 7.4188) * CHOOSE(CONTROL!$C$20, $D$12, 100%, $F$12)</f>
        <v>7.4199000000000002</v>
      </c>
      <c r="C185" s="7">
        <f>CHOOSE( CONTROL!$C$37, 7.425, 7.4239) * CHOOSE(CONTROL!$C$20, $D$12, 100%, $F$12)</f>
        <v>7.4249999999999998</v>
      </c>
      <c r="D185" s="7">
        <f>CHOOSE( CONTROL!$C$37, 7.405, 7.4039) * CHOOSE( CONTROL!$C$20, $D$12, 100%, $F$12)</f>
        <v>7.4050000000000002</v>
      </c>
      <c r="E185" s="10">
        <f>CHOOSE( CONTROL!$C$37, 7.4118, 7.4107) * CHOOSE( CONTROL!$C$20, $D$12, 100%, $F$12)</f>
        <v>7.4118000000000004</v>
      </c>
      <c r="F185" s="4">
        <f>CHOOSE( CONTROL!$C$37, 8.0724, 8.0713) * CHOOSE(CONTROL!$C$20, $D$12, 100%, $F$12)</f>
        <v>8.0724</v>
      </c>
      <c r="G185" s="7">
        <f>CHOOSE( CONTROL!$C$37, 7.3502, 7.3491) * CHOOSE( CONTROL!$C$20, $D$12, 100%, $F$12)</f>
        <v>7.3502000000000001</v>
      </c>
      <c r="H185" s="4">
        <f>CHOOSE( CONTROL!$C$37, 8.2336, 8.2326) * CHOOSE(CONTROL!$C$20, $D$12, 100%, $F$12)</f>
        <v>8.2335999999999991</v>
      </c>
      <c r="I185" s="7">
        <f>CHOOSE( CONTROL!$C$37, 7.3858, 7.3848) * CHOOSE(CONTROL!$C$20, $D$12, 100%, $F$12)</f>
        <v>7.3857999999999997</v>
      </c>
      <c r="J185" s="4">
        <f>CHOOSE( CONTROL!$C$37, 7.2013, 7.2003) * CHOOSE(CONTROL!$C$20, $D$12, 100%, $F$12)</f>
        <v>7.2012999999999998</v>
      </c>
      <c r="K185" s="4"/>
      <c r="L185" s="8">
        <v>29.306000000000001</v>
      </c>
      <c r="M185" s="8">
        <v>12.063700000000001</v>
      </c>
      <c r="N185" s="8">
        <v>4.9444999999999997</v>
      </c>
      <c r="O185" s="8">
        <v>0.37409999999999999</v>
      </c>
      <c r="P185" s="8">
        <v>1.2927</v>
      </c>
      <c r="Q185" s="8">
        <v>31.885999999999999</v>
      </c>
      <c r="R185" s="8"/>
    </row>
    <row r="186" spans="1:18" ht="14.25" customHeight="1">
      <c r="A186" s="11">
        <v>46753</v>
      </c>
      <c r="B186" s="7">
        <f>CHOOSE( CONTROL!$C$37, 7.7324, 7.7313) * CHOOSE(CONTROL!$C$20, $D$12, 100%, $F$12)</f>
        <v>7.7324000000000002</v>
      </c>
      <c r="C186" s="7">
        <f>CHOOSE( CONTROL!$C$37, 7.7375, 7.7364) * CHOOSE(CONTROL!$C$20, $D$12, 100%, $F$12)</f>
        <v>7.7374999999999998</v>
      </c>
      <c r="D186" s="7">
        <f>CHOOSE( CONTROL!$C$37, 7.7306, 7.7295) * CHOOSE( CONTROL!$C$20, $D$12, 100%, $F$12)</f>
        <v>7.7305999999999999</v>
      </c>
      <c r="E186" s="10">
        <f>CHOOSE( CONTROL!$C$37, 7.7326, 7.7315) * CHOOSE( CONTROL!$C$20, $D$12, 100%, $F$12)</f>
        <v>7.7325999999999997</v>
      </c>
      <c r="F186" s="4">
        <f>CHOOSE( CONTROL!$C$37, 8.385, 8.3839) * CHOOSE(CONTROL!$C$20, $D$12, 100%, $F$12)</f>
        <v>8.3849999999999998</v>
      </c>
      <c r="G186" s="7">
        <f>CHOOSE( CONTROL!$C$37, 7.6629, 7.6618) * CHOOSE( CONTROL!$C$20, $D$12, 100%, $F$12)</f>
        <v>7.6628999999999996</v>
      </c>
      <c r="H186" s="4">
        <f>CHOOSE( CONTROL!$C$37, 8.5418, 8.5408) * CHOOSE(CONTROL!$C$20, $D$12, 100%, $F$12)</f>
        <v>8.5418000000000003</v>
      </c>
      <c r="I186" s="7">
        <f>CHOOSE( CONTROL!$C$37, 7.6599, 7.6589) * CHOOSE(CONTROL!$C$20, $D$12, 100%, $F$12)</f>
        <v>7.6599000000000004</v>
      </c>
      <c r="J186" s="4">
        <f>CHOOSE( CONTROL!$C$37, 7.504, 7.5029) * CHOOSE(CONTROL!$C$20, $D$12, 100%, $F$12)</f>
        <v>7.5039999999999996</v>
      </c>
      <c r="K186" s="4"/>
      <c r="L186" s="8">
        <v>29.306000000000001</v>
      </c>
      <c r="M186" s="8">
        <v>12.063700000000001</v>
      </c>
      <c r="N186" s="8">
        <v>4.9444999999999997</v>
      </c>
      <c r="O186" s="8">
        <v>0.37409999999999999</v>
      </c>
      <c r="P186" s="8">
        <v>1.2927</v>
      </c>
      <c r="Q186" s="8">
        <v>31.701799999999999</v>
      </c>
      <c r="R186" s="8"/>
    </row>
    <row r="187" spans="1:18" ht="14.25" customHeight="1">
      <c r="A187" s="11">
        <v>46784</v>
      </c>
      <c r="B187" s="7">
        <f>CHOOSE( CONTROL!$C$37, 7.2315, 7.2304) * CHOOSE(CONTROL!$C$20, $D$12, 100%, $F$12)</f>
        <v>7.2314999999999996</v>
      </c>
      <c r="C187" s="7">
        <f>CHOOSE( CONTROL!$C$37, 7.2366, 7.2355) * CHOOSE(CONTROL!$C$20, $D$12, 100%, $F$12)</f>
        <v>7.2366000000000001</v>
      </c>
      <c r="D187" s="7">
        <f>CHOOSE( CONTROL!$C$37, 7.2296, 7.2285) * CHOOSE( CONTROL!$C$20, $D$12, 100%, $F$12)</f>
        <v>7.2295999999999996</v>
      </c>
      <c r="E187" s="10">
        <f>CHOOSE( CONTROL!$C$37, 7.2316, 7.2305) * CHOOSE( CONTROL!$C$20, $D$12, 100%, $F$12)</f>
        <v>7.2316000000000003</v>
      </c>
      <c r="F187" s="4">
        <f>CHOOSE( CONTROL!$C$37, 7.884, 7.8829) * CHOOSE(CONTROL!$C$20, $D$12, 100%, $F$12)</f>
        <v>7.8840000000000003</v>
      </c>
      <c r="G187" s="7">
        <f>CHOOSE( CONTROL!$C$37, 7.1688, 7.1678) * CHOOSE( CONTROL!$C$20, $D$12, 100%, $F$12)</f>
        <v>7.1688000000000001</v>
      </c>
      <c r="H187" s="4">
        <f>CHOOSE( CONTROL!$C$37, 8.0479, 8.0468) * CHOOSE(CONTROL!$C$20, $D$12, 100%, $F$12)</f>
        <v>8.0479000000000003</v>
      </c>
      <c r="I187" s="7">
        <f>CHOOSE( CONTROL!$C$37, 7.1744, 7.1733) * CHOOSE(CONTROL!$C$20, $D$12, 100%, $F$12)</f>
        <v>7.1744000000000003</v>
      </c>
      <c r="J187" s="4">
        <f>CHOOSE( CONTROL!$C$37, 7.0189, 7.0179) * CHOOSE(CONTROL!$C$20, $D$12, 100%, $F$12)</f>
        <v>7.0189000000000004</v>
      </c>
      <c r="K187" s="4"/>
      <c r="L187" s="8">
        <v>27.415299999999998</v>
      </c>
      <c r="M187" s="8">
        <v>11.285299999999999</v>
      </c>
      <c r="N187" s="8">
        <v>4.6254999999999997</v>
      </c>
      <c r="O187" s="8">
        <v>0.34989999999999999</v>
      </c>
      <c r="P187" s="8">
        <v>1.2093</v>
      </c>
      <c r="Q187" s="8">
        <v>29.656600000000001</v>
      </c>
      <c r="R187" s="8"/>
    </row>
    <row r="188" spans="1:18" ht="14.25" customHeight="1">
      <c r="A188" s="11">
        <v>46813</v>
      </c>
      <c r="B188" s="7">
        <f>CHOOSE( CONTROL!$C$37, 7.0772, 7.0761) * CHOOSE(CONTROL!$C$20, $D$12, 100%, $F$12)</f>
        <v>7.0772000000000004</v>
      </c>
      <c r="C188" s="7">
        <f>CHOOSE( CONTROL!$C$37, 7.0823, 7.0812) * CHOOSE(CONTROL!$C$20, $D$12, 100%, $F$12)</f>
        <v>7.0823</v>
      </c>
      <c r="D188" s="7">
        <f>CHOOSE( CONTROL!$C$37, 7.0747, 7.0736) * CHOOSE( CONTROL!$C$20, $D$12, 100%, $F$12)</f>
        <v>7.0747</v>
      </c>
      <c r="E188" s="10">
        <f>CHOOSE( CONTROL!$C$37, 7.0769, 7.0758) * CHOOSE( CONTROL!$C$20, $D$12, 100%, $F$12)</f>
        <v>7.0769000000000002</v>
      </c>
      <c r="F188" s="4">
        <f>CHOOSE( CONTROL!$C$37, 7.7297, 7.7287) * CHOOSE(CONTROL!$C$20, $D$12, 100%, $F$12)</f>
        <v>7.7297000000000002</v>
      </c>
      <c r="G188" s="7">
        <f>CHOOSE( CONTROL!$C$37, 7.0163, 7.0152) * CHOOSE( CONTROL!$C$20, $D$12, 100%, $F$12)</f>
        <v>7.0163000000000002</v>
      </c>
      <c r="H188" s="4">
        <f>CHOOSE( CONTROL!$C$37, 7.8958, 7.8947) * CHOOSE(CONTROL!$C$20, $D$12, 100%, $F$12)</f>
        <v>7.8958000000000004</v>
      </c>
      <c r="I188" s="7">
        <f>CHOOSE( CONTROL!$C$37, 7.023, 7.0219) * CHOOSE(CONTROL!$C$20, $D$12, 100%, $F$12)</f>
        <v>7.0229999999999997</v>
      </c>
      <c r="J188" s="4">
        <f>CHOOSE( CONTROL!$C$37, 6.8695, 6.8685) * CHOOSE(CONTROL!$C$20, $D$12, 100%, $F$12)</f>
        <v>6.8695000000000004</v>
      </c>
      <c r="K188" s="4"/>
      <c r="L188" s="8">
        <v>29.306000000000001</v>
      </c>
      <c r="M188" s="8">
        <v>12.063700000000001</v>
      </c>
      <c r="N188" s="8">
        <v>4.9444999999999997</v>
      </c>
      <c r="O188" s="8">
        <v>0.37409999999999999</v>
      </c>
      <c r="P188" s="8">
        <v>1.2927</v>
      </c>
      <c r="Q188" s="8">
        <v>31.701799999999999</v>
      </c>
      <c r="R188" s="8"/>
    </row>
    <row r="189" spans="1:18" ht="14.25" customHeight="1">
      <c r="A189" s="11">
        <v>46844</v>
      </c>
      <c r="B189" s="7">
        <f>CHOOSE( CONTROL!$C$37, 7.1858, 7.1847) * CHOOSE(CONTROL!$C$20, $D$12, 100%, $F$12)</f>
        <v>7.1858000000000004</v>
      </c>
      <c r="C189" s="7">
        <f>CHOOSE( CONTROL!$C$37, 7.1903, 7.1892) * CHOOSE(CONTROL!$C$20, $D$12, 100%, $F$12)</f>
        <v>7.1902999999999997</v>
      </c>
      <c r="D189" s="7">
        <f>CHOOSE( CONTROL!$C$37, 7.2021, 7.2011) * CHOOSE( CONTROL!$C$20, $D$12, 100%, $F$12)</f>
        <v>7.2020999999999997</v>
      </c>
      <c r="E189" s="10">
        <f>CHOOSE( CONTROL!$C$37, 7.1977, 7.1967) * CHOOSE( CONTROL!$C$20, $D$12, 100%, $F$12)</f>
        <v>7.1977000000000002</v>
      </c>
      <c r="F189" s="4">
        <f>CHOOSE( CONTROL!$C$37, 7.9124, 7.9113) * CHOOSE(CONTROL!$C$20, $D$12, 100%, $F$12)</f>
        <v>7.9123999999999999</v>
      </c>
      <c r="G189" s="7">
        <f>CHOOSE( CONTROL!$C$37, 7.1308, 7.1297) * CHOOSE( CONTROL!$C$20, $D$12, 100%, $F$12)</f>
        <v>7.1307999999999998</v>
      </c>
      <c r="H189" s="4">
        <f>CHOOSE( CONTROL!$C$37, 8.0759, 8.0748) * CHOOSE(CONTROL!$C$20, $D$12, 100%, $F$12)</f>
        <v>8.0759000000000007</v>
      </c>
      <c r="I189" s="7">
        <f>CHOOSE( CONTROL!$C$37, 7.1, 7.0989) * CHOOSE(CONTROL!$C$20, $D$12, 100%, $F$12)</f>
        <v>7.1</v>
      </c>
      <c r="J189" s="4">
        <f>CHOOSE( CONTROL!$C$37, 6.9739, 6.9729) * CHOOSE(CONTROL!$C$20, $D$12, 100%, $F$12)</f>
        <v>6.9739000000000004</v>
      </c>
      <c r="K189" s="4"/>
      <c r="L189" s="8">
        <v>30.092199999999998</v>
      </c>
      <c r="M189" s="8">
        <v>11.6745</v>
      </c>
      <c r="N189" s="8">
        <v>4.7850000000000001</v>
      </c>
      <c r="O189" s="8">
        <v>0.36199999999999999</v>
      </c>
      <c r="P189" s="8">
        <v>1.2509999999999999</v>
      </c>
      <c r="Q189" s="8">
        <v>30.679200000000002</v>
      </c>
      <c r="R189" s="8"/>
    </row>
    <row r="190" spans="1:18" ht="14.25" customHeight="1">
      <c r="A190" s="11">
        <v>46874</v>
      </c>
      <c r="B190" s="7">
        <f>CHOOSE( CONTROL!$C$37, 7.3796, 7.3779) * CHOOSE(CONTROL!$C$20, $D$12, 100%, $F$12)</f>
        <v>7.3795999999999999</v>
      </c>
      <c r="C190" s="7">
        <f>CHOOSE( CONTROL!$C$37, 7.3876, 7.3859) * CHOOSE(CONTROL!$C$20, $D$12, 100%, $F$12)</f>
        <v>7.3875999999999999</v>
      </c>
      <c r="D190" s="7">
        <f>CHOOSE( CONTROL!$C$37, 7.3933, 7.3916) * CHOOSE( CONTROL!$C$20, $D$12, 100%, $F$12)</f>
        <v>7.3933</v>
      </c>
      <c r="E190" s="10">
        <f>CHOOSE( CONTROL!$C$37, 7.39, 7.3883) * CHOOSE( CONTROL!$C$20, $D$12, 100%, $F$12)</f>
        <v>7.39</v>
      </c>
      <c r="F190" s="4">
        <f>CHOOSE( CONTROL!$C$37, 8.1049, 8.1032) * CHOOSE(CONTROL!$C$20, $D$12, 100%, $F$12)</f>
        <v>8.1049000000000007</v>
      </c>
      <c r="G190" s="7">
        <f>CHOOSE( CONTROL!$C$37, 7.3206, 7.3189) * CHOOSE( CONTROL!$C$20, $D$12, 100%, $F$12)</f>
        <v>7.3205999999999998</v>
      </c>
      <c r="H190" s="4">
        <f>CHOOSE( CONTROL!$C$37, 8.2657, 8.264) * CHOOSE(CONTROL!$C$20, $D$12, 100%, $F$12)</f>
        <v>8.2657000000000007</v>
      </c>
      <c r="I190" s="7">
        <f>CHOOSE( CONTROL!$C$37, 7.2862, 7.2846) * CHOOSE(CONTROL!$C$20, $D$12, 100%, $F$12)</f>
        <v>7.2862</v>
      </c>
      <c r="J190" s="4">
        <f>CHOOSE( CONTROL!$C$37, 7.1603, 7.1587) * CHOOSE(CONTROL!$C$20, $D$12, 100%, $F$12)</f>
        <v>7.1603000000000003</v>
      </c>
      <c r="K190" s="4"/>
      <c r="L190" s="8">
        <v>30.7165</v>
      </c>
      <c r="M190" s="8">
        <v>12.063700000000001</v>
      </c>
      <c r="N190" s="8">
        <v>4.9444999999999997</v>
      </c>
      <c r="O190" s="8">
        <v>0.37409999999999999</v>
      </c>
      <c r="P190" s="8">
        <v>1.2927</v>
      </c>
      <c r="Q190" s="8">
        <v>31.701799999999999</v>
      </c>
      <c r="R190" s="8"/>
    </row>
    <row r="191" spans="1:18" ht="14.25" customHeight="1">
      <c r="A191" s="11">
        <v>46905</v>
      </c>
      <c r="B191" s="7">
        <f>CHOOSE( CONTROL!$C$37, 7.2607, 7.2591) * CHOOSE(CONTROL!$C$20, $D$12, 100%, $F$12)</f>
        <v>7.2606999999999999</v>
      </c>
      <c r="C191" s="7">
        <f>CHOOSE( CONTROL!$C$37, 7.2687, 7.2671) * CHOOSE(CONTROL!$C$20, $D$12, 100%, $F$12)</f>
        <v>7.2686999999999999</v>
      </c>
      <c r="D191" s="7">
        <f>CHOOSE( CONTROL!$C$37, 7.2747, 7.273) * CHOOSE( CONTROL!$C$20, $D$12, 100%, $F$12)</f>
        <v>7.2747000000000002</v>
      </c>
      <c r="E191" s="10">
        <f>CHOOSE( CONTROL!$C$37, 7.2713, 7.2696) * CHOOSE( CONTROL!$C$20, $D$12, 100%, $F$12)</f>
        <v>7.2713000000000001</v>
      </c>
      <c r="F191" s="4">
        <f>CHOOSE( CONTROL!$C$37, 7.986, 7.9844) * CHOOSE(CONTROL!$C$20, $D$12, 100%, $F$12)</f>
        <v>7.9859999999999998</v>
      </c>
      <c r="G191" s="7">
        <f>CHOOSE( CONTROL!$C$37, 7.2036, 7.2019) * CHOOSE( CONTROL!$C$20, $D$12, 100%, $F$12)</f>
        <v>7.2035999999999998</v>
      </c>
      <c r="H191" s="4">
        <f>CHOOSE( CONTROL!$C$37, 8.1485, 8.1468) * CHOOSE(CONTROL!$C$20, $D$12, 100%, $F$12)</f>
        <v>8.1485000000000003</v>
      </c>
      <c r="I191" s="7">
        <f>CHOOSE( CONTROL!$C$37, 7.172, 7.1703) * CHOOSE(CONTROL!$C$20, $D$12, 100%, $F$12)</f>
        <v>7.1719999999999997</v>
      </c>
      <c r="J191" s="4">
        <f>CHOOSE( CONTROL!$C$37, 7.0452, 7.0436) * CHOOSE(CONTROL!$C$20, $D$12, 100%, $F$12)</f>
        <v>7.0452000000000004</v>
      </c>
      <c r="K191" s="4"/>
      <c r="L191" s="8">
        <v>29.7257</v>
      </c>
      <c r="M191" s="8">
        <v>11.6745</v>
      </c>
      <c r="N191" s="8">
        <v>4.7850000000000001</v>
      </c>
      <c r="O191" s="8">
        <v>0.36199999999999999</v>
      </c>
      <c r="P191" s="8">
        <v>1.2509999999999999</v>
      </c>
      <c r="Q191" s="8">
        <v>30.679200000000002</v>
      </c>
      <c r="R191" s="8"/>
    </row>
    <row r="192" spans="1:18" ht="14.25" customHeight="1">
      <c r="A192" s="11">
        <v>46935</v>
      </c>
      <c r="B192" s="7">
        <f>CHOOSE( CONTROL!$C$37, 7.5737, 7.5721) * CHOOSE(CONTROL!$C$20, $D$12, 100%, $F$12)</f>
        <v>7.5736999999999997</v>
      </c>
      <c r="C192" s="7">
        <f>CHOOSE( CONTROL!$C$37, 7.5817, 7.5801) * CHOOSE(CONTROL!$C$20, $D$12, 100%, $F$12)</f>
        <v>7.5816999999999997</v>
      </c>
      <c r="D192" s="7">
        <f>CHOOSE( CONTROL!$C$37, 7.588, 7.5863) * CHOOSE( CONTROL!$C$20, $D$12, 100%, $F$12)</f>
        <v>7.5880000000000001</v>
      </c>
      <c r="E192" s="10">
        <f>CHOOSE( CONTROL!$C$37, 7.5845, 7.5828) * CHOOSE( CONTROL!$C$20, $D$12, 100%, $F$12)</f>
        <v>7.5845000000000002</v>
      </c>
      <c r="F192" s="4">
        <f>CHOOSE( CONTROL!$C$37, 8.299, 8.2974) * CHOOSE(CONTROL!$C$20, $D$12, 100%, $F$12)</f>
        <v>8.2989999999999995</v>
      </c>
      <c r="G192" s="7">
        <f>CHOOSE( CONTROL!$C$37, 7.5124, 7.5108) * CHOOSE( CONTROL!$C$20, $D$12, 100%, $F$12)</f>
        <v>7.5124000000000004</v>
      </c>
      <c r="H192" s="4">
        <f>CHOOSE( CONTROL!$C$37, 8.4571, 8.4555) * CHOOSE(CONTROL!$C$20, $D$12, 100%, $F$12)</f>
        <v>8.4571000000000005</v>
      </c>
      <c r="I192" s="7">
        <f>CHOOSE( CONTROL!$C$37, 7.4762, 7.4746) * CHOOSE(CONTROL!$C$20, $D$12, 100%, $F$12)</f>
        <v>7.4762000000000004</v>
      </c>
      <c r="J192" s="4">
        <f>CHOOSE( CONTROL!$C$37, 7.3483, 7.3466) * CHOOSE(CONTROL!$C$20, $D$12, 100%, $F$12)</f>
        <v>7.3483000000000001</v>
      </c>
      <c r="K192" s="4"/>
      <c r="L192" s="8">
        <v>30.7165</v>
      </c>
      <c r="M192" s="8">
        <v>12.063700000000001</v>
      </c>
      <c r="N192" s="8">
        <v>4.9444999999999997</v>
      </c>
      <c r="O192" s="8">
        <v>0.37409999999999999</v>
      </c>
      <c r="P192" s="8">
        <v>1.2927</v>
      </c>
      <c r="Q192" s="8">
        <v>31.701799999999999</v>
      </c>
      <c r="R192" s="8"/>
    </row>
    <row r="193" spans="1:18" ht="14.25" customHeight="1">
      <c r="A193" s="11">
        <v>46966</v>
      </c>
      <c r="B193" s="7">
        <f>CHOOSE( CONTROL!$C$37, 6.9881, 6.9864) * CHOOSE(CONTROL!$C$20, $D$12, 100%, $F$12)</f>
        <v>6.9881000000000002</v>
      </c>
      <c r="C193" s="7">
        <f>CHOOSE( CONTROL!$C$37, 6.9961, 6.9944) * CHOOSE(CONTROL!$C$20, $D$12, 100%, $F$12)</f>
        <v>6.9961000000000002</v>
      </c>
      <c r="D193" s="7">
        <f>CHOOSE( CONTROL!$C$37, 7.0024, 7.0007) * CHOOSE( CONTROL!$C$20, $D$12, 100%, $F$12)</f>
        <v>7.0023999999999997</v>
      </c>
      <c r="E193" s="10">
        <f>CHOOSE( CONTROL!$C$37, 6.9989, 6.9972) * CHOOSE( CONTROL!$C$20, $D$12, 100%, $F$12)</f>
        <v>6.9988999999999999</v>
      </c>
      <c r="F193" s="4">
        <f>CHOOSE( CONTROL!$C$37, 7.7134, 7.7117) * CHOOSE(CONTROL!$C$20, $D$12, 100%, $F$12)</f>
        <v>7.7134</v>
      </c>
      <c r="G193" s="7">
        <f>CHOOSE( CONTROL!$C$37, 6.935, 6.9334) * CHOOSE( CONTROL!$C$20, $D$12, 100%, $F$12)</f>
        <v>6.9349999999999996</v>
      </c>
      <c r="H193" s="4">
        <f>CHOOSE( CONTROL!$C$37, 7.8796, 7.878) * CHOOSE(CONTROL!$C$20, $D$12, 100%, $F$12)</f>
        <v>7.8795999999999999</v>
      </c>
      <c r="I193" s="7">
        <f>CHOOSE( CONTROL!$C$37, 6.9091, 6.9075) * CHOOSE(CONTROL!$C$20, $D$12, 100%, $F$12)</f>
        <v>6.9090999999999996</v>
      </c>
      <c r="J193" s="4">
        <f>CHOOSE( CONTROL!$C$37, 6.7812, 6.7795) * CHOOSE(CONTROL!$C$20, $D$12, 100%, $F$12)</f>
        <v>6.7812000000000001</v>
      </c>
      <c r="K193" s="4"/>
      <c r="L193" s="8">
        <v>30.7165</v>
      </c>
      <c r="M193" s="8">
        <v>12.063700000000001</v>
      </c>
      <c r="N193" s="8">
        <v>4.9444999999999997</v>
      </c>
      <c r="O193" s="8">
        <v>0.37409999999999999</v>
      </c>
      <c r="P193" s="8">
        <v>1.2927</v>
      </c>
      <c r="Q193" s="8">
        <v>31.701799999999999</v>
      </c>
      <c r="R193" s="8"/>
    </row>
    <row r="194" spans="1:18" ht="14.25" customHeight="1">
      <c r="A194" s="11">
        <v>46997</v>
      </c>
      <c r="B194" s="7">
        <f>CHOOSE( CONTROL!$C$37, 6.8414, 6.8398) * CHOOSE(CONTROL!$C$20, $D$12, 100%, $F$12)</f>
        <v>6.8414000000000001</v>
      </c>
      <c r="C194" s="7">
        <f>CHOOSE( CONTROL!$C$37, 6.8494, 6.8478) * CHOOSE(CONTROL!$C$20, $D$12, 100%, $F$12)</f>
        <v>6.8494000000000002</v>
      </c>
      <c r="D194" s="7">
        <f>CHOOSE( CONTROL!$C$37, 6.8556, 6.854) * CHOOSE( CONTROL!$C$20, $D$12, 100%, $F$12)</f>
        <v>6.8555999999999999</v>
      </c>
      <c r="E194" s="10">
        <f>CHOOSE( CONTROL!$C$37, 6.8521, 6.8505) * CHOOSE( CONTROL!$C$20, $D$12, 100%, $F$12)</f>
        <v>6.8521000000000001</v>
      </c>
      <c r="F194" s="4">
        <f>CHOOSE( CONTROL!$C$37, 7.5667, 7.565) * CHOOSE(CONTROL!$C$20, $D$12, 100%, $F$12)</f>
        <v>7.5667</v>
      </c>
      <c r="G194" s="7">
        <f>CHOOSE( CONTROL!$C$37, 6.7903, 6.7887) * CHOOSE( CONTROL!$C$20, $D$12, 100%, $F$12)</f>
        <v>6.7903000000000002</v>
      </c>
      <c r="H194" s="4">
        <f>CHOOSE( CONTROL!$C$37, 7.735, 7.7333) * CHOOSE(CONTROL!$C$20, $D$12, 100%, $F$12)</f>
        <v>7.7350000000000003</v>
      </c>
      <c r="I194" s="7">
        <f>CHOOSE( CONTROL!$C$37, 6.7667, 6.7651) * CHOOSE(CONTROL!$C$20, $D$12, 100%, $F$12)</f>
        <v>6.7667000000000002</v>
      </c>
      <c r="J194" s="4">
        <f>CHOOSE( CONTROL!$C$37, 6.6391, 6.6375) * CHOOSE(CONTROL!$C$20, $D$12, 100%, $F$12)</f>
        <v>6.6391</v>
      </c>
      <c r="K194" s="4"/>
      <c r="L194" s="8">
        <v>29.7257</v>
      </c>
      <c r="M194" s="8">
        <v>11.6745</v>
      </c>
      <c r="N194" s="8">
        <v>4.7850000000000001</v>
      </c>
      <c r="O194" s="8">
        <v>0.36199999999999999</v>
      </c>
      <c r="P194" s="8">
        <v>1.2509999999999999</v>
      </c>
      <c r="Q194" s="8">
        <v>30.679200000000002</v>
      </c>
      <c r="R194" s="8"/>
    </row>
    <row r="195" spans="1:18" ht="14.25" customHeight="1">
      <c r="A195" s="11">
        <v>47027</v>
      </c>
      <c r="B195" s="7">
        <f>CHOOSE( CONTROL!$C$37, 7.1436, 7.1425) * CHOOSE(CONTROL!$C$20, $D$12, 100%, $F$12)</f>
        <v>7.1436000000000002</v>
      </c>
      <c r="C195" s="7">
        <f>CHOOSE( CONTROL!$C$37, 7.149, 7.1479) * CHOOSE(CONTROL!$C$20, $D$12, 100%, $F$12)</f>
        <v>7.149</v>
      </c>
      <c r="D195" s="7">
        <f>CHOOSE( CONTROL!$C$37, 7.161, 7.1599) * CHOOSE( CONTROL!$C$20, $D$12, 100%, $F$12)</f>
        <v>7.1609999999999996</v>
      </c>
      <c r="E195" s="10">
        <f>CHOOSE( CONTROL!$C$37, 7.1565, 7.1554) * CHOOSE( CONTROL!$C$20, $D$12, 100%, $F$12)</f>
        <v>7.1565000000000003</v>
      </c>
      <c r="F195" s="4">
        <f>CHOOSE( CONTROL!$C$37, 7.8706, 7.8696) * CHOOSE(CONTROL!$C$20, $D$12, 100%, $F$12)</f>
        <v>7.8705999999999996</v>
      </c>
      <c r="G195" s="7">
        <f>CHOOSE( CONTROL!$C$37, 7.0901, 7.0891) * CHOOSE( CONTROL!$C$20, $D$12, 100%, $F$12)</f>
        <v>7.0900999999999996</v>
      </c>
      <c r="H195" s="4">
        <f>CHOOSE( CONTROL!$C$37, 8.0347, 8.0336) * CHOOSE(CONTROL!$C$20, $D$12, 100%, $F$12)</f>
        <v>8.0347000000000008</v>
      </c>
      <c r="I195" s="7">
        <f>CHOOSE( CONTROL!$C$37, 7.0618, 7.0607) * CHOOSE(CONTROL!$C$20, $D$12, 100%, $F$12)</f>
        <v>7.0617999999999999</v>
      </c>
      <c r="J195" s="4">
        <f>CHOOSE( CONTROL!$C$37, 6.9334, 6.9324) * CHOOSE(CONTROL!$C$20, $D$12, 100%, $F$12)</f>
        <v>6.9333999999999998</v>
      </c>
      <c r="K195" s="4"/>
      <c r="L195" s="8">
        <v>31.095300000000002</v>
      </c>
      <c r="M195" s="8">
        <v>12.063700000000001</v>
      </c>
      <c r="N195" s="8">
        <v>4.9444999999999997</v>
      </c>
      <c r="O195" s="8">
        <v>0.37409999999999999</v>
      </c>
      <c r="P195" s="8">
        <v>1.2927</v>
      </c>
      <c r="Q195" s="8">
        <v>31.701799999999999</v>
      </c>
      <c r="R195" s="8"/>
    </row>
    <row r="196" spans="1:18" ht="14.25" customHeight="1">
      <c r="A196" s="11">
        <v>47058</v>
      </c>
      <c r="B196" s="7">
        <f>CHOOSE( CONTROL!$C$37, 7.7053, 7.7042) * CHOOSE(CONTROL!$C$20, $D$12, 100%, $F$12)</f>
        <v>7.7053000000000003</v>
      </c>
      <c r="C196" s="7">
        <f>CHOOSE( CONTROL!$C$37, 7.7104, 7.7093) * CHOOSE(CONTROL!$C$20, $D$12, 100%, $F$12)</f>
        <v>7.7103999999999999</v>
      </c>
      <c r="D196" s="7">
        <f>CHOOSE( CONTROL!$C$37, 7.6889, 7.6878) * CHOOSE( CONTROL!$C$20, $D$12, 100%, $F$12)</f>
        <v>7.6889000000000003</v>
      </c>
      <c r="E196" s="10">
        <f>CHOOSE( CONTROL!$C$37, 7.6962, 7.6951) * CHOOSE( CONTROL!$C$20, $D$12, 100%, $F$12)</f>
        <v>7.6962000000000002</v>
      </c>
      <c r="F196" s="4">
        <f>CHOOSE( CONTROL!$C$37, 8.3578, 8.3568) * CHOOSE(CONTROL!$C$20, $D$12, 100%, $F$12)</f>
        <v>8.3577999999999992</v>
      </c>
      <c r="G196" s="7">
        <f>CHOOSE( CONTROL!$C$37, 7.6305, 7.6294) * CHOOSE( CONTROL!$C$20, $D$12, 100%, $F$12)</f>
        <v>7.6304999999999996</v>
      </c>
      <c r="H196" s="4">
        <f>CHOOSE( CONTROL!$C$37, 8.5151, 8.514) * CHOOSE(CONTROL!$C$20, $D$12, 100%, $F$12)</f>
        <v>8.5151000000000003</v>
      </c>
      <c r="I196" s="7">
        <f>CHOOSE( CONTROL!$C$37, 7.6575, 7.6564) * CHOOSE(CONTROL!$C$20, $D$12, 100%, $F$12)</f>
        <v>7.6574999999999998</v>
      </c>
      <c r="J196" s="4">
        <f>CHOOSE( CONTROL!$C$37, 7.4777, 7.4767) * CHOOSE(CONTROL!$C$20, $D$12, 100%, $F$12)</f>
        <v>7.4776999999999996</v>
      </c>
      <c r="K196" s="4"/>
      <c r="L196" s="8">
        <v>28.360600000000002</v>
      </c>
      <c r="M196" s="8">
        <v>11.6745</v>
      </c>
      <c r="N196" s="8">
        <v>4.7850000000000001</v>
      </c>
      <c r="O196" s="8">
        <v>0.36199999999999999</v>
      </c>
      <c r="P196" s="8">
        <v>1.2509999999999999</v>
      </c>
      <c r="Q196" s="8">
        <v>30.679200000000002</v>
      </c>
      <c r="R196" s="8"/>
    </row>
    <row r="197" spans="1:18" ht="14.25" customHeight="1">
      <c r="A197" s="11">
        <v>47088</v>
      </c>
      <c r="B197" s="7">
        <f>CHOOSE( CONTROL!$C$37, 7.6913, 7.6902) * CHOOSE(CONTROL!$C$20, $D$12, 100%, $F$12)</f>
        <v>7.6913</v>
      </c>
      <c r="C197" s="7">
        <f>CHOOSE( CONTROL!$C$37, 7.6964, 7.6953) * CHOOSE(CONTROL!$C$20, $D$12, 100%, $F$12)</f>
        <v>7.6963999999999997</v>
      </c>
      <c r="D197" s="7">
        <f>CHOOSE( CONTROL!$C$37, 7.6764, 7.6753) * CHOOSE( CONTROL!$C$20, $D$12, 100%, $F$12)</f>
        <v>7.6764000000000001</v>
      </c>
      <c r="E197" s="10">
        <f>CHOOSE( CONTROL!$C$37, 7.6832, 7.6821) * CHOOSE( CONTROL!$C$20, $D$12, 100%, $F$12)</f>
        <v>7.6832000000000003</v>
      </c>
      <c r="F197" s="4">
        <f>CHOOSE( CONTROL!$C$37, 8.3438, 8.3427) * CHOOSE(CONTROL!$C$20, $D$12, 100%, $F$12)</f>
        <v>8.3437999999999999</v>
      </c>
      <c r="G197" s="7">
        <f>CHOOSE( CONTROL!$C$37, 7.6178, 7.6167) * CHOOSE( CONTROL!$C$20, $D$12, 100%, $F$12)</f>
        <v>7.6177999999999999</v>
      </c>
      <c r="H197" s="4">
        <f>CHOOSE( CONTROL!$C$37, 8.5012, 8.5002) * CHOOSE(CONTROL!$C$20, $D$12, 100%, $F$12)</f>
        <v>8.5012000000000008</v>
      </c>
      <c r="I197" s="7">
        <f>CHOOSE( CONTROL!$C$37, 7.6488, 7.6477) * CHOOSE(CONTROL!$C$20, $D$12, 100%, $F$12)</f>
        <v>7.6487999999999996</v>
      </c>
      <c r="J197" s="4">
        <f>CHOOSE( CONTROL!$C$37, 7.4641, 7.4631) * CHOOSE(CONTROL!$C$20, $D$12, 100%, $F$12)</f>
        <v>7.4641000000000002</v>
      </c>
      <c r="K197" s="4"/>
      <c r="L197" s="8">
        <v>29.306000000000001</v>
      </c>
      <c r="M197" s="8">
        <v>12.063700000000001</v>
      </c>
      <c r="N197" s="8">
        <v>4.9444999999999997</v>
      </c>
      <c r="O197" s="8">
        <v>0.37409999999999999</v>
      </c>
      <c r="P197" s="8">
        <v>1.2927</v>
      </c>
      <c r="Q197" s="8">
        <v>31.701799999999999</v>
      </c>
      <c r="R197" s="8"/>
    </row>
    <row r="198" spans="1:18" ht="14.25" customHeight="1">
      <c r="A198" s="11">
        <v>47119</v>
      </c>
      <c r="B198" s="7">
        <f>CHOOSE( CONTROL!$C$37, 8.0598, 8.0587) * CHOOSE(CONTROL!$C$20, $D$12, 100%, $F$12)</f>
        <v>8.0597999999999992</v>
      </c>
      <c r="C198" s="7">
        <f>CHOOSE( CONTROL!$C$37, 8.0649, 8.0638) * CHOOSE(CONTROL!$C$20, $D$12, 100%, $F$12)</f>
        <v>8.0648999999999997</v>
      </c>
      <c r="D198" s="7">
        <f>CHOOSE( CONTROL!$C$37, 8.058, 8.0569) * CHOOSE( CONTROL!$C$20, $D$12, 100%, $F$12)</f>
        <v>8.0579999999999998</v>
      </c>
      <c r="E198" s="10">
        <f>CHOOSE( CONTROL!$C$37, 8.06, 8.0589) * CHOOSE( CONTROL!$C$20, $D$12, 100%, $F$12)</f>
        <v>8.06</v>
      </c>
      <c r="F198" s="4">
        <f>CHOOSE( CONTROL!$C$37, 8.7124, 8.7113) * CHOOSE(CONTROL!$C$20, $D$12, 100%, $F$12)</f>
        <v>8.7124000000000006</v>
      </c>
      <c r="G198" s="7">
        <f>CHOOSE( CONTROL!$C$37, 7.9857, 7.9846) * CHOOSE( CONTROL!$C$20, $D$12, 100%, $F$12)</f>
        <v>7.9856999999999996</v>
      </c>
      <c r="H198" s="4">
        <f>CHOOSE( CONTROL!$C$37, 8.8647, 8.8636) * CHOOSE(CONTROL!$C$20, $D$12, 100%, $F$12)</f>
        <v>8.8646999999999991</v>
      </c>
      <c r="I198" s="7">
        <f>CHOOSE( CONTROL!$C$37, 7.9771, 7.9761) * CHOOSE(CONTROL!$C$20, $D$12, 100%, $F$12)</f>
        <v>7.9771000000000001</v>
      </c>
      <c r="J198" s="4">
        <f>CHOOSE( CONTROL!$C$37, 7.821, 7.8199) * CHOOSE(CONTROL!$C$20, $D$12, 100%, $F$12)</f>
        <v>7.8209999999999997</v>
      </c>
      <c r="K198" s="4"/>
      <c r="L198" s="8">
        <v>29.306000000000001</v>
      </c>
      <c r="M198" s="8">
        <v>12.063700000000001</v>
      </c>
      <c r="N198" s="8">
        <v>4.9444999999999997</v>
      </c>
      <c r="O198" s="8">
        <v>0.37409999999999999</v>
      </c>
      <c r="P198" s="8">
        <v>1.2927</v>
      </c>
      <c r="Q198" s="8">
        <v>31.517700000000001</v>
      </c>
      <c r="R198" s="8"/>
    </row>
    <row r="199" spans="1:18" ht="14.25" customHeight="1">
      <c r="A199" s="11">
        <v>47150</v>
      </c>
      <c r="B199" s="7">
        <f>CHOOSE( CONTROL!$C$37, 7.5377, 7.5366) * CHOOSE(CONTROL!$C$20, $D$12, 100%, $F$12)</f>
        <v>7.5377000000000001</v>
      </c>
      <c r="C199" s="7">
        <f>CHOOSE( CONTROL!$C$37, 7.5428, 7.5417) * CHOOSE(CONTROL!$C$20, $D$12, 100%, $F$12)</f>
        <v>7.5427999999999997</v>
      </c>
      <c r="D199" s="7">
        <f>CHOOSE( CONTROL!$C$37, 7.5358, 7.5348) * CHOOSE( CONTROL!$C$20, $D$12, 100%, $F$12)</f>
        <v>7.5358000000000001</v>
      </c>
      <c r="E199" s="10">
        <f>CHOOSE( CONTROL!$C$37, 7.5378, 7.5368) * CHOOSE( CONTROL!$C$20, $D$12, 100%, $F$12)</f>
        <v>7.5377999999999998</v>
      </c>
      <c r="F199" s="4">
        <f>CHOOSE( CONTROL!$C$37, 8.1903, 8.1892) * CHOOSE(CONTROL!$C$20, $D$12, 100%, $F$12)</f>
        <v>8.1903000000000006</v>
      </c>
      <c r="G199" s="7">
        <f>CHOOSE( CONTROL!$C$37, 7.4708, 7.4697) * CHOOSE( CONTROL!$C$20, $D$12, 100%, $F$12)</f>
        <v>7.4707999999999997</v>
      </c>
      <c r="H199" s="4">
        <f>CHOOSE( CONTROL!$C$37, 8.3499, 8.3488) * CHOOSE(CONTROL!$C$20, $D$12, 100%, $F$12)</f>
        <v>8.3498999999999999</v>
      </c>
      <c r="I199" s="7">
        <f>CHOOSE( CONTROL!$C$37, 7.4711, 7.47) * CHOOSE(CONTROL!$C$20, $D$12, 100%, $F$12)</f>
        <v>7.4710999999999999</v>
      </c>
      <c r="J199" s="4">
        <f>CHOOSE( CONTROL!$C$37, 7.3154, 7.3144) * CHOOSE(CONTROL!$C$20, $D$12, 100%, $F$12)</f>
        <v>7.3154000000000003</v>
      </c>
      <c r="K199" s="4"/>
      <c r="L199" s="8">
        <v>26.469899999999999</v>
      </c>
      <c r="M199" s="8">
        <v>10.8962</v>
      </c>
      <c r="N199" s="8">
        <v>4.4660000000000002</v>
      </c>
      <c r="O199" s="8">
        <v>0.33789999999999998</v>
      </c>
      <c r="P199" s="8">
        <v>1.1676</v>
      </c>
      <c r="Q199" s="8">
        <v>28.467600000000001</v>
      </c>
      <c r="R199" s="8"/>
    </row>
    <row r="200" spans="1:18" ht="14.25" customHeight="1">
      <c r="A200" s="11">
        <v>47178</v>
      </c>
      <c r="B200" s="7">
        <f>CHOOSE( CONTROL!$C$37, 7.3769, 7.3758) * CHOOSE(CONTROL!$C$20, $D$12, 100%, $F$12)</f>
        <v>7.3769</v>
      </c>
      <c r="C200" s="7">
        <f>CHOOSE( CONTROL!$C$37, 7.382, 7.3809) * CHOOSE(CONTROL!$C$20, $D$12, 100%, $F$12)</f>
        <v>7.3819999999999997</v>
      </c>
      <c r="D200" s="7">
        <f>CHOOSE( CONTROL!$C$37, 7.3744, 7.3733) * CHOOSE( CONTROL!$C$20, $D$12, 100%, $F$12)</f>
        <v>7.3743999999999996</v>
      </c>
      <c r="E200" s="10">
        <f>CHOOSE( CONTROL!$C$37, 7.3766, 7.3755) * CHOOSE( CONTROL!$C$20, $D$12, 100%, $F$12)</f>
        <v>7.3765999999999998</v>
      </c>
      <c r="F200" s="4">
        <f>CHOOSE( CONTROL!$C$37, 8.0295, 8.0284) * CHOOSE(CONTROL!$C$20, $D$12, 100%, $F$12)</f>
        <v>8.0295000000000005</v>
      </c>
      <c r="G200" s="7">
        <f>CHOOSE( CONTROL!$C$37, 7.3118, 7.3107) * CHOOSE( CONTROL!$C$20, $D$12, 100%, $F$12)</f>
        <v>7.3117999999999999</v>
      </c>
      <c r="H200" s="4">
        <f>CHOOSE( CONTROL!$C$37, 8.1913, 8.1902) * CHOOSE(CONTROL!$C$20, $D$12, 100%, $F$12)</f>
        <v>8.1913</v>
      </c>
      <c r="I200" s="7">
        <f>CHOOSE( CONTROL!$C$37, 7.3133, 7.3123) * CHOOSE(CONTROL!$C$20, $D$12, 100%, $F$12)</f>
        <v>7.3132999999999999</v>
      </c>
      <c r="J200" s="4">
        <f>CHOOSE( CONTROL!$C$37, 7.1597, 7.1587) * CHOOSE(CONTROL!$C$20, $D$12, 100%, $F$12)</f>
        <v>7.1597</v>
      </c>
      <c r="K200" s="4"/>
      <c r="L200" s="8">
        <v>29.306000000000001</v>
      </c>
      <c r="M200" s="8">
        <v>12.063700000000001</v>
      </c>
      <c r="N200" s="8">
        <v>4.9444999999999997</v>
      </c>
      <c r="O200" s="8">
        <v>0.37409999999999999</v>
      </c>
      <c r="P200" s="8">
        <v>1.2927</v>
      </c>
      <c r="Q200" s="8">
        <v>31.517700000000001</v>
      </c>
      <c r="R200" s="8"/>
    </row>
    <row r="201" spans="1:18" ht="14.25" customHeight="1">
      <c r="A201" s="11">
        <v>47209</v>
      </c>
      <c r="B201" s="7">
        <f>CHOOSE( CONTROL!$C$37, 7.4901, 7.489) * CHOOSE(CONTROL!$C$20, $D$12, 100%, $F$12)</f>
        <v>7.4901</v>
      </c>
      <c r="C201" s="7">
        <f>CHOOSE( CONTROL!$C$37, 7.4946, 7.4935) * CHOOSE(CONTROL!$C$20, $D$12, 100%, $F$12)</f>
        <v>7.4946000000000002</v>
      </c>
      <c r="D201" s="7">
        <f>CHOOSE( CONTROL!$C$37, 7.5064, 7.5053) * CHOOSE( CONTROL!$C$20, $D$12, 100%, $F$12)</f>
        <v>7.5064000000000002</v>
      </c>
      <c r="E201" s="10">
        <f>CHOOSE( CONTROL!$C$37, 7.502, 7.5009) * CHOOSE( CONTROL!$C$20, $D$12, 100%, $F$12)</f>
        <v>7.5019999999999998</v>
      </c>
      <c r="F201" s="4">
        <f>CHOOSE( CONTROL!$C$37, 8.2167, 8.2156) * CHOOSE(CONTROL!$C$20, $D$12, 100%, $F$12)</f>
        <v>8.2166999999999994</v>
      </c>
      <c r="G201" s="7">
        <f>CHOOSE( CONTROL!$C$37, 7.4308, 7.4298) * CHOOSE( CONTROL!$C$20, $D$12, 100%, $F$12)</f>
        <v>7.4307999999999996</v>
      </c>
      <c r="H201" s="4">
        <f>CHOOSE( CONTROL!$C$37, 8.3759, 8.3748) * CHOOSE(CONTROL!$C$20, $D$12, 100%, $F$12)</f>
        <v>8.3758999999999997</v>
      </c>
      <c r="I201" s="7">
        <f>CHOOSE( CONTROL!$C$37, 7.3948, 7.3937) * CHOOSE(CONTROL!$C$20, $D$12, 100%, $F$12)</f>
        <v>7.3948</v>
      </c>
      <c r="J201" s="4">
        <f>CHOOSE( CONTROL!$C$37, 7.2685, 7.2675) * CHOOSE(CONTROL!$C$20, $D$12, 100%, $F$12)</f>
        <v>7.2685000000000004</v>
      </c>
      <c r="K201" s="4"/>
      <c r="L201" s="8">
        <v>30.092199999999998</v>
      </c>
      <c r="M201" s="8">
        <v>11.6745</v>
      </c>
      <c r="N201" s="8">
        <v>4.7850000000000001</v>
      </c>
      <c r="O201" s="8">
        <v>0.36199999999999999</v>
      </c>
      <c r="P201" s="8">
        <v>1.2509999999999999</v>
      </c>
      <c r="Q201" s="8">
        <v>30.501000000000001</v>
      </c>
      <c r="R201" s="8"/>
    </row>
    <row r="202" spans="1:18" ht="14.25" customHeight="1">
      <c r="A202" s="11">
        <v>47239</v>
      </c>
      <c r="B202" s="7">
        <f>CHOOSE( CONTROL!$C$37, 7.692, 7.6903) * CHOOSE(CONTROL!$C$20, $D$12, 100%, $F$12)</f>
        <v>7.6920000000000002</v>
      </c>
      <c r="C202" s="7">
        <f>CHOOSE( CONTROL!$C$37, 7.7, 7.6983) * CHOOSE(CONTROL!$C$20, $D$12, 100%, $F$12)</f>
        <v>7.7</v>
      </c>
      <c r="D202" s="7">
        <f>CHOOSE( CONTROL!$C$37, 7.7056, 7.704) * CHOOSE( CONTROL!$C$20, $D$12, 100%, $F$12)</f>
        <v>7.7055999999999996</v>
      </c>
      <c r="E202" s="10">
        <f>CHOOSE( CONTROL!$C$37, 7.7024, 7.7007) * CHOOSE( CONTROL!$C$20, $D$12, 100%, $F$12)</f>
        <v>7.7023999999999999</v>
      </c>
      <c r="F202" s="4">
        <f>CHOOSE( CONTROL!$C$37, 8.4173, 8.4156) * CHOOSE(CONTROL!$C$20, $D$12, 100%, $F$12)</f>
        <v>8.4172999999999991</v>
      </c>
      <c r="G202" s="7">
        <f>CHOOSE( CONTROL!$C$37, 7.6286, 7.6269) * CHOOSE( CONTROL!$C$20, $D$12, 100%, $F$12)</f>
        <v>7.6285999999999996</v>
      </c>
      <c r="H202" s="4">
        <f>CHOOSE( CONTROL!$C$37, 8.5737, 8.572) * CHOOSE(CONTROL!$C$20, $D$12, 100%, $F$12)</f>
        <v>8.5737000000000005</v>
      </c>
      <c r="I202" s="7">
        <f>CHOOSE( CONTROL!$C$37, 7.5888, 7.5872) * CHOOSE(CONTROL!$C$20, $D$12, 100%, $F$12)</f>
        <v>7.5888</v>
      </c>
      <c r="J202" s="4">
        <f>CHOOSE( CONTROL!$C$37, 7.4627, 7.4611) * CHOOSE(CONTROL!$C$20, $D$12, 100%, $F$12)</f>
        <v>7.4626999999999999</v>
      </c>
      <c r="K202" s="4"/>
      <c r="L202" s="8">
        <v>30.7165</v>
      </c>
      <c r="M202" s="8">
        <v>12.063700000000001</v>
      </c>
      <c r="N202" s="8">
        <v>4.9444999999999997</v>
      </c>
      <c r="O202" s="8">
        <v>0.37409999999999999</v>
      </c>
      <c r="P202" s="8">
        <v>1.2927</v>
      </c>
      <c r="Q202" s="8">
        <v>31.517700000000001</v>
      </c>
      <c r="R202" s="8"/>
    </row>
    <row r="203" spans="1:18" ht="14.25" customHeight="1">
      <c r="A203" s="11">
        <v>47270</v>
      </c>
      <c r="B203" s="7">
        <f>CHOOSE( CONTROL!$C$37, 7.5681, 7.5664) * CHOOSE(CONTROL!$C$20, $D$12, 100%, $F$12)</f>
        <v>7.5681000000000003</v>
      </c>
      <c r="C203" s="7">
        <f>CHOOSE( CONTROL!$C$37, 7.5761, 7.5744) * CHOOSE(CONTROL!$C$20, $D$12, 100%, $F$12)</f>
        <v>7.5761000000000003</v>
      </c>
      <c r="D203" s="7">
        <f>CHOOSE( CONTROL!$C$37, 7.582, 7.5804) * CHOOSE( CONTROL!$C$20, $D$12, 100%, $F$12)</f>
        <v>7.5819999999999999</v>
      </c>
      <c r="E203" s="10">
        <f>CHOOSE( CONTROL!$C$37, 7.5786, 7.577) * CHOOSE( CONTROL!$C$20, $D$12, 100%, $F$12)</f>
        <v>7.5785999999999998</v>
      </c>
      <c r="F203" s="4">
        <f>CHOOSE( CONTROL!$C$37, 8.2934, 8.2917) * CHOOSE(CONTROL!$C$20, $D$12, 100%, $F$12)</f>
        <v>8.2934000000000001</v>
      </c>
      <c r="G203" s="7">
        <f>CHOOSE( CONTROL!$C$37, 7.5066, 7.505) * CHOOSE( CONTROL!$C$20, $D$12, 100%, $F$12)</f>
        <v>7.5065999999999997</v>
      </c>
      <c r="H203" s="4">
        <f>CHOOSE( CONTROL!$C$37, 8.4515, 8.4499) * CHOOSE(CONTROL!$C$20, $D$12, 100%, $F$12)</f>
        <v>8.4514999999999993</v>
      </c>
      <c r="I203" s="7">
        <f>CHOOSE( CONTROL!$C$37, 7.4697, 7.4681) * CHOOSE(CONTROL!$C$20, $D$12, 100%, $F$12)</f>
        <v>7.4696999999999996</v>
      </c>
      <c r="J203" s="4">
        <f>CHOOSE( CONTROL!$C$37, 7.3428, 7.3412) * CHOOSE(CONTROL!$C$20, $D$12, 100%, $F$12)</f>
        <v>7.3428000000000004</v>
      </c>
      <c r="K203" s="4"/>
      <c r="L203" s="8">
        <v>29.7257</v>
      </c>
      <c r="M203" s="8">
        <v>11.6745</v>
      </c>
      <c r="N203" s="8">
        <v>4.7850000000000001</v>
      </c>
      <c r="O203" s="8">
        <v>0.36199999999999999</v>
      </c>
      <c r="P203" s="8">
        <v>1.2509999999999999</v>
      </c>
      <c r="Q203" s="8">
        <v>30.501000000000001</v>
      </c>
      <c r="R203" s="8"/>
    </row>
    <row r="204" spans="1:18" ht="14.25" customHeight="1">
      <c r="A204" s="11">
        <v>47300</v>
      </c>
      <c r="B204" s="7">
        <f>CHOOSE( CONTROL!$C$37, 7.8943, 7.8927) * CHOOSE(CONTROL!$C$20, $D$12, 100%, $F$12)</f>
        <v>7.8943000000000003</v>
      </c>
      <c r="C204" s="7">
        <f>CHOOSE( CONTROL!$C$37, 7.9023, 7.9007) * CHOOSE(CONTROL!$C$20, $D$12, 100%, $F$12)</f>
        <v>7.9023000000000003</v>
      </c>
      <c r="D204" s="7">
        <f>CHOOSE( CONTROL!$C$37, 7.9086, 7.9069) * CHOOSE( CONTROL!$C$20, $D$12, 100%, $F$12)</f>
        <v>7.9085999999999999</v>
      </c>
      <c r="E204" s="10">
        <f>CHOOSE( CONTROL!$C$37, 7.9051, 7.9034) * CHOOSE( CONTROL!$C$20, $D$12, 100%, $F$12)</f>
        <v>7.9051</v>
      </c>
      <c r="F204" s="4">
        <f>CHOOSE( CONTROL!$C$37, 8.6196, 8.618) * CHOOSE(CONTROL!$C$20, $D$12, 100%, $F$12)</f>
        <v>8.6196000000000002</v>
      </c>
      <c r="G204" s="7">
        <f>CHOOSE( CONTROL!$C$37, 7.8286, 7.8269) * CHOOSE( CONTROL!$C$20, $D$12, 100%, $F$12)</f>
        <v>7.8285999999999998</v>
      </c>
      <c r="H204" s="4">
        <f>CHOOSE( CONTROL!$C$37, 8.7732, 8.7716) * CHOOSE(CONTROL!$C$20, $D$12, 100%, $F$12)</f>
        <v>8.7731999999999992</v>
      </c>
      <c r="I204" s="7">
        <f>CHOOSE( CONTROL!$C$37, 7.7868, 7.7852) * CHOOSE(CONTROL!$C$20, $D$12, 100%, $F$12)</f>
        <v>7.7868000000000004</v>
      </c>
      <c r="J204" s="4">
        <f>CHOOSE( CONTROL!$C$37, 7.6587, 7.6571) * CHOOSE(CONTROL!$C$20, $D$12, 100%, $F$12)</f>
        <v>7.6586999999999996</v>
      </c>
      <c r="K204" s="4"/>
      <c r="L204" s="8">
        <v>30.7165</v>
      </c>
      <c r="M204" s="8">
        <v>12.063700000000001</v>
      </c>
      <c r="N204" s="8">
        <v>4.9444999999999997</v>
      </c>
      <c r="O204" s="8">
        <v>0.37409999999999999</v>
      </c>
      <c r="P204" s="8">
        <v>1.2927</v>
      </c>
      <c r="Q204" s="8">
        <v>31.517700000000001</v>
      </c>
      <c r="R204" s="8"/>
    </row>
    <row r="205" spans="1:18" ht="14.25" customHeight="1">
      <c r="A205" s="11">
        <v>47331</v>
      </c>
      <c r="B205" s="7">
        <f>CHOOSE( CONTROL!$C$37, 7.2839, 7.2823) * CHOOSE(CONTROL!$C$20, $D$12, 100%, $F$12)</f>
        <v>7.2839</v>
      </c>
      <c r="C205" s="7">
        <f>CHOOSE( CONTROL!$C$37, 7.2919, 7.2903) * CHOOSE(CONTROL!$C$20, $D$12, 100%, $F$12)</f>
        <v>7.2919</v>
      </c>
      <c r="D205" s="7">
        <f>CHOOSE( CONTROL!$C$37, 7.2982, 7.2966) * CHOOSE( CONTROL!$C$20, $D$12, 100%, $F$12)</f>
        <v>7.2981999999999996</v>
      </c>
      <c r="E205" s="10">
        <f>CHOOSE( CONTROL!$C$37, 7.2947, 7.2931) * CHOOSE( CONTROL!$C$20, $D$12, 100%, $F$12)</f>
        <v>7.2946999999999997</v>
      </c>
      <c r="F205" s="4">
        <f>CHOOSE( CONTROL!$C$37, 8.0092, 8.0075) * CHOOSE(CONTROL!$C$20, $D$12, 100%, $F$12)</f>
        <v>8.0091999999999999</v>
      </c>
      <c r="G205" s="7">
        <f>CHOOSE( CONTROL!$C$37, 7.2267, 7.2251) * CHOOSE( CONTROL!$C$20, $D$12, 100%, $F$12)</f>
        <v>7.2267000000000001</v>
      </c>
      <c r="H205" s="4">
        <f>CHOOSE( CONTROL!$C$37, 8.1713, 8.1697) * CHOOSE(CONTROL!$C$20, $D$12, 100%, $F$12)</f>
        <v>8.1713000000000005</v>
      </c>
      <c r="I205" s="7">
        <f>CHOOSE( CONTROL!$C$37, 7.1957, 7.1941) * CHOOSE(CONTROL!$C$20, $D$12, 100%, $F$12)</f>
        <v>7.1957000000000004</v>
      </c>
      <c r="J205" s="4">
        <f>CHOOSE( CONTROL!$C$37, 7.0676, 7.066) * CHOOSE(CONTROL!$C$20, $D$12, 100%, $F$12)</f>
        <v>7.0675999999999997</v>
      </c>
      <c r="K205" s="4"/>
      <c r="L205" s="8">
        <v>30.7165</v>
      </c>
      <c r="M205" s="8">
        <v>12.063700000000001</v>
      </c>
      <c r="N205" s="8">
        <v>4.9444999999999997</v>
      </c>
      <c r="O205" s="8">
        <v>0.37409999999999999</v>
      </c>
      <c r="P205" s="8">
        <v>1.2927</v>
      </c>
      <c r="Q205" s="8">
        <v>31.517700000000001</v>
      </c>
      <c r="R205" s="8"/>
    </row>
    <row r="206" spans="1:18" ht="14.25" customHeight="1">
      <c r="A206" s="11">
        <v>47362</v>
      </c>
      <c r="B206" s="7">
        <f>CHOOSE( CONTROL!$C$37, 7.1311, 7.1294) * CHOOSE(CONTROL!$C$20, $D$12, 100%, $F$12)</f>
        <v>7.1311</v>
      </c>
      <c r="C206" s="7">
        <f>CHOOSE( CONTROL!$C$37, 7.1391, 7.1374) * CHOOSE(CONTROL!$C$20, $D$12, 100%, $F$12)</f>
        <v>7.1391</v>
      </c>
      <c r="D206" s="7">
        <f>CHOOSE( CONTROL!$C$37, 7.1453, 7.1436) * CHOOSE( CONTROL!$C$20, $D$12, 100%, $F$12)</f>
        <v>7.1452999999999998</v>
      </c>
      <c r="E206" s="10">
        <f>CHOOSE( CONTROL!$C$37, 7.1418, 7.1401) * CHOOSE( CONTROL!$C$20, $D$12, 100%, $F$12)</f>
        <v>7.1417999999999999</v>
      </c>
      <c r="F206" s="4">
        <f>CHOOSE( CONTROL!$C$37, 7.8563, 7.8547) * CHOOSE(CONTROL!$C$20, $D$12, 100%, $F$12)</f>
        <v>7.8563000000000001</v>
      </c>
      <c r="G206" s="7">
        <f>CHOOSE( CONTROL!$C$37, 7.0759, 7.0743) * CHOOSE( CONTROL!$C$20, $D$12, 100%, $F$12)</f>
        <v>7.0758999999999999</v>
      </c>
      <c r="H206" s="4">
        <f>CHOOSE( CONTROL!$C$37, 8.0206, 8.0189) * CHOOSE(CONTROL!$C$20, $D$12, 100%, $F$12)</f>
        <v>8.0206</v>
      </c>
      <c r="I206" s="7">
        <f>CHOOSE( CONTROL!$C$37, 7.0473, 7.0457) * CHOOSE(CONTROL!$C$20, $D$12, 100%, $F$12)</f>
        <v>7.0472999999999999</v>
      </c>
      <c r="J206" s="4">
        <f>CHOOSE( CONTROL!$C$37, 6.9196, 6.918) * CHOOSE(CONTROL!$C$20, $D$12, 100%, $F$12)</f>
        <v>6.9196</v>
      </c>
      <c r="K206" s="4"/>
      <c r="L206" s="8">
        <v>29.7257</v>
      </c>
      <c r="M206" s="8">
        <v>11.6745</v>
      </c>
      <c r="N206" s="8">
        <v>4.7850000000000001</v>
      </c>
      <c r="O206" s="8">
        <v>0.36199999999999999</v>
      </c>
      <c r="P206" s="8">
        <v>1.2509999999999999</v>
      </c>
      <c r="Q206" s="8">
        <v>30.501000000000001</v>
      </c>
      <c r="R206" s="8"/>
    </row>
    <row r="207" spans="1:18" ht="14.25" customHeight="1">
      <c r="A207" s="11">
        <v>47392</v>
      </c>
      <c r="B207" s="7">
        <f>CHOOSE( CONTROL!$C$37, 7.4461, 7.4451) * CHOOSE(CONTROL!$C$20, $D$12, 100%, $F$12)</f>
        <v>7.4461000000000004</v>
      </c>
      <c r="C207" s="7">
        <f>CHOOSE( CONTROL!$C$37, 7.4515, 7.4504) * CHOOSE(CONTROL!$C$20, $D$12, 100%, $F$12)</f>
        <v>7.4515000000000002</v>
      </c>
      <c r="D207" s="7">
        <f>CHOOSE( CONTROL!$C$37, 7.4635, 7.4624) * CHOOSE( CONTROL!$C$20, $D$12, 100%, $F$12)</f>
        <v>7.4634999999999998</v>
      </c>
      <c r="E207" s="10">
        <f>CHOOSE( CONTROL!$C$37, 7.459, 7.4579) * CHOOSE( CONTROL!$C$20, $D$12, 100%, $F$12)</f>
        <v>7.4589999999999996</v>
      </c>
      <c r="F207" s="4">
        <f>CHOOSE( CONTROL!$C$37, 8.1731, 8.1721) * CHOOSE(CONTROL!$C$20, $D$12, 100%, $F$12)</f>
        <v>8.1730999999999998</v>
      </c>
      <c r="G207" s="7">
        <f>CHOOSE( CONTROL!$C$37, 7.3884, 7.3874) * CHOOSE( CONTROL!$C$20, $D$12, 100%, $F$12)</f>
        <v>7.3883999999999999</v>
      </c>
      <c r="H207" s="4">
        <f>CHOOSE( CONTROL!$C$37, 8.333, 8.3319) * CHOOSE(CONTROL!$C$20, $D$12, 100%, $F$12)</f>
        <v>8.3330000000000002</v>
      </c>
      <c r="I207" s="7">
        <f>CHOOSE( CONTROL!$C$37, 7.3549, 7.3538) * CHOOSE(CONTROL!$C$20, $D$12, 100%, $F$12)</f>
        <v>7.3548999999999998</v>
      </c>
      <c r="J207" s="4">
        <f>CHOOSE( CONTROL!$C$37, 7.2264, 7.2253) * CHOOSE(CONTROL!$C$20, $D$12, 100%, $F$12)</f>
        <v>7.2263999999999999</v>
      </c>
      <c r="K207" s="4"/>
      <c r="L207" s="8">
        <v>31.095300000000002</v>
      </c>
      <c r="M207" s="8">
        <v>12.063700000000001</v>
      </c>
      <c r="N207" s="8">
        <v>4.9444999999999997</v>
      </c>
      <c r="O207" s="8">
        <v>0.37409999999999999</v>
      </c>
      <c r="P207" s="8">
        <v>1.2927</v>
      </c>
      <c r="Q207" s="8">
        <v>31.517700000000001</v>
      </c>
      <c r="R207" s="8"/>
    </row>
    <row r="208" spans="1:18" ht="14.25" customHeight="1">
      <c r="A208" s="11">
        <v>47423</v>
      </c>
      <c r="B208" s="7">
        <f>CHOOSE( CONTROL!$C$37, 8.0316, 8.0305) * CHOOSE(CONTROL!$C$20, $D$12, 100%, $F$12)</f>
        <v>8.0315999999999992</v>
      </c>
      <c r="C208" s="7">
        <f>CHOOSE( CONTROL!$C$37, 8.0367, 8.0356) * CHOOSE(CONTROL!$C$20, $D$12, 100%, $F$12)</f>
        <v>8.0366999999999997</v>
      </c>
      <c r="D208" s="7">
        <f>CHOOSE( CONTROL!$C$37, 8.0151, 8.014) * CHOOSE( CONTROL!$C$20, $D$12, 100%, $F$12)</f>
        <v>8.0151000000000003</v>
      </c>
      <c r="E208" s="10">
        <f>CHOOSE( CONTROL!$C$37, 8.0225, 8.0214) * CHOOSE( CONTROL!$C$20, $D$12, 100%, $F$12)</f>
        <v>8.0225000000000009</v>
      </c>
      <c r="F208" s="4">
        <f>CHOOSE( CONTROL!$C$37, 8.6841, 8.683) * CHOOSE(CONTROL!$C$20, $D$12, 100%, $F$12)</f>
        <v>8.6841000000000008</v>
      </c>
      <c r="G208" s="7">
        <f>CHOOSE( CONTROL!$C$37, 7.9522, 7.9511) * CHOOSE( CONTROL!$C$20, $D$12, 100%, $F$12)</f>
        <v>7.9522000000000004</v>
      </c>
      <c r="H208" s="4">
        <f>CHOOSE( CONTROL!$C$37, 8.8368, 8.8357) * CHOOSE(CONTROL!$C$20, $D$12, 100%, $F$12)</f>
        <v>8.8368000000000002</v>
      </c>
      <c r="I208" s="7">
        <f>CHOOSE( CONTROL!$C$37, 7.9736, 7.9725) * CHOOSE(CONTROL!$C$20, $D$12, 100%, $F$12)</f>
        <v>7.9736000000000002</v>
      </c>
      <c r="J208" s="4">
        <f>CHOOSE( CONTROL!$C$37, 7.7936, 7.7926) * CHOOSE(CONTROL!$C$20, $D$12, 100%, $F$12)</f>
        <v>7.7935999999999996</v>
      </c>
      <c r="K208" s="4"/>
      <c r="L208" s="8">
        <v>28.360600000000002</v>
      </c>
      <c r="M208" s="8">
        <v>11.6745</v>
      </c>
      <c r="N208" s="8">
        <v>4.7850000000000001</v>
      </c>
      <c r="O208" s="8">
        <v>0.36199999999999999</v>
      </c>
      <c r="P208" s="8">
        <v>1.2509999999999999</v>
      </c>
      <c r="Q208" s="8">
        <v>30.501000000000001</v>
      </c>
      <c r="R208" s="8"/>
    </row>
    <row r="209" spans="1:18" ht="14.25" customHeight="1">
      <c r="A209" s="11">
        <v>47453</v>
      </c>
      <c r="B209" s="7">
        <f>CHOOSE( CONTROL!$C$37, 8.0169, 8.0158) * CHOOSE(CONTROL!$C$20, $D$12, 100%, $F$12)</f>
        <v>8.0168999999999997</v>
      </c>
      <c r="C209" s="7">
        <f>CHOOSE( CONTROL!$C$37, 8.022, 8.0209) * CHOOSE(CONTROL!$C$20, $D$12, 100%, $F$12)</f>
        <v>8.0220000000000002</v>
      </c>
      <c r="D209" s="7">
        <f>CHOOSE( CONTROL!$C$37, 8.002, 8.001) * CHOOSE( CONTROL!$C$20, $D$12, 100%, $F$12)</f>
        <v>8.0020000000000007</v>
      </c>
      <c r="E209" s="10">
        <f>CHOOSE( CONTROL!$C$37, 8.0088, 8.0077) * CHOOSE( CONTROL!$C$20, $D$12, 100%, $F$12)</f>
        <v>8.0088000000000008</v>
      </c>
      <c r="F209" s="4">
        <f>CHOOSE( CONTROL!$C$37, 8.6695, 8.6684) * CHOOSE(CONTROL!$C$20, $D$12, 100%, $F$12)</f>
        <v>8.6694999999999993</v>
      </c>
      <c r="G209" s="7">
        <f>CHOOSE( CONTROL!$C$37, 7.9389, 7.9378) * CHOOSE( CONTROL!$C$20, $D$12, 100%, $F$12)</f>
        <v>7.9389000000000003</v>
      </c>
      <c r="H209" s="4">
        <f>CHOOSE( CONTROL!$C$37, 8.8224, 8.8213) * CHOOSE(CONTROL!$C$20, $D$12, 100%, $F$12)</f>
        <v>8.8224</v>
      </c>
      <c r="I209" s="7">
        <f>CHOOSE( CONTROL!$C$37, 7.9643, 7.9632) * CHOOSE(CONTROL!$C$20, $D$12, 100%, $F$12)</f>
        <v>7.9642999999999997</v>
      </c>
      <c r="J209" s="4">
        <f>CHOOSE( CONTROL!$C$37, 7.7794, 7.7784) * CHOOSE(CONTROL!$C$20, $D$12, 100%, $F$12)</f>
        <v>7.7793999999999999</v>
      </c>
      <c r="K209" s="4"/>
      <c r="L209" s="8">
        <v>29.306000000000001</v>
      </c>
      <c r="M209" s="8">
        <v>12.063700000000001</v>
      </c>
      <c r="N209" s="8">
        <v>4.9444999999999997</v>
      </c>
      <c r="O209" s="8">
        <v>0.37409999999999999</v>
      </c>
      <c r="P209" s="8">
        <v>1.2927</v>
      </c>
      <c r="Q209" s="8">
        <v>31.517700000000001</v>
      </c>
      <c r="R209" s="8"/>
    </row>
    <row r="210" spans="1:18" ht="14.25" customHeight="1">
      <c r="A210" s="11">
        <v>47484</v>
      </c>
      <c r="B210" s="7">
        <f>CHOOSE( CONTROL!$C$37, 8.3872, 8.3861) * CHOOSE(CONTROL!$C$20, $D$12, 100%, $F$12)</f>
        <v>8.3872</v>
      </c>
      <c r="C210" s="7">
        <f>CHOOSE( CONTROL!$C$37, 8.3923, 8.3912) * CHOOSE(CONTROL!$C$20, $D$12, 100%, $F$12)</f>
        <v>8.3923000000000005</v>
      </c>
      <c r="D210" s="7">
        <f>CHOOSE( CONTROL!$C$37, 8.3854, 8.3843) * CHOOSE( CONTROL!$C$20, $D$12, 100%, $F$12)</f>
        <v>8.3854000000000006</v>
      </c>
      <c r="E210" s="10">
        <f>CHOOSE( CONTROL!$C$37, 8.3874, 8.3863) * CHOOSE( CONTROL!$C$20, $D$12, 100%, $F$12)</f>
        <v>8.3873999999999995</v>
      </c>
      <c r="F210" s="4">
        <f>CHOOSE( CONTROL!$C$37, 9.0398, 9.0387) * CHOOSE(CONTROL!$C$20, $D$12, 100%, $F$12)</f>
        <v>9.0397999999999996</v>
      </c>
      <c r="G210" s="7">
        <f>CHOOSE( CONTROL!$C$37, 8.3085, 8.3075) * CHOOSE( CONTROL!$C$20, $D$12, 100%, $F$12)</f>
        <v>8.3085000000000004</v>
      </c>
      <c r="H210" s="4">
        <f>CHOOSE( CONTROL!$C$37, 9.1875, 9.1864) * CHOOSE(CONTROL!$C$20, $D$12, 100%, $F$12)</f>
        <v>9.1875</v>
      </c>
      <c r="I210" s="7">
        <f>CHOOSE( CONTROL!$C$37, 8.2943, 8.2932) * CHOOSE(CONTROL!$C$20, $D$12, 100%, $F$12)</f>
        <v>8.2942999999999998</v>
      </c>
      <c r="J210" s="4">
        <f>CHOOSE( CONTROL!$C$37, 8.138, 8.137) * CHOOSE(CONTROL!$C$20, $D$12, 100%, $F$12)</f>
        <v>8.1379999999999999</v>
      </c>
      <c r="K210" s="4"/>
      <c r="L210" s="8">
        <v>29.306000000000001</v>
      </c>
      <c r="M210" s="8">
        <v>12.063700000000001</v>
      </c>
      <c r="N210" s="8">
        <v>4.9444999999999997</v>
      </c>
      <c r="O210" s="8">
        <v>0.37409999999999999</v>
      </c>
      <c r="P210" s="8">
        <v>1.2927</v>
      </c>
      <c r="Q210" s="8">
        <v>31.333600000000001</v>
      </c>
      <c r="R210" s="8"/>
    </row>
    <row r="211" spans="1:18" ht="14.25" customHeight="1">
      <c r="A211" s="11">
        <v>47515</v>
      </c>
      <c r="B211" s="7">
        <f>CHOOSE( CONTROL!$C$37, 7.844, 7.8429) * CHOOSE(CONTROL!$C$20, $D$12, 100%, $F$12)</f>
        <v>7.8440000000000003</v>
      </c>
      <c r="C211" s="7">
        <f>CHOOSE( CONTROL!$C$37, 7.8491, 7.848) * CHOOSE(CONTROL!$C$20, $D$12, 100%, $F$12)</f>
        <v>7.8491</v>
      </c>
      <c r="D211" s="7">
        <f>CHOOSE( CONTROL!$C$37, 7.8421, 7.841) * CHOOSE( CONTROL!$C$20, $D$12, 100%, $F$12)</f>
        <v>7.8421000000000003</v>
      </c>
      <c r="E211" s="10">
        <f>CHOOSE( CONTROL!$C$37, 7.8441, 7.843) * CHOOSE( CONTROL!$C$20, $D$12, 100%, $F$12)</f>
        <v>7.8441000000000001</v>
      </c>
      <c r="F211" s="4">
        <f>CHOOSE( CONTROL!$C$37, 8.4965, 8.4954) * CHOOSE(CONTROL!$C$20, $D$12, 100%, $F$12)</f>
        <v>8.4964999999999993</v>
      </c>
      <c r="G211" s="7">
        <f>CHOOSE( CONTROL!$C$37, 7.7728, 7.7717) * CHOOSE( CONTROL!$C$20, $D$12, 100%, $F$12)</f>
        <v>7.7728000000000002</v>
      </c>
      <c r="H211" s="4">
        <f>CHOOSE( CONTROL!$C$37, 8.6518, 8.6507) * CHOOSE(CONTROL!$C$20, $D$12, 100%, $F$12)</f>
        <v>8.6517999999999997</v>
      </c>
      <c r="I211" s="7">
        <f>CHOOSE( CONTROL!$C$37, 7.7677, 7.7667) * CHOOSE(CONTROL!$C$20, $D$12, 100%, $F$12)</f>
        <v>7.7676999999999996</v>
      </c>
      <c r="J211" s="4">
        <f>CHOOSE( CONTROL!$C$37, 7.612, 7.6109) * CHOOSE(CONTROL!$C$20, $D$12, 100%, $F$12)</f>
        <v>7.6120000000000001</v>
      </c>
      <c r="K211" s="4"/>
      <c r="L211" s="8">
        <v>26.469899999999999</v>
      </c>
      <c r="M211" s="8">
        <v>10.8962</v>
      </c>
      <c r="N211" s="8">
        <v>4.4660000000000002</v>
      </c>
      <c r="O211" s="8">
        <v>0.33789999999999998</v>
      </c>
      <c r="P211" s="8">
        <v>1.1676</v>
      </c>
      <c r="Q211" s="8">
        <v>28.301300000000001</v>
      </c>
      <c r="R211" s="8"/>
    </row>
    <row r="212" spans="1:18" ht="14.25" customHeight="1">
      <c r="A212" s="11">
        <v>47543</v>
      </c>
      <c r="B212" s="7">
        <f>CHOOSE( CONTROL!$C$37, 7.6766, 7.6756) * CHOOSE(CONTROL!$C$20, $D$12, 100%, $F$12)</f>
        <v>7.6765999999999996</v>
      </c>
      <c r="C212" s="7">
        <f>CHOOSE( CONTROL!$C$37, 7.6817, 7.6807) * CHOOSE(CONTROL!$C$20, $D$12, 100%, $F$12)</f>
        <v>7.6817000000000002</v>
      </c>
      <c r="D212" s="7">
        <f>CHOOSE( CONTROL!$C$37, 7.6741, 7.6731) * CHOOSE( CONTROL!$C$20, $D$12, 100%, $F$12)</f>
        <v>7.6741000000000001</v>
      </c>
      <c r="E212" s="10">
        <f>CHOOSE( CONTROL!$C$37, 7.6763, 7.6753) * CHOOSE( CONTROL!$C$20, $D$12, 100%, $F$12)</f>
        <v>7.6763000000000003</v>
      </c>
      <c r="F212" s="4">
        <f>CHOOSE( CONTROL!$C$37, 8.3292, 8.3281) * CHOOSE(CONTROL!$C$20, $D$12, 100%, $F$12)</f>
        <v>8.3292000000000002</v>
      </c>
      <c r="G212" s="7">
        <f>CHOOSE( CONTROL!$C$37, 7.6073, 7.6063) * CHOOSE( CONTROL!$C$20, $D$12, 100%, $F$12)</f>
        <v>7.6073000000000004</v>
      </c>
      <c r="H212" s="4">
        <f>CHOOSE( CONTROL!$C$37, 8.4868, 8.4858) * CHOOSE(CONTROL!$C$20, $D$12, 100%, $F$12)</f>
        <v>8.4868000000000006</v>
      </c>
      <c r="I212" s="7">
        <f>CHOOSE( CONTROL!$C$37, 7.6037, 7.6026) * CHOOSE(CONTROL!$C$20, $D$12, 100%, $F$12)</f>
        <v>7.6036999999999999</v>
      </c>
      <c r="J212" s="4">
        <f>CHOOSE( CONTROL!$C$37, 7.45, 7.4489) * CHOOSE(CONTROL!$C$20, $D$12, 100%, $F$12)</f>
        <v>7.45</v>
      </c>
      <c r="K212" s="4"/>
      <c r="L212" s="8">
        <v>29.306000000000001</v>
      </c>
      <c r="M212" s="8">
        <v>12.063700000000001</v>
      </c>
      <c r="N212" s="8">
        <v>4.9444999999999997</v>
      </c>
      <c r="O212" s="8">
        <v>0.37409999999999999</v>
      </c>
      <c r="P212" s="8">
        <v>1.2927</v>
      </c>
      <c r="Q212" s="8">
        <v>31.333600000000001</v>
      </c>
      <c r="R212" s="8"/>
    </row>
    <row r="213" spans="1:18" ht="14.25" customHeight="1">
      <c r="A213" s="11">
        <v>47574</v>
      </c>
      <c r="B213" s="7">
        <f>CHOOSE( CONTROL!$C$37, 7.7943, 7.7932) * CHOOSE(CONTROL!$C$20, $D$12, 100%, $F$12)</f>
        <v>7.7942999999999998</v>
      </c>
      <c r="C213" s="7">
        <f>CHOOSE( CONTROL!$C$37, 7.7989, 7.7978) * CHOOSE(CONTROL!$C$20, $D$12, 100%, $F$12)</f>
        <v>7.7988999999999997</v>
      </c>
      <c r="D213" s="7">
        <f>CHOOSE( CONTROL!$C$37, 7.8107, 7.8096) * CHOOSE( CONTROL!$C$20, $D$12, 100%, $F$12)</f>
        <v>7.8106999999999998</v>
      </c>
      <c r="E213" s="10">
        <f>CHOOSE( CONTROL!$C$37, 7.8063, 7.8052) * CHOOSE( CONTROL!$C$20, $D$12, 100%, $F$12)</f>
        <v>7.8063000000000002</v>
      </c>
      <c r="F213" s="4">
        <f>CHOOSE( CONTROL!$C$37, 8.521, 8.5199) * CHOOSE(CONTROL!$C$20, $D$12, 100%, $F$12)</f>
        <v>8.5210000000000008</v>
      </c>
      <c r="G213" s="7">
        <f>CHOOSE( CONTROL!$C$37, 7.7309, 7.7298) * CHOOSE( CONTROL!$C$20, $D$12, 100%, $F$12)</f>
        <v>7.7309000000000001</v>
      </c>
      <c r="H213" s="4">
        <f>CHOOSE( CONTROL!$C$37, 8.6759, 8.6749) * CHOOSE(CONTROL!$C$20, $D$12, 100%, $F$12)</f>
        <v>8.6759000000000004</v>
      </c>
      <c r="I213" s="7">
        <f>CHOOSE( CONTROL!$C$37, 7.6896, 7.6885) * CHOOSE(CONTROL!$C$20, $D$12, 100%, $F$12)</f>
        <v>7.6896000000000004</v>
      </c>
      <c r="J213" s="4">
        <f>CHOOSE( CONTROL!$C$37, 7.5632, 7.5621) * CHOOSE(CONTROL!$C$20, $D$12, 100%, $F$12)</f>
        <v>7.5632000000000001</v>
      </c>
      <c r="K213" s="4"/>
      <c r="L213" s="8">
        <v>30.092199999999998</v>
      </c>
      <c r="M213" s="8">
        <v>11.6745</v>
      </c>
      <c r="N213" s="8">
        <v>4.7850000000000001</v>
      </c>
      <c r="O213" s="8">
        <v>0.36199999999999999</v>
      </c>
      <c r="P213" s="8">
        <v>1.2509999999999999</v>
      </c>
      <c r="Q213" s="8">
        <v>30.322800000000001</v>
      </c>
      <c r="R213" s="8"/>
    </row>
    <row r="214" spans="1:18" ht="14.25" customHeight="1">
      <c r="A214" s="11">
        <v>47604</v>
      </c>
      <c r="B214" s="7">
        <f>CHOOSE( CONTROL!$C$37, 8.0044, 8.0027) * CHOOSE(CONTROL!$C$20, $D$12, 100%, $F$12)</f>
        <v>8.0044000000000004</v>
      </c>
      <c r="C214" s="7">
        <f>CHOOSE( CONTROL!$C$37, 8.0124, 8.0107) * CHOOSE(CONTROL!$C$20, $D$12, 100%, $F$12)</f>
        <v>8.0123999999999995</v>
      </c>
      <c r="D214" s="7">
        <f>CHOOSE( CONTROL!$C$37, 8.018, 8.0164) * CHOOSE( CONTROL!$C$20, $D$12, 100%, $F$12)</f>
        <v>8.0180000000000007</v>
      </c>
      <c r="E214" s="10">
        <f>CHOOSE( CONTROL!$C$37, 8.0148, 8.0131) * CHOOSE( CONTROL!$C$20, $D$12, 100%, $F$12)</f>
        <v>8.0147999999999993</v>
      </c>
      <c r="F214" s="4">
        <f>CHOOSE( CONTROL!$C$37, 8.7296, 8.728) * CHOOSE(CONTROL!$C$20, $D$12, 100%, $F$12)</f>
        <v>8.7295999999999996</v>
      </c>
      <c r="G214" s="7">
        <f>CHOOSE( CONTROL!$C$37, 7.9366, 7.935) * CHOOSE( CONTROL!$C$20, $D$12, 100%, $F$12)</f>
        <v>7.9366000000000003</v>
      </c>
      <c r="H214" s="4">
        <f>CHOOSE( CONTROL!$C$37, 8.8817, 8.8801) * CHOOSE(CONTROL!$C$20, $D$12, 100%, $F$12)</f>
        <v>8.8817000000000004</v>
      </c>
      <c r="I214" s="7">
        <f>CHOOSE( CONTROL!$C$37, 7.8914, 7.8898) * CHOOSE(CONTROL!$C$20, $D$12, 100%, $F$12)</f>
        <v>7.8914</v>
      </c>
      <c r="J214" s="4">
        <f>CHOOSE( CONTROL!$C$37, 7.7652, 7.7636) * CHOOSE(CONTROL!$C$20, $D$12, 100%, $F$12)</f>
        <v>7.7652000000000001</v>
      </c>
      <c r="K214" s="4"/>
      <c r="L214" s="8">
        <v>30.7165</v>
      </c>
      <c r="M214" s="8">
        <v>12.063700000000001</v>
      </c>
      <c r="N214" s="8">
        <v>4.9444999999999997</v>
      </c>
      <c r="O214" s="8">
        <v>0.37409999999999999</v>
      </c>
      <c r="P214" s="8">
        <v>1.2927</v>
      </c>
      <c r="Q214" s="8">
        <v>31.333600000000001</v>
      </c>
      <c r="R214" s="8"/>
    </row>
    <row r="215" spans="1:18" ht="14.25" customHeight="1">
      <c r="A215" s="11">
        <v>47635</v>
      </c>
      <c r="B215" s="7">
        <f>CHOOSE( CONTROL!$C$37, 7.8755, 7.8738) * CHOOSE(CONTROL!$C$20, $D$12, 100%, $F$12)</f>
        <v>7.8754999999999997</v>
      </c>
      <c r="C215" s="7">
        <f>CHOOSE( CONTROL!$C$37, 7.8835, 7.8818) * CHOOSE(CONTROL!$C$20, $D$12, 100%, $F$12)</f>
        <v>7.8834999999999997</v>
      </c>
      <c r="D215" s="7">
        <f>CHOOSE( CONTROL!$C$37, 7.8894, 7.8877) * CHOOSE( CONTROL!$C$20, $D$12, 100%, $F$12)</f>
        <v>7.8894000000000002</v>
      </c>
      <c r="E215" s="10">
        <f>CHOOSE( CONTROL!$C$37, 7.886, 7.8843) * CHOOSE( CONTROL!$C$20, $D$12, 100%, $F$12)</f>
        <v>7.8860000000000001</v>
      </c>
      <c r="F215" s="4">
        <f>CHOOSE( CONTROL!$C$37, 8.6007, 8.5991) * CHOOSE(CONTROL!$C$20, $D$12, 100%, $F$12)</f>
        <v>8.6006999999999998</v>
      </c>
      <c r="G215" s="7">
        <f>CHOOSE( CONTROL!$C$37, 7.8097, 7.8081) * CHOOSE( CONTROL!$C$20, $D$12, 100%, $F$12)</f>
        <v>7.8097000000000003</v>
      </c>
      <c r="H215" s="4">
        <f>CHOOSE( CONTROL!$C$37, 8.7546, 8.753) * CHOOSE(CONTROL!$C$20, $D$12, 100%, $F$12)</f>
        <v>8.7545999999999999</v>
      </c>
      <c r="I215" s="7">
        <f>CHOOSE( CONTROL!$C$37, 7.7675, 7.7659) * CHOOSE(CONTROL!$C$20, $D$12, 100%, $F$12)</f>
        <v>7.7675000000000001</v>
      </c>
      <c r="J215" s="4">
        <f>CHOOSE( CONTROL!$C$37, 7.6404, 7.6388) * CHOOSE(CONTROL!$C$20, $D$12, 100%, $F$12)</f>
        <v>7.6403999999999996</v>
      </c>
      <c r="K215" s="4"/>
      <c r="L215" s="8">
        <v>29.7257</v>
      </c>
      <c r="M215" s="8">
        <v>11.6745</v>
      </c>
      <c r="N215" s="8">
        <v>4.7850000000000001</v>
      </c>
      <c r="O215" s="8">
        <v>0.36199999999999999</v>
      </c>
      <c r="P215" s="8">
        <v>1.2509999999999999</v>
      </c>
      <c r="Q215" s="8">
        <v>30.322800000000001</v>
      </c>
      <c r="R215" s="8"/>
    </row>
    <row r="216" spans="1:18" ht="14.25" customHeight="1">
      <c r="A216" s="11">
        <v>47665</v>
      </c>
      <c r="B216" s="7">
        <f>CHOOSE( CONTROL!$C$37, 8.2149, 8.2133) * CHOOSE(CONTROL!$C$20, $D$12, 100%, $F$12)</f>
        <v>8.2149000000000001</v>
      </c>
      <c r="C216" s="7">
        <f>CHOOSE( CONTROL!$C$37, 8.2229, 8.2213) * CHOOSE(CONTROL!$C$20, $D$12, 100%, $F$12)</f>
        <v>8.2228999999999992</v>
      </c>
      <c r="D216" s="7">
        <f>CHOOSE( CONTROL!$C$37, 8.2291, 8.2275) * CHOOSE( CONTROL!$C$20, $D$12, 100%, $F$12)</f>
        <v>8.2291000000000007</v>
      </c>
      <c r="E216" s="10">
        <f>CHOOSE( CONTROL!$C$37, 8.2256, 8.224) * CHOOSE( CONTROL!$C$20, $D$12, 100%, $F$12)</f>
        <v>8.2256</v>
      </c>
      <c r="F216" s="4">
        <f>CHOOSE( CONTROL!$C$37, 8.9402, 8.9385) * CHOOSE(CONTROL!$C$20, $D$12, 100%, $F$12)</f>
        <v>8.9402000000000008</v>
      </c>
      <c r="G216" s="7">
        <f>CHOOSE( CONTROL!$C$37, 8.1447, 8.143) * CHOOSE( CONTROL!$C$20, $D$12, 100%, $F$12)</f>
        <v>8.1447000000000003</v>
      </c>
      <c r="H216" s="4">
        <f>CHOOSE( CONTROL!$C$37, 9.0893, 9.0877) * CHOOSE(CONTROL!$C$20, $D$12, 100%, $F$12)</f>
        <v>9.0892999999999997</v>
      </c>
      <c r="I216" s="7">
        <f>CHOOSE( CONTROL!$C$37, 8.0974, 8.0958) * CHOOSE(CONTROL!$C$20, $D$12, 100%, $F$12)</f>
        <v>8.0974000000000004</v>
      </c>
      <c r="J216" s="4">
        <f>CHOOSE( CONTROL!$C$37, 7.9691, 7.9675) * CHOOSE(CONTROL!$C$20, $D$12, 100%, $F$12)</f>
        <v>7.9691000000000001</v>
      </c>
      <c r="K216" s="4"/>
      <c r="L216" s="8">
        <v>30.7165</v>
      </c>
      <c r="M216" s="8">
        <v>12.063700000000001</v>
      </c>
      <c r="N216" s="8">
        <v>4.9444999999999997</v>
      </c>
      <c r="O216" s="8">
        <v>0.37409999999999999</v>
      </c>
      <c r="P216" s="8">
        <v>1.2927</v>
      </c>
      <c r="Q216" s="8">
        <v>31.333600000000001</v>
      </c>
      <c r="R216" s="8"/>
    </row>
    <row r="217" spans="1:18" ht="14.25" customHeight="1">
      <c r="A217" s="11">
        <v>47696</v>
      </c>
      <c r="B217" s="7">
        <f>CHOOSE( CONTROL!$C$37, 7.5798, 7.5781) * CHOOSE(CONTROL!$C$20, $D$12, 100%, $F$12)</f>
        <v>7.5797999999999996</v>
      </c>
      <c r="C217" s="7">
        <f>CHOOSE( CONTROL!$C$37, 7.5877, 7.5861) * CHOOSE(CONTROL!$C$20, $D$12, 100%, $F$12)</f>
        <v>7.5876999999999999</v>
      </c>
      <c r="D217" s="7">
        <f>CHOOSE( CONTROL!$C$37, 7.5941, 7.5924) * CHOOSE( CONTROL!$C$20, $D$12, 100%, $F$12)</f>
        <v>7.5941000000000001</v>
      </c>
      <c r="E217" s="10">
        <f>CHOOSE( CONTROL!$C$37, 7.5906, 7.5889) * CHOOSE( CONTROL!$C$20, $D$12, 100%, $F$12)</f>
        <v>7.5906000000000002</v>
      </c>
      <c r="F217" s="4">
        <f>CHOOSE( CONTROL!$C$37, 8.305, 8.3034) * CHOOSE(CONTROL!$C$20, $D$12, 100%, $F$12)</f>
        <v>8.3049999999999997</v>
      </c>
      <c r="G217" s="7">
        <f>CHOOSE( CONTROL!$C$37, 7.5184, 7.5168) * CHOOSE( CONTROL!$C$20, $D$12, 100%, $F$12)</f>
        <v>7.5183999999999997</v>
      </c>
      <c r="H217" s="4">
        <f>CHOOSE( CONTROL!$C$37, 8.463, 8.4614) * CHOOSE(CONTROL!$C$20, $D$12, 100%, $F$12)</f>
        <v>8.4629999999999992</v>
      </c>
      <c r="I217" s="7">
        <f>CHOOSE( CONTROL!$C$37, 7.4823, 7.4807) * CHOOSE(CONTROL!$C$20, $D$12, 100%, $F$12)</f>
        <v>7.4823000000000004</v>
      </c>
      <c r="J217" s="4">
        <f>CHOOSE( CONTROL!$C$37, 7.3541, 7.3525) * CHOOSE(CONTROL!$C$20, $D$12, 100%, $F$12)</f>
        <v>7.3540999999999999</v>
      </c>
      <c r="K217" s="4"/>
      <c r="L217" s="8">
        <v>30.7165</v>
      </c>
      <c r="M217" s="8">
        <v>12.063700000000001</v>
      </c>
      <c r="N217" s="8">
        <v>4.9444999999999997</v>
      </c>
      <c r="O217" s="8">
        <v>0.37409999999999999</v>
      </c>
      <c r="P217" s="8">
        <v>1.2927</v>
      </c>
      <c r="Q217" s="8">
        <v>31.333600000000001</v>
      </c>
      <c r="R217" s="8"/>
    </row>
    <row r="218" spans="1:18" ht="14.25" customHeight="1">
      <c r="A218" s="11">
        <v>47727</v>
      </c>
      <c r="B218" s="7">
        <f>CHOOSE( CONTROL!$C$37, 7.4207, 7.419) * CHOOSE(CONTROL!$C$20, $D$12, 100%, $F$12)</f>
        <v>7.4207000000000001</v>
      </c>
      <c r="C218" s="7">
        <f>CHOOSE( CONTROL!$C$37, 7.4287, 7.427) * CHOOSE(CONTROL!$C$20, $D$12, 100%, $F$12)</f>
        <v>7.4287000000000001</v>
      </c>
      <c r="D218" s="7">
        <f>CHOOSE( CONTROL!$C$37, 7.4349, 7.4332) * CHOOSE( CONTROL!$C$20, $D$12, 100%, $F$12)</f>
        <v>7.4348999999999998</v>
      </c>
      <c r="E218" s="10">
        <f>CHOOSE( CONTROL!$C$37, 7.4314, 7.4297) * CHOOSE( CONTROL!$C$20, $D$12, 100%, $F$12)</f>
        <v>7.4314</v>
      </c>
      <c r="F218" s="4">
        <f>CHOOSE( CONTROL!$C$37, 8.146, 8.1443) * CHOOSE(CONTROL!$C$20, $D$12, 100%, $F$12)</f>
        <v>8.1460000000000008</v>
      </c>
      <c r="G218" s="7">
        <f>CHOOSE( CONTROL!$C$37, 7.3615, 7.3599) * CHOOSE( CONTROL!$C$20, $D$12, 100%, $F$12)</f>
        <v>7.3615000000000004</v>
      </c>
      <c r="H218" s="4">
        <f>CHOOSE( CONTROL!$C$37, 8.3062, 8.3045) * CHOOSE(CONTROL!$C$20, $D$12, 100%, $F$12)</f>
        <v>8.3062000000000005</v>
      </c>
      <c r="I218" s="7">
        <f>CHOOSE( CONTROL!$C$37, 7.3279, 7.3263) * CHOOSE(CONTROL!$C$20, $D$12, 100%, $F$12)</f>
        <v>7.3278999999999996</v>
      </c>
      <c r="J218" s="4">
        <f>CHOOSE( CONTROL!$C$37, 7.2001, 7.1984) * CHOOSE(CONTROL!$C$20, $D$12, 100%, $F$12)</f>
        <v>7.2000999999999999</v>
      </c>
      <c r="K218" s="4"/>
      <c r="L218" s="8">
        <v>29.7257</v>
      </c>
      <c r="M218" s="8">
        <v>11.6745</v>
      </c>
      <c r="N218" s="8">
        <v>4.7850000000000001</v>
      </c>
      <c r="O218" s="8">
        <v>0.36199999999999999</v>
      </c>
      <c r="P218" s="8">
        <v>1.2509999999999999</v>
      </c>
      <c r="Q218" s="8">
        <v>30.322800000000001</v>
      </c>
      <c r="R218" s="8"/>
    </row>
    <row r="219" spans="1:18" ht="14.25" customHeight="1">
      <c r="A219" s="11">
        <v>47757</v>
      </c>
      <c r="B219" s="7">
        <f>CHOOSE( CONTROL!$C$37, 7.7486, 7.7476) * CHOOSE(CONTROL!$C$20, $D$12, 100%, $F$12)</f>
        <v>7.7485999999999997</v>
      </c>
      <c r="C219" s="7">
        <f>CHOOSE( CONTROL!$C$37, 7.754, 7.7529) * CHOOSE(CONTROL!$C$20, $D$12, 100%, $F$12)</f>
        <v>7.7539999999999996</v>
      </c>
      <c r="D219" s="7">
        <f>CHOOSE( CONTROL!$C$37, 7.766, 7.7649) * CHOOSE( CONTROL!$C$20, $D$12, 100%, $F$12)</f>
        <v>7.766</v>
      </c>
      <c r="E219" s="10">
        <f>CHOOSE( CONTROL!$C$37, 7.7615, 7.7604) * CHOOSE( CONTROL!$C$20, $D$12, 100%, $F$12)</f>
        <v>7.7614999999999998</v>
      </c>
      <c r="F219" s="4">
        <f>CHOOSE( CONTROL!$C$37, 8.4757, 8.4746) * CHOOSE(CONTROL!$C$20, $D$12, 100%, $F$12)</f>
        <v>8.4756999999999998</v>
      </c>
      <c r="G219" s="7">
        <f>CHOOSE( CONTROL!$C$37, 7.6867, 7.6856) * CHOOSE( CONTROL!$C$20, $D$12, 100%, $F$12)</f>
        <v>7.6867000000000001</v>
      </c>
      <c r="H219" s="4">
        <f>CHOOSE( CONTROL!$C$37, 8.6313, 8.6302) * CHOOSE(CONTROL!$C$20, $D$12, 100%, $F$12)</f>
        <v>8.6312999999999995</v>
      </c>
      <c r="I219" s="7">
        <f>CHOOSE( CONTROL!$C$37, 7.6479, 7.6469) * CHOOSE(CONTROL!$C$20, $D$12, 100%, $F$12)</f>
        <v>7.6478999999999999</v>
      </c>
      <c r="J219" s="4">
        <f>CHOOSE( CONTROL!$C$37, 7.5193, 7.5182) * CHOOSE(CONTROL!$C$20, $D$12, 100%, $F$12)</f>
        <v>7.5193000000000003</v>
      </c>
      <c r="K219" s="4"/>
      <c r="L219" s="8">
        <v>31.095300000000002</v>
      </c>
      <c r="M219" s="8">
        <v>12.063700000000001</v>
      </c>
      <c r="N219" s="8">
        <v>4.9444999999999997</v>
      </c>
      <c r="O219" s="8">
        <v>0.37409999999999999</v>
      </c>
      <c r="P219" s="8">
        <v>1.2927</v>
      </c>
      <c r="Q219" s="8">
        <v>31.333600000000001</v>
      </c>
      <c r="R219" s="8"/>
    </row>
    <row r="220" spans="1:18" ht="14.25" customHeight="1">
      <c r="A220" s="11">
        <v>47788</v>
      </c>
      <c r="B220" s="7">
        <f>CHOOSE( CONTROL!$C$37, 8.3578, 8.3567) * CHOOSE(CONTROL!$C$20, $D$12, 100%, $F$12)</f>
        <v>8.3577999999999992</v>
      </c>
      <c r="C220" s="7">
        <f>CHOOSE( CONTROL!$C$37, 8.3629, 8.3618) * CHOOSE(CONTROL!$C$20, $D$12, 100%, $F$12)</f>
        <v>8.3628999999999998</v>
      </c>
      <c r="D220" s="7">
        <f>CHOOSE( CONTROL!$C$37, 8.3414, 8.3403) * CHOOSE( CONTROL!$C$20, $D$12, 100%, $F$12)</f>
        <v>8.3414000000000001</v>
      </c>
      <c r="E220" s="10">
        <f>CHOOSE( CONTROL!$C$37, 8.3487, 8.3476) * CHOOSE( CONTROL!$C$20, $D$12, 100%, $F$12)</f>
        <v>8.3486999999999991</v>
      </c>
      <c r="F220" s="4">
        <f>CHOOSE( CONTROL!$C$37, 9.0104, 9.0093) * CHOOSE(CONTROL!$C$20, $D$12, 100%, $F$12)</f>
        <v>9.0104000000000006</v>
      </c>
      <c r="G220" s="7">
        <f>CHOOSE( CONTROL!$C$37, 8.2739, 8.2728) * CHOOSE( CONTROL!$C$20, $D$12, 100%, $F$12)</f>
        <v>8.2738999999999994</v>
      </c>
      <c r="H220" s="4">
        <f>CHOOSE( CONTROL!$C$37, 9.1585, 9.1574) * CHOOSE(CONTROL!$C$20, $D$12, 100%, $F$12)</f>
        <v>9.1585000000000001</v>
      </c>
      <c r="I220" s="7">
        <f>CHOOSE( CONTROL!$C$37, 8.2896, 8.2886) * CHOOSE(CONTROL!$C$20, $D$12, 100%, $F$12)</f>
        <v>8.2896000000000001</v>
      </c>
      <c r="J220" s="4">
        <f>CHOOSE( CONTROL!$C$37, 8.1095, 8.1085) * CHOOSE(CONTROL!$C$20, $D$12, 100%, $F$12)</f>
        <v>8.1095000000000006</v>
      </c>
      <c r="K220" s="4"/>
      <c r="L220" s="8">
        <v>28.360600000000002</v>
      </c>
      <c r="M220" s="8">
        <v>11.6745</v>
      </c>
      <c r="N220" s="8">
        <v>4.7850000000000001</v>
      </c>
      <c r="O220" s="8">
        <v>0.36199999999999999</v>
      </c>
      <c r="P220" s="8">
        <v>1.2509999999999999</v>
      </c>
      <c r="Q220" s="8">
        <v>30.322800000000001</v>
      </c>
      <c r="R220" s="8"/>
    </row>
    <row r="221" spans="1:18" ht="14.25" customHeight="1">
      <c r="A221" s="11">
        <v>47818</v>
      </c>
      <c r="B221" s="7">
        <f>CHOOSE( CONTROL!$C$37, 8.3426, 8.3415) * CHOOSE(CONTROL!$C$20, $D$12, 100%, $F$12)</f>
        <v>8.3425999999999991</v>
      </c>
      <c r="C221" s="7">
        <f>CHOOSE( CONTROL!$C$37, 8.3477, 8.3466) * CHOOSE(CONTROL!$C$20, $D$12, 100%, $F$12)</f>
        <v>8.3476999999999997</v>
      </c>
      <c r="D221" s="7">
        <f>CHOOSE( CONTROL!$C$37, 8.3277, 8.3266) * CHOOSE( CONTROL!$C$20, $D$12, 100%, $F$12)</f>
        <v>8.3277000000000001</v>
      </c>
      <c r="E221" s="10">
        <f>CHOOSE( CONTROL!$C$37, 8.3345, 8.3334) * CHOOSE( CONTROL!$C$20, $D$12, 100%, $F$12)</f>
        <v>8.3345000000000002</v>
      </c>
      <c r="F221" s="4">
        <f>CHOOSE( CONTROL!$C$37, 8.9951, 8.994) * CHOOSE(CONTROL!$C$20, $D$12, 100%, $F$12)</f>
        <v>8.9951000000000008</v>
      </c>
      <c r="G221" s="7">
        <f>CHOOSE( CONTROL!$C$37, 8.26, 8.2589) * CHOOSE( CONTROL!$C$20, $D$12, 100%, $F$12)</f>
        <v>8.26</v>
      </c>
      <c r="H221" s="4">
        <f>CHOOSE( CONTROL!$C$37, 9.1435, 9.1424) * CHOOSE(CONTROL!$C$20, $D$12, 100%, $F$12)</f>
        <v>9.1434999999999995</v>
      </c>
      <c r="I221" s="7">
        <f>CHOOSE( CONTROL!$C$37, 8.2798, 8.2787) * CHOOSE(CONTROL!$C$20, $D$12, 100%, $F$12)</f>
        <v>8.2797999999999998</v>
      </c>
      <c r="J221" s="4">
        <f>CHOOSE( CONTROL!$C$37, 8.0948, 8.0937) * CHOOSE(CONTROL!$C$20, $D$12, 100%, $F$12)</f>
        <v>8.0947999999999993</v>
      </c>
      <c r="K221" s="4"/>
      <c r="L221" s="8">
        <v>29.306000000000001</v>
      </c>
      <c r="M221" s="8">
        <v>12.063700000000001</v>
      </c>
      <c r="N221" s="8">
        <v>4.9444999999999997</v>
      </c>
      <c r="O221" s="8">
        <v>0.37409999999999999</v>
      </c>
      <c r="P221" s="8">
        <v>1.2927</v>
      </c>
      <c r="Q221" s="8">
        <v>31.333600000000001</v>
      </c>
      <c r="R221" s="8"/>
    </row>
    <row r="222" spans="1:18" ht="14.25" customHeight="1">
      <c r="A222" s="11">
        <v>47849</v>
      </c>
      <c r="B222" s="7">
        <f>CHOOSE( CONTROL!$C$37, 8.5891, 8.5881) * CHOOSE(CONTROL!$C$20, $D$12, 100%, $F$12)</f>
        <v>8.5891000000000002</v>
      </c>
      <c r="C222" s="7">
        <f>CHOOSE( CONTROL!$C$37, 8.5942, 8.5932) * CHOOSE(CONTROL!$C$20, $D$12, 100%, $F$12)</f>
        <v>8.5942000000000007</v>
      </c>
      <c r="D222" s="7">
        <f>CHOOSE( CONTROL!$C$37, 8.5873, 8.5863) * CHOOSE( CONTROL!$C$20, $D$12, 100%, $F$12)</f>
        <v>8.5873000000000008</v>
      </c>
      <c r="E222" s="10">
        <f>CHOOSE( CONTROL!$C$37, 8.5893, 8.5883) * CHOOSE( CONTROL!$C$20, $D$12, 100%, $F$12)</f>
        <v>8.5892999999999997</v>
      </c>
      <c r="F222" s="4">
        <f>CHOOSE( CONTROL!$C$37, 9.2417, 9.2406) * CHOOSE(CONTROL!$C$20, $D$12, 100%, $F$12)</f>
        <v>9.2416999999999998</v>
      </c>
      <c r="G222" s="7">
        <f>CHOOSE( CONTROL!$C$37, 8.5076, 8.5065) * CHOOSE( CONTROL!$C$20, $D$12, 100%, $F$12)</f>
        <v>8.5076000000000001</v>
      </c>
      <c r="H222" s="4">
        <f>CHOOSE( CONTROL!$C$37, 9.3866, 9.3855) * CHOOSE(CONTROL!$C$20, $D$12, 100%, $F$12)</f>
        <v>9.3865999999999996</v>
      </c>
      <c r="I222" s="7">
        <f>CHOOSE( CONTROL!$C$37, 8.4899, 8.4888) * CHOOSE(CONTROL!$C$20, $D$12, 100%, $F$12)</f>
        <v>8.4899000000000004</v>
      </c>
      <c r="J222" s="4">
        <f>CHOOSE( CONTROL!$C$37, 8.3335, 8.3325) * CHOOSE(CONTROL!$C$20, $D$12, 100%, $F$12)</f>
        <v>8.3335000000000008</v>
      </c>
      <c r="K222" s="4"/>
      <c r="L222" s="8">
        <v>29.306000000000001</v>
      </c>
      <c r="M222" s="8">
        <v>12.063700000000001</v>
      </c>
      <c r="N222" s="8">
        <v>4.9444999999999997</v>
      </c>
      <c r="O222" s="8">
        <v>0.37409999999999999</v>
      </c>
      <c r="P222" s="8">
        <v>1.2927</v>
      </c>
      <c r="Q222" s="8">
        <v>31.026700000000002</v>
      </c>
      <c r="R222" s="8"/>
    </row>
    <row r="223" spans="1:18" ht="14.25" customHeight="1">
      <c r="A223" s="11">
        <v>47880</v>
      </c>
      <c r="B223" s="7">
        <f>CHOOSE( CONTROL!$C$37, 8.0328, 8.0317) * CHOOSE(CONTROL!$C$20, $D$12, 100%, $F$12)</f>
        <v>8.0327999999999999</v>
      </c>
      <c r="C223" s="7">
        <f>CHOOSE( CONTROL!$C$37, 8.0379, 8.0368) * CHOOSE(CONTROL!$C$20, $D$12, 100%, $F$12)</f>
        <v>8.0379000000000005</v>
      </c>
      <c r="D223" s="7">
        <f>CHOOSE( CONTROL!$C$37, 8.0309, 8.0299) * CHOOSE( CONTROL!$C$20, $D$12, 100%, $F$12)</f>
        <v>8.0309000000000008</v>
      </c>
      <c r="E223" s="10">
        <f>CHOOSE( CONTROL!$C$37, 8.0329, 8.0319) * CHOOSE( CONTROL!$C$20, $D$12, 100%, $F$12)</f>
        <v>8.0328999999999997</v>
      </c>
      <c r="F223" s="4">
        <f>CHOOSE( CONTROL!$C$37, 8.6854, 8.6843) * CHOOSE(CONTROL!$C$20, $D$12, 100%, $F$12)</f>
        <v>8.6853999999999996</v>
      </c>
      <c r="G223" s="7">
        <f>CHOOSE( CONTROL!$C$37, 7.959, 7.9579) * CHOOSE( CONTROL!$C$20, $D$12, 100%, $F$12)</f>
        <v>7.9589999999999996</v>
      </c>
      <c r="H223" s="4">
        <f>CHOOSE( CONTROL!$C$37, 8.838, 8.837) * CHOOSE(CONTROL!$C$20, $D$12, 100%, $F$12)</f>
        <v>8.8379999999999992</v>
      </c>
      <c r="I223" s="7">
        <f>CHOOSE( CONTROL!$C$37, 7.9507, 7.9496) * CHOOSE(CONTROL!$C$20, $D$12, 100%, $F$12)</f>
        <v>7.9507000000000003</v>
      </c>
      <c r="J223" s="4">
        <f>CHOOSE( CONTROL!$C$37, 7.7948, 7.7938) * CHOOSE(CONTROL!$C$20, $D$12, 100%, $F$12)</f>
        <v>7.7948000000000004</v>
      </c>
      <c r="K223" s="4"/>
      <c r="L223" s="8">
        <v>26.469899999999999</v>
      </c>
      <c r="M223" s="8">
        <v>10.8962</v>
      </c>
      <c r="N223" s="8">
        <v>4.4660000000000002</v>
      </c>
      <c r="O223" s="8">
        <v>0.33789999999999998</v>
      </c>
      <c r="P223" s="8">
        <v>1.1676</v>
      </c>
      <c r="Q223" s="8">
        <v>28.024100000000001</v>
      </c>
      <c r="R223" s="8"/>
    </row>
    <row r="224" spans="1:18" ht="14.25" customHeight="1">
      <c r="A224" s="11">
        <v>47908</v>
      </c>
      <c r="B224" s="7">
        <f>CHOOSE( CONTROL!$C$37, 7.8615, 7.8604) * CHOOSE(CONTROL!$C$20, $D$12, 100%, $F$12)</f>
        <v>7.8615000000000004</v>
      </c>
      <c r="C224" s="7">
        <f>CHOOSE( CONTROL!$C$37, 7.8666, 7.8655) * CHOOSE(CONTROL!$C$20, $D$12, 100%, $F$12)</f>
        <v>7.8666</v>
      </c>
      <c r="D224" s="7">
        <f>CHOOSE( CONTROL!$C$37, 7.859, 7.8579) * CHOOSE( CONTROL!$C$20, $D$12, 100%, $F$12)</f>
        <v>7.859</v>
      </c>
      <c r="E224" s="10">
        <f>CHOOSE( CONTROL!$C$37, 7.8612, 7.8601) * CHOOSE( CONTROL!$C$20, $D$12, 100%, $F$12)</f>
        <v>7.8612000000000002</v>
      </c>
      <c r="F224" s="4">
        <f>CHOOSE( CONTROL!$C$37, 8.514, 8.5129) * CHOOSE(CONTROL!$C$20, $D$12, 100%, $F$12)</f>
        <v>8.5139999999999993</v>
      </c>
      <c r="G224" s="7">
        <f>CHOOSE( CONTROL!$C$37, 7.7896, 7.7885) * CHOOSE( CONTROL!$C$20, $D$12, 100%, $F$12)</f>
        <v>7.7896000000000001</v>
      </c>
      <c r="H224" s="4">
        <f>CHOOSE( CONTROL!$C$37, 8.6691, 8.668) * CHOOSE(CONTROL!$C$20, $D$12, 100%, $F$12)</f>
        <v>8.6691000000000003</v>
      </c>
      <c r="I224" s="7">
        <f>CHOOSE( CONTROL!$C$37, 7.7828, 7.7817) * CHOOSE(CONTROL!$C$20, $D$12, 100%, $F$12)</f>
        <v>7.7827999999999999</v>
      </c>
      <c r="J224" s="4">
        <f>CHOOSE( CONTROL!$C$37, 7.6289, 7.6279) * CHOOSE(CONTROL!$C$20, $D$12, 100%, $F$12)</f>
        <v>7.6288999999999998</v>
      </c>
      <c r="K224" s="4"/>
      <c r="L224" s="8">
        <v>29.306000000000001</v>
      </c>
      <c r="M224" s="8">
        <v>12.063700000000001</v>
      </c>
      <c r="N224" s="8">
        <v>4.9444999999999997</v>
      </c>
      <c r="O224" s="8">
        <v>0.37409999999999999</v>
      </c>
      <c r="P224" s="8">
        <v>1.2927</v>
      </c>
      <c r="Q224" s="8">
        <v>31.026700000000002</v>
      </c>
      <c r="R224" s="8"/>
    </row>
    <row r="225" spans="1:18" ht="14.25" customHeight="1">
      <c r="A225" s="11">
        <v>47939</v>
      </c>
      <c r="B225" s="7">
        <f>CHOOSE( CONTROL!$C$37, 7.982, 7.9809) * CHOOSE(CONTROL!$C$20, $D$12, 100%, $F$12)</f>
        <v>7.9820000000000002</v>
      </c>
      <c r="C225" s="7">
        <f>CHOOSE( CONTROL!$C$37, 7.9865, 7.9854) * CHOOSE(CONTROL!$C$20, $D$12, 100%, $F$12)</f>
        <v>7.9865000000000004</v>
      </c>
      <c r="D225" s="7">
        <f>CHOOSE( CONTROL!$C$37, 7.9983, 7.9973) * CHOOSE( CONTROL!$C$20, $D$12, 100%, $F$12)</f>
        <v>7.9983000000000004</v>
      </c>
      <c r="E225" s="10">
        <f>CHOOSE( CONTROL!$C$37, 7.9939, 7.9929) * CHOOSE( CONTROL!$C$20, $D$12, 100%, $F$12)</f>
        <v>7.9939</v>
      </c>
      <c r="F225" s="4">
        <f>CHOOSE( CONTROL!$C$37, 8.7086, 8.7075) * CHOOSE(CONTROL!$C$20, $D$12, 100%, $F$12)</f>
        <v>8.7086000000000006</v>
      </c>
      <c r="G225" s="7">
        <f>CHOOSE( CONTROL!$C$37, 7.9159, 7.9148) * CHOOSE( CONTROL!$C$20, $D$12, 100%, $F$12)</f>
        <v>7.9158999999999997</v>
      </c>
      <c r="H225" s="4">
        <f>CHOOSE( CONTROL!$C$37, 8.861, 8.8599) * CHOOSE(CONTROL!$C$20, $D$12, 100%, $F$12)</f>
        <v>8.8610000000000007</v>
      </c>
      <c r="I225" s="7">
        <f>CHOOSE( CONTROL!$C$37, 7.8713, 7.8703) * CHOOSE(CONTROL!$C$20, $D$12, 100%, $F$12)</f>
        <v>7.8712999999999997</v>
      </c>
      <c r="J225" s="4">
        <f>CHOOSE( CONTROL!$C$37, 7.7449, 7.7438) * CHOOSE(CONTROL!$C$20, $D$12, 100%, $F$12)</f>
        <v>7.7449000000000003</v>
      </c>
      <c r="K225" s="4"/>
      <c r="L225" s="8">
        <v>30.092199999999998</v>
      </c>
      <c r="M225" s="8">
        <v>11.6745</v>
      </c>
      <c r="N225" s="8">
        <v>4.7850000000000001</v>
      </c>
      <c r="O225" s="8">
        <v>0.36199999999999999</v>
      </c>
      <c r="P225" s="8">
        <v>1.2509999999999999</v>
      </c>
      <c r="Q225" s="8">
        <v>30.0258</v>
      </c>
      <c r="R225" s="8"/>
    </row>
    <row r="226" spans="1:18" ht="14.25" customHeight="1">
      <c r="A226" s="11">
        <v>47969</v>
      </c>
      <c r="B226" s="7">
        <f>CHOOSE( CONTROL!$C$37, 8.197, 8.1954) * CHOOSE(CONTROL!$C$20, $D$12, 100%, $F$12)</f>
        <v>8.1969999999999992</v>
      </c>
      <c r="C226" s="7">
        <f>CHOOSE( CONTROL!$C$37, 8.205, 8.2033) * CHOOSE(CONTROL!$C$20, $D$12, 100%, $F$12)</f>
        <v>8.2050000000000001</v>
      </c>
      <c r="D226" s="7">
        <f>CHOOSE( CONTROL!$C$37, 8.2107, 8.209) * CHOOSE( CONTROL!$C$20, $D$12, 100%, $F$12)</f>
        <v>8.2106999999999992</v>
      </c>
      <c r="E226" s="10">
        <f>CHOOSE( CONTROL!$C$37, 8.2074, 8.2057) * CHOOSE( CONTROL!$C$20, $D$12, 100%, $F$12)</f>
        <v>8.2073999999999998</v>
      </c>
      <c r="F226" s="4">
        <f>CHOOSE( CONTROL!$C$37, 8.9223, 8.9206) * CHOOSE(CONTROL!$C$20, $D$12, 100%, $F$12)</f>
        <v>8.9222999999999999</v>
      </c>
      <c r="G226" s="7">
        <f>CHOOSE( CONTROL!$C$37, 8.1266, 8.1249) * CHOOSE( CONTROL!$C$20, $D$12, 100%, $F$12)</f>
        <v>8.1265999999999998</v>
      </c>
      <c r="H226" s="4">
        <f>CHOOSE( CONTROL!$C$37, 9.0717, 9.07) * CHOOSE(CONTROL!$C$20, $D$12, 100%, $F$12)</f>
        <v>9.0716999999999999</v>
      </c>
      <c r="I226" s="7">
        <f>CHOOSE( CONTROL!$C$37, 8.0781, 8.0764) * CHOOSE(CONTROL!$C$20, $D$12, 100%, $F$12)</f>
        <v>8.0780999999999992</v>
      </c>
      <c r="J226" s="4">
        <f>CHOOSE( CONTROL!$C$37, 7.9518, 7.9502) * CHOOSE(CONTROL!$C$20, $D$12, 100%, $F$12)</f>
        <v>7.9518000000000004</v>
      </c>
      <c r="K226" s="4"/>
      <c r="L226" s="8">
        <v>30.7165</v>
      </c>
      <c r="M226" s="8">
        <v>12.063700000000001</v>
      </c>
      <c r="N226" s="8">
        <v>4.9444999999999997</v>
      </c>
      <c r="O226" s="8">
        <v>0.37409999999999999</v>
      </c>
      <c r="P226" s="8">
        <v>1.2927</v>
      </c>
      <c r="Q226" s="8">
        <v>31.026700000000002</v>
      </c>
      <c r="R226" s="8"/>
    </row>
    <row r="227" spans="1:18" ht="14.25" customHeight="1">
      <c r="A227" s="11">
        <v>48000</v>
      </c>
      <c r="B227" s="7">
        <f>CHOOSE( CONTROL!$C$37, 8.065, 8.0633) * CHOOSE(CONTROL!$C$20, $D$12, 100%, $F$12)</f>
        <v>8.0649999999999995</v>
      </c>
      <c r="C227" s="7">
        <f>CHOOSE( CONTROL!$C$37, 8.073, 8.0713) * CHOOSE(CONTROL!$C$20, $D$12, 100%, $F$12)</f>
        <v>8.0730000000000004</v>
      </c>
      <c r="D227" s="7">
        <f>CHOOSE( CONTROL!$C$37, 8.0789, 8.0773) * CHOOSE( CONTROL!$C$20, $D$12, 100%, $F$12)</f>
        <v>8.0789000000000009</v>
      </c>
      <c r="E227" s="10">
        <f>CHOOSE( CONTROL!$C$37, 8.0755, 8.0739) * CHOOSE( CONTROL!$C$20, $D$12, 100%, $F$12)</f>
        <v>8.0754999999999999</v>
      </c>
      <c r="F227" s="4">
        <f>CHOOSE( CONTROL!$C$37, 8.7903, 8.7886) * CHOOSE(CONTROL!$C$20, $D$12, 100%, $F$12)</f>
        <v>8.7903000000000002</v>
      </c>
      <c r="G227" s="7">
        <f>CHOOSE( CONTROL!$C$37, 7.9966, 7.995) * CHOOSE( CONTROL!$C$20, $D$12, 100%, $F$12)</f>
        <v>7.9965999999999999</v>
      </c>
      <c r="H227" s="4">
        <f>CHOOSE( CONTROL!$C$37, 8.9415, 8.9399) * CHOOSE(CONTROL!$C$20, $D$12, 100%, $F$12)</f>
        <v>8.9414999999999996</v>
      </c>
      <c r="I227" s="7">
        <f>CHOOSE( CONTROL!$C$37, 7.9511, 7.9495) * CHOOSE(CONTROL!$C$20, $D$12, 100%, $F$12)</f>
        <v>7.9511000000000003</v>
      </c>
      <c r="J227" s="4">
        <f>CHOOSE( CONTROL!$C$37, 7.8239, 7.8223) * CHOOSE(CONTROL!$C$20, $D$12, 100%, $F$12)</f>
        <v>7.8239000000000001</v>
      </c>
      <c r="K227" s="4"/>
      <c r="L227" s="8">
        <v>29.7257</v>
      </c>
      <c r="M227" s="8">
        <v>11.6745</v>
      </c>
      <c r="N227" s="8">
        <v>4.7850000000000001</v>
      </c>
      <c r="O227" s="8">
        <v>0.36199999999999999</v>
      </c>
      <c r="P227" s="8">
        <v>1.2509999999999999</v>
      </c>
      <c r="Q227" s="8">
        <v>30.0258</v>
      </c>
      <c r="R227" s="8"/>
    </row>
    <row r="228" spans="1:18" ht="14.25" customHeight="1">
      <c r="A228" s="11">
        <v>48030</v>
      </c>
      <c r="B228" s="7">
        <f>CHOOSE( CONTROL!$C$37, 8.4126, 8.411) * CHOOSE(CONTROL!$C$20, $D$12, 100%, $F$12)</f>
        <v>8.4125999999999994</v>
      </c>
      <c r="C228" s="7">
        <f>CHOOSE( CONTROL!$C$37, 8.4206, 8.419) * CHOOSE(CONTROL!$C$20, $D$12, 100%, $F$12)</f>
        <v>8.4206000000000003</v>
      </c>
      <c r="D228" s="7">
        <f>CHOOSE( CONTROL!$C$37, 8.4268, 8.4252) * CHOOSE( CONTROL!$C$20, $D$12, 100%, $F$12)</f>
        <v>8.4268000000000001</v>
      </c>
      <c r="E228" s="10">
        <f>CHOOSE( CONTROL!$C$37, 8.4233, 8.4217) * CHOOSE( CONTROL!$C$20, $D$12, 100%, $F$12)</f>
        <v>8.4232999999999993</v>
      </c>
      <c r="F228" s="4">
        <f>CHOOSE( CONTROL!$C$37, 9.1379, 9.1362) * CHOOSE(CONTROL!$C$20, $D$12, 100%, $F$12)</f>
        <v>9.1379000000000001</v>
      </c>
      <c r="G228" s="7">
        <f>CHOOSE( CONTROL!$C$37, 8.3396, 8.338) * CHOOSE( CONTROL!$C$20, $D$12, 100%, $F$12)</f>
        <v>8.3396000000000008</v>
      </c>
      <c r="H228" s="4">
        <f>CHOOSE( CONTROL!$C$37, 9.2843, 9.2826) * CHOOSE(CONTROL!$C$20, $D$12, 100%, $F$12)</f>
        <v>9.2843</v>
      </c>
      <c r="I228" s="7">
        <f>CHOOSE( CONTROL!$C$37, 8.2889, 8.2873) * CHOOSE(CONTROL!$C$20, $D$12, 100%, $F$12)</f>
        <v>8.2888999999999999</v>
      </c>
      <c r="J228" s="4">
        <f>CHOOSE( CONTROL!$C$37, 8.1605, 8.1589) * CHOOSE(CONTROL!$C$20, $D$12, 100%, $F$12)</f>
        <v>8.1605000000000008</v>
      </c>
      <c r="K228" s="4"/>
      <c r="L228" s="8">
        <v>30.7165</v>
      </c>
      <c r="M228" s="8">
        <v>12.063700000000001</v>
      </c>
      <c r="N228" s="8">
        <v>4.9444999999999997</v>
      </c>
      <c r="O228" s="8">
        <v>0.37409999999999999</v>
      </c>
      <c r="P228" s="8">
        <v>1.2927</v>
      </c>
      <c r="Q228" s="8">
        <v>31.026700000000002</v>
      </c>
      <c r="R228" s="8"/>
    </row>
    <row r="229" spans="1:18" ht="14.25" customHeight="1">
      <c r="A229" s="11">
        <v>48061</v>
      </c>
      <c r="B229" s="7">
        <f>CHOOSE( CONTROL!$C$37, 7.7622, 7.7605) * CHOOSE(CONTROL!$C$20, $D$12, 100%, $F$12)</f>
        <v>7.7622</v>
      </c>
      <c r="C229" s="7">
        <f>CHOOSE( CONTROL!$C$37, 7.7702, 7.7685) * CHOOSE(CONTROL!$C$20, $D$12, 100%, $F$12)</f>
        <v>7.7702</v>
      </c>
      <c r="D229" s="7">
        <f>CHOOSE( CONTROL!$C$37, 7.7765, 7.7748) * CHOOSE( CONTROL!$C$20, $D$12, 100%, $F$12)</f>
        <v>7.7765000000000004</v>
      </c>
      <c r="E229" s="10">
        <f>CHOOSE( CONTROL!$C$37, 7.773, 7.7713) * CHOOSE( CONTROL!$C$20, $D$12, 100%, $F$12)</f>
        <v>7.7729999999999997</v>
      </c>
      <c r="F229" s="4">
        <f>CHOOSE( CONTROL!$C$37, 8.4875, 8.4858) * CHOOSE(CONTROL!$C$20, $D$12, 100%, $F$12)</f>
        <v>8.4875000000000007</v>
      </c>
      <c r="G229" s="7">
        <f>CHOOSE( CONTROL!$C$37, 7.6983, 7.6967) * CHOOSE( CONTROL!$C$20, $D$12, 100%, $F$12)</f>
        <v>7.6982999999999997</v>
      </c>
      <c r="H229" s="4">
        <f>CHOOSE( CONTROL!$C$37, 8.6429, 8.6413) * CHOOSE(CONTROL!$C$20, $D$12, 100%, $F$12)</f>
        <v>8.6428999999999991</v>
      </c>
      <c r="I229" s="7">
        <f>CHOOSE( CONTROL!$C$37, 7.6591, 7.6575) * CHOOSE(CONTROL!$C$20, $D$12, 100%, $F$12)</f>
        <v>7.6590999999999996</v>
      </c>
      <c r="J229" s="4">
        <f>CHOOSE( CONTROL!$C$37, 7.5307, 7.5291) * CHOOSE(CONTROL!$C$20, $D$12, 100%, $F$12)</f>
        <v>7.5307000000000004</v>
      </c>
      <c r="K229" s="4"/>
      <c r="L229" s="8">
        <v>30.7165</v>
      </c>
      <c r="M229" s="8">
        <v>12.063700000000001</v>
      </c>
      <c r="N229" s="8">
        <v>4.9444999999999997</v>
      </c>
      <c r="O229" s="8">
        <v>0.37409999999999999</v>
      </c>
      <c r="P229" s="8">
        <v>1.2927</v>
      </c>
      <c r="Q229" s="8">
        <v>31.026700000000002</v>
      </c>
      <c r="R229" s="8"/>
    </row>
    <row r="230" spans="1:18" ht="14.25" customHeight="1">
      <c r="A230" s="11">
        <v>48092</v>
      </c>
      <c r="B230" s="7">
        <f>CHOOSE( CONTROL!$C$37, 7.5993, 7.5977) * CHOOSE(CONTROL!$C$20, $D$12, 100%, $F$12)</f>
        <v>7.5993000000000004</v>
      </c>
      <c r="C230" s="7">
        <f>CHOOSE( CONTROL!$C$37, 7.6073, 7.6057) * CHOOSE(CONTROL!$C$20, $D$12, 100%, $F$12)</f>
        <v>7.6073000000000004</v>
      </c>
      <c r="D230" s="7">
        <f>CHOOSE( CONTROL!$C$37, 7.6135, 7.6119) * CHOOSE( CONTROL!$C$20, $D$12, 100%, $F$12)</f>
        <v>7.6135000000000002</v>
      </c>
      <c r="E230" s="10">
        <f>CHOOSE( CONTROL!$C$37, 7.61, 7.6084) * CHOOSE( CONTROL!$C$20, $D$12, 100%, $F$12)</f>
        <v>7.61</v>
      </c>
      <c r="F230" s="4">
        <f>CHOOSE( CONTROL!$C$37, 8.3246, 8.3229) * CHOOSE(CONTROL!$C$20, $D$12, 100%, $F$12)</f>
        <v>8.3246000000000002</v>
      </c>
      <c r="G230" s="7">
        <f>CHOOSE( CONTROL!$C$37, 7.5376, 7.536) * CHOOSE( CONTROL!$C$20, $D$12, 100%, $F$12)</f>
        <v>7.5376000000000003</v>
      </c>
      <c r="H230" s="4">
        <f>CHOOSE( CONTROL!$C$37, 8.4823, 8.4807) * CHOOSE(CONTROL!$C$20, $D$12, 100%, $F$12)</f>
        <v>8.4823000000000004</v>
      </c>
      <c r="I230" s="7">
        <f>CHOOSE( CONTROL!$C$37, 7.5009, 7.4993) * CHOOSE(CONTROL!$C$20, $D$12, 100%, $F$12)</f>
        <v>7.5008999999999997</v>
      </c>
      <c r="J230" s="4">
        <f>CHOOSE( CONTROL!$C$37, 7.373, 7.3714) * CHOOSE(CONTROL!$C$20, $D$12, 100%, $F$12)</f>
        <v>7.3730000000000002</v>
      </c>
      <c r="K230" s="4"/>
      <c r="L230" s="8">
        <v>29.7257</v>
      </c>
      <c r="M230" s="8">
        <v>11.6745</v>
      </c>
      <c r="N230" s="8">
        <v>4.7850000000000001</v>
      </c>
      <c r="O230" s="8">
        <v>0.36199999999999999</v>
      </c>
      <c r="P230" s="8">
        <v>1.2509999999999999</v>
      </c>
      <c r="Q230" s="8">
        <v>30.0258</v>
      </c>
      <c r="R230" s="8"/>
    </row>
    <row r="231" spans="1:18" ht="14.25" customHeight="1">
      <c r="A231" s="11">
        <v>48122</v>
      </c>
      <c r="B231" s="7">
        <f>CHOOSE( CONTROL!$C$37, 7.9352, 7.9341) * CHOOSE(CONTROL!$C$20, $D$12, 100%, $F$12)</f>
        <v>7.9352</v>
      </c>
      <c r="C231" s="7">
        <f>CHOOSE( CONTROL!$C$37, 7.9406, 7.9395) * CHOOSE(CONTROL!$C$20, $D$12, 100%, $F$12)</f>
        <v>7.9405999999999999</v>
      </c>
      <c r="D231" s="7">
        <f>CHOOSE( CONTROL!$C$37, 7.9526, 7.9515) * CHOOSE( CONTROL!$C$20, $D$12, 100%, $F$12)</f>
        <v>7.9526000000000003</v>
      </c>
      <c r="E231" s="10">
        <f>CHOOSE( CONTROL!$C$37, 7.9481, 7.947) * CHOOSE( CONTROL!$C$20, $D$12, 100%, $F$12)</f>
        <v>7.9481000000000002</v>
      </c>
      <c r="F231" s="4">
        <f>CHOOSE( CONTROL!$C$37, 8.6622, 8.6611) * CHOOSE(CONTROL!$C$20, $D$12, 100%, $F$12)</f>
        <v>8.6622000000000003</v>
      </c>
      <c r="G231" s="7">
        <f>CHOOSE( CONTROL!$C$37, 7.8707, 7.8696) * CHOOSE( CONTROL!$C$20, $D$12, 100%, $F$12)</f>
        <v>7.8707000000000003</v>
      </c>
      <c r="H231" s="4">
        <f>CHOOSE( CONTROL!$C$37, 8.8152, 8.8141) * CHOOSE(CONTROL!$C$20, $D$12, 100%, $F$12)</f>
        <v>8.8152000000000008</v>
      </c>
      <c r="I231" s="7">
        <f>CHOOSE( CONTROL!$C$37, 7.8287, 7.8276) * CHOOSE(CONTROL!$C$20, $D$12, 100%, $F$12)</f>
        <v>7.8287000000000004</v>
      </c>
      <c r="J231" s="4">
        <f>CHOOSE( CONTROL!$C$37, 7.6999, 7.6989) * CHOOSE(CONTROL!$C$20, $D$12, 100%, $F$12)</f>
        <v>7.6999000000000004</v>
      </c>
      <c r="K231" s="4"/>
      <c r="L231" s="8">
        <v>31.095300000000002</v>
      </c>
      <c r="M231" s="8">
        <v>12.063700000000001</v>
      </c>
      <c r="N231" s="8">
        <v>4.9444999999999997</v>
      </c>
      <c r="O231" s="8">
        <v>0.37409999999999999</v>
      </c>
      <c r="P231" s="8">
        <v>1.2927</v>
      </c>
      <c r="Q231" s="8">
        <v>31.026700000000002</v>
      </c>
      <c r="R231" s="8"/>
    </row>
    <row r="232" spans="1:18" ht="14.25" customHeight="1">
      <c r="A232" s="11">
        <v>48153</v>
      </c>
      <c r="B232" s="7">
        <f>CHOOSE( CONTROL!$C$37, 8.559, 8.5579) * CHOOSE(CONTROL!$C$20, $D$12, 100%, $F$12)</f>
        <v>8.5589999999999993</v>
      </c>
      <c r="C232" s="7">
        <f>CHOOSE( CONTROL!$C$37, 8.5641, 8.563) * CHOOSE(CONTROL!$C$20, $D$12, 100%, $F$12)</f>
        <v>8.5640999999999998</v>
      </c>
      <c r="D232" s="7">
        <f>CHOOSE( CONTROL!$C$37, 8.5426, 8.5415) * CHOOSE( CONTROL!$C$20, $D$12, 100%, $F$12)</f>
        <v>8.5426000000000002</v>
      </c>
      <c r="E232" s="10">
        <f>CHOOSE( CONTROL!$C$37, 8.5499, 8.5488) * CHOOSE( CONTROL!$C$20, $D$12, 100%, $F$12)</f>
        <v>8.5498999999999992</v>
      </c>
      <c r="F232" s="4">
        <f>CHOOSE( CONTROL!$C$37, 9.2116, 9.2105) * CHOOSE(CONTROL!$C$20, $D$12, 100%, $F$12)</f>
        <v>9.2116000000000007</v>
      </c>
      <c r="G232" s="7">
        <f>CHOOSE( CONTROL!$C$37, 8.4723, 8.4712) * CHOOSE( CONTROL!$C$20, $D$12, 100%, $F$12)</f>
        <v>8.4723000000000006</v>
      </c>
      <c r="H232" s="4">
        <f>CHOOSE( CONTROL!$C$37, 9.3569, 9.3558) * CHOOSE(CONTROL!$C$20, $D$12, 100%, $F$12)</f>
        <v>9.3568999999999996</v>
      </c>
      <c r="I232" s="7">
        <f>CHOOSE( CONTROL!$C$37, 8.4846, 8.4835) * CHOOSE(CONTROL!$C$20, $D$12, 100%, $F$12)</f>
        <v>8.4846000000000004</v>
      </c>
      <c r="J232" s="4">
        <f>CHOOSE( CONTROL!$C$37, 8.3044, 8.3033) * CHOOSE(CONTROL!$C$20, $D$12, 100%, $F$12)</f>
        <v>8.3043999999999993</v>
      </c>
      <c r="K232" s="4"/>
      <c r="L232" s="8">
        <v>28.360600000000002</v>
      </c>
      <c r="M232" s="8">
        <v>11.6745</v>
      </c>
      <c r="N232" s="8">
        <v>4.7850000000000001</v>
      </c>
      <c r="O232" s="8">
        <v>0.36199999999999999</v>
      </c>
      <c r="P232" s="8">
        <v>1.2509999999999999</v>
      </c>
      <c r="Q232" s="8">
        <v>30.0258</v>
      </c>
      <c r="R232" s="8"/>
    </row>
    <row r="233" spans="1:18" ht="14.25" customHeight="1">
      <c r="A233" s="11">
        <v>48183</v>
      </c>
      <c r="B233" s="7">
        <f>CHOOSE( CONTROL!$C$37, 8.5434, 8.5423) * CHOOSE(CONTROL!$C$20, $D$12, 100%, $F$12)</f>
        <v>8.5434000000000001</v>
      </c>
      <c r="C233" s="7">
        <f>CHOOSE( CONTROL!$C$37, 8.5485, 8.5474) * CHOOSE(CONTROL!$C$20, $D$12, 100%, $F$12)</f>
        <v>8.5485000000000007</v>
      </c>
      <c r="D233" s="7">
        <f>CHOOSE( CONTROL!$C$37, 8.5285, 8.5275) * CHOOSE( CONTROL!$C$20, $D$12, 100%, $F$12)</f>
        <v>8.5284999999999993</v>
      </c>
      <c r="E233" s="10">
        <f>CHOOSE( CONTROL!$C$37, 8.5353, 8.5342) * CHOOSE( CONTROL!$C$20, $D$12, 100%, $F$12)</f>
        <v>8.5352999999999994</v>
      </c>
      <c r="F233" s="4">
        <f>CHOOSE( CONTROL!$C$37, 9.196, 9.1949) * CHOOSE(CONTROL!$C$20, $D$12, 100%, $F$12)</f>
        <v>9.1959999999999997</v>
      </c>
      <c r="G233" s="7">
        <f>CHOOSE( CONTROL!$C$37, 8.458, 8.457) * CHOOSE( CONTROL!$C$20, $D$12, 100%, $F$12)</f>
        <v>8.4580000000000002</v>
      </c>
      <c r="H233" s="4">
        <f>CHOOSE( CONTROL!$C$37, 9.3415, 9.3404) * CHOOSE(CONTROL!$C$20, $D$12, 100%, $F$12)</f>
        <v>9.3414999999999999</v>
      </c>
      <c r="I233" s="7">
        <f>CHOOSE( CONTROL!$C$37, 8.4743, 8.4733) * CHOOSE(CONTROL!$C$20, $D$12, 100%, $F$12)</f>
        <v>8.4742999999999995</v>
      </c>
      <c r="J233" s="4">
        <f>CHOOSE( CONTROL!$C$37, 8.2893, 8.2882) * CHOOSE(CONTROL!$C$20, $D$12, 100%, $F$12)</f>
        <v>8.2893000000000008</v>
      </c>
      <c r="K233" s="4"/>
      <c r="L233" s="8">
        <v>29.306000000000001</v>
      </c>
      <c r="M233" s="8">
        <v>12.063700000000001</v>
      </c>
      <c r="N233" s="8">
        <v>4.9444999999999997</v>
      </c>
      <c r="O233" s="8">
        <v>0.37409999999999999</v>
      </c>
      <c r="P233" s="8">
        <v>1.2927</v>
      </c>
      <c r="Q233" s="8">
        <v>31.026700000000002</v>
      </c>
      <c r="R233" s="8"/>
    </row>
    <row r="234" spans="1:18" ht="14.25" customHeight="1">
      <c r="A234" s="11">
        <v>48214</v>
      </c>
      <c r="B234" s="7">
        <f>CHOOSE( CONTROL!$C$37, 8.7959, 8.7948) * CHOOSE(CONTROL!$C$20, $D$12, 100%, $F$12)</f>
        <v>8.7958999999999996</v>
      </c>
      <c r="C234" s="7">
        <f>CHOOSE( CONTROL!$C$37, 8.801, 8.7999) * CHOOSE(CONTROL!$C$20, $D$12, 100%, $F$12)</f>
        <v>8.8010000000000002</v>
      </c>
      <c r="D234" s="7">
        <f>CHOOSE( CONTROL!$C$37, 8.7941, 8.793) * CHOOSE( CONTROL!$C$20, $D$12, 100%, $F$12)</f>
        <v>8.7941000000000003</v>
      </c>
      <c r="E234" s="10">
        <f>CHOOSE( CONTROL!$C$37, 8.7961, 8.795) * CHOOSE( CONTROL!$C$20, $D$12, 100%, $F$12)</f>
        <v>8.7960999999999991</v>
      </c>
      <c r="F234" s="4">
        <f>CHOOSE( CONTROL!$C$37, 9.4484, 9.4474) * CHOOSE(CONTROL!$C$20, $D$12, 100%, $F$12)</f>
        <v>9.4483999999999995</v>
      </c>
      <c r="G234" s="7">
        <f>CHOOSE( CONTROL!$C$37, 8.7115, 8.7104) * CHOOSE( CONTROL!$C$20, $D$12, 100%, $F$12)</f>
        <v>8.7114999999999991</v>
      </c>
      <c r="H234" s="4">
        <f>CHOOSE( CONTROL!$C$37, 9.5905, 9.5894) * CHOOSE(CONTROL!$C$20, $D$12, 100%, $F$12)</f>
        <v>9.5905000000000005</v>
      </c>
      <c r="I234" s="7">
        <f>CHOOSE( CONTROL!$C$37, 8.6902, 8.6892) * CHOOSE(CONTROL!$C$20, $D$12, 100%, $F$12)</f>
        <v>8.6902000000000008</v>
      </c>
      <c r="J234" s="4">
        <f>CHOOSE( CONTROL!$C$37, 8.5337, 8.5327) * CHOOSE(CONTROL!$C$20, $D$12, 100%, $F$12)</f>
        <v>8.5336999999999996</v>
      </c>
      <c r="K234" s="4"/>
      <c r="L234" s="8">
        <v>29.306000000000001</v>
      </c>
      <c r="M234" s="8">
        <v>12.063700000000001</v>
      </c>
      <c r="N234" s="8">
        <v>4.9444999999999997</v>
      </c>
      <c r="O234" s="8">
        <v>0.37409999999999999</v>
      </c>
      <c r="P234" s="8">
        <v>1.2927</v>
      </c>
      <c r="Q234" s="8">
        <v>30.8704</v>
      </c>
      <c r="R234" s="8"/>
    </row>
    <row r="235" spans="1:18" ht="14.25" customHeight="1">
      <c r="A235" s="11">
        <v>48245</v>
      </c>
      <c r="B235" s="7">
        <f>CHOOSE( CONTROL!$C$37, 8.2262, 8.2251) * CHOOSE(CONTROL!$C$20, $D$12, 100%, $F$12)</f>
        <v>8.2262000000000004</v>
      </c>
      <c r="C235" s="7">
        <f>CHOOSE( CONTROL!$C$37, 8.2313, 8.2302) * CHOOSE(CONTROL!$C$20, $D$12, 100%, $F$12)</f>
        <v>8.2312999999999992</v>
      </c>
      <c r="D235" s="7">
        <f>CHOOSE( CONTROL!$C$37, 8.2243, 8.2233) * CHOOSE( CONTROL!$C$20, $D$12, 100%, $F$12)</f>
        <v>8.2242999999999995</v>
      </c>
      <c r="E235" s="10">
        <f>CHOOSE( CONTROL!$C$37, 8.2263, 8.2253) * CHOOSE( CONTROL!$C$20, $D$12, 100%, $F$12)</f>
        <v>8.2263000000000002</v>
      </c>
      <c r="F235" s="4">
        <f>CHOOSE( CONTROL!$C$37, 8.8788, 8.8777) * CHOOSE(CONTROL!$C$20, $D$12, 100%, $F$12)</f>
        <v>8.8788</v>
      </c>
      <c r="G235" s="7">
        <f>CHOOSE( CONTROL!$C$37, 8.1497, 8.1486) * CHOOSE( CONTROL!$C$20, $D$12, 100%, $F$12)</f>
        <v>8.1496999999999993</v>
      </c>
      <c r="H235" s="4">
        <f>CHOOSE( CONTROL!$C$37, 9.0287, 9.0277) * CHOOSE(CONTROL!$C$20, $D$12, 100%, $F$12)</f>
        <v>9.0287000000000006</v>
      </c>
      <c r="I235" s="7">
        <f>CHOOSE( CONTROL!$C$37, 8.138, 8.137) * CHOOSE(CONTROL!$C$20, $D$12, 100%, $F$12)</f>
        <v>8.1379999999999999</v>
      </c>
      <c r="J235" s="4">
        <f>CHOOSE( CONTROL!$C$37, 7.9821, 7.9811) * CHOOSE(CONTROL!$C$20, $D$12, 100%, $F$12)</f>
        <v>7.9821</v>
      </c>
      <c r="K235" s="4"/>
      <c r="L235" s="8">
        <v>27.415299999999998</v>
      </c>
      <c r="M235" s="8">
        <v>11.285299999999999</v>
      </c>
      <c r="N235" s="8">
        <v>4.6254999999999997</v>
      </c>
      <c r="O235" s="8">
        <v>0.34989999999999999</v>
      </c>
      <c r="P235" s="8">
        <v>1.2093</v>
      </c>
      <c r="Q235" s="8">
        <v>28.878799999999998</v>
      </c>
      <c r="R235" s="8"/>
    </row>
    <row r="236" spans="1:18" ht="14.25" customHeight="1">
      <c r="A236" s="11">
        <v>48274</v>
      </c>
      <c r="B236" s="7">
        <f>CHOOSE( CONTROL!$C$37, 8.0508, 8.0497) * CHOOSE(CONTROL!$C$20, $D$12, 100%, $F$12)</f>
        <v>8.0508000000000006</v>
      </c>
      <c r="C236" s="7">
        <f>CHOOSE( CONTROL!$C$37, 8.0559, 8.0548) * CHOOSE(CONTROL!$C$20, $D$12, 100%, $F$12)</f>
        <v>8.0558999999999994</v>
      </c>
      <c r="D236" s="7">
        <f>CHOOSE( CONTROL!$C$37, 8.0483, 8.0472) * CHOOSE( CONTROL!$C$20, $D$12, 100%, $F$12)</f>
        <v>8.0482999999999993</v>
      </c>
      <c r="E236" s="10">
        <f>CHOOSE( CONTROL!$C$37, 8.0505, 8.0494) * CHOOSE( CONTROL!$C$20, $D$12, 100%, $F$12)</f>
        <v>8.0504999999999995</v>
      </c>
      <c r="F236" s="4">
        <f>CHOOSE( CONTROL!$C$37, 8.7033, 8.7022) * CHOOSE(CONTROL!$C$20, $D$12, 100%, $F$12)</f>
        <v>8.7033000000000005</v>
      </c>
      <c r="G236" s="7">
        <f>CHOOSE( CONTROL!$C$37, 7.9762, 7.9752) * CHOOSE( CONTROL!$C$20, $D$12, 100%, $F$12)</f>
        <v>7.9762000000000004</v>
      </c>
      <c r="H236" s="4">
        <f>CHOOSE( CONTROL!$C$37, 8.8557, 8.8547) * CHOOSE(CONTROL!$C$20, $D$12, 100%, $F$12)</f>
        <v>8.8557000000000006</v>
      </c>
      <c r="I236" s="7">
        <f>CHOOSE( CONTROL!$C$37, 7.9661, 7.9651) * CHOOSE(CONTROL!$C$20, $D$12, 100%, $F$12)</f>
        <v>7.9661</v>
      </c>
      <c r="J236" s="4">
        <f>CHOOSE( CONTROL!$C$37, 7.8122, 7.8112) * CHOOSE(CONTROL!$C$20, $D$12, 100%, $F$12)</f>
        <v>7.8121999999999998</v>
      </c>
      <c r="K236" s="4"/>
      <c r="L236" s="8">
        <v>29.306000000000001</v>
      </c>
      <c r="M236" s="8">
        <v>12.063700000000001</v>
      </c>
      <c r="N236" s="8">
        <v>4.9444999999999997</v>
      </c>
      <c r="O236" s="8">
        <v>0.37409999999999999</v>
      </c>
      <c r="P236" s="8">
        <v>1.2927</v>
      </c>
      <c r="Q236" s="8">
        <v>30.8704</v>
      </c>
      <c r="R236" s="8"/>
    </row>
    <row r="237" spans="1:18" ht="14.25" customHeight="1">
      <c r="A237" s="11">
        <v>48305</v>
      </c>
      <c r="B237" s="7">
        <f>CHOOSE( CONTROL!$C$37, 8.1741, 8.173) * CHOOSE(CONTROL!$C$20, $D$12, 100%, $F$12)</f>
        <v>8.1740999999999993</v>
      </c>
      <c r="C237" s="7">
        <f>CHOOSE( CONTROL!$C$37, 8.1787, 8.1776) * CHOOSE(CONTROL!$C$20, $D$12, 100%, $F$12)</f>
        <v>8.1786999999999992</v>
      </c>
      <c r="D237" s="7">
        <f>CHOOSE( CONTROL!$C$37, 8.1905, 8.1894) * CHOOSE( CONTROL!$C$20, $D$12, 100%, $F$12)</f>
        <v>8.1905000000000001</v>
      </c>
      <c r="E237" s="10">
        <f>CHOOSE( CONTROL!$C$37, 8.1861, 8.185) * CHOOSE( CONTROL!$C$20, $D$12, 100%, $F$12)</f>
        <v>8.1860999999999997</v>
      </c>
      <c r="F237" s="4">
        <f>CHOOSE( CONTROL!$C$37, 8.9008, 8.8997) * CHOOSE(CONTROL!$C$20, $D$12, 100%, $F$12)</f>
        <v>8.9008000000000003</v>
      </c>
      <c r="G237" s="7">
        <f>CHOOSE( CONTROL!$C$37, 8.1054, 8.1043) * CHOOSE( CONTROL!$C$20, $D$12, 100%, $F$12)</f>
        <v>8.1053999999999995</v>
      </c>
      <c r="H237" s="4">
        <f>CHOOSE( CONTROL!$C$37, 9.0504, 9.0494) * CHOOSE(CONTROL!$C$20, $D$12, 100%, $F$12)</f>
        <v>9.0503999999999998</v>
      </c>
      <c r="I237" s="7">
        <f>CHOOSE( CONTROL!$C$37, 8.0575, 8.0564) * CHOOSE(CONTROL!$C$20, $D$12, 100%, $F$12)</f>
        <v>8.0574999999999992</v>
      </c>
      <c r="J237" s="4">
        <f>CHOOSE( CONTROL!$C$37, 7.9309, 7.9299) * CHOOSE(CONTROL!$C$20, $D$12, 100%, $F$12)</f>
        <v>7.9309000000000003</v>
      </c>
      <c r="K237" s="4"/>
      <c r="L237" s="8">
        <v>30.092199999999998</v>
      </c>
      <c r="M237" s="8">
        <v>11.6745</v>
      </c>
      <c r="N237" s="8">
        <v>4.7850000000000001</v>
      </c>
      <c r="O237" s="8">
        <v>0.36199999999999999</v>
      </c>
      <c r="P237" s="8">
        <v>1.2509999999999999</v>
      </c>
      <c r="Q237" s="8">
        <v>29.874600000000001</v>
      </c>
      <c r="R237" s="8"/>
    </row>
    <row r="238" spans="1:18" ht="14.25" customHeight="1">
      <c r="A238" s="11">
        <v>48335</v>
      </c>
      <c r="B238" s="7">
        <f>CHOOSE( CONTROL!$C$37, 8.3943, 8.3926) * CHOOSE(CONTROL!$C$20, $D$12, 100%, $F$12)</f>
        <v>8.3942999999999994</v>
      </c>
      <c r="C238" s="7">
        <f>CHOOSE( CONTROL!$C$37, 8.4023, 8.4006) * CHOOSE(CONTROL!$C$20, $D$12, 100%, $F$12)</f>
        <v>8.4023000000000003</v>
      </c>
      <c r="D238" s="7">
        <f>CHOOSE( CONTROL!$C$37, 8.4079, 8.4063) * CHOOSE( CONTROL!$C$20, $D$12, 100%, $F$12)</f>
        <v>8.4078999999999997</v>
      </c>
      <c r="E238" s="10">
        <f>CHOOSE( CONTROL!$C$37, 8.4047, 8.403) * CHOOSE( CONTROL!$C$20, $D$12, 100%, $F$12)</f>
        <v>8.4047000000000001</v>
      </c>
      <c r="F238" s="4">
        <f>CHOOSE( CONTROL!$C$37, 9.1196, 9.1179) * CHOOSE(CONTROL!$C$20, $D$12, 100%, $F$12)</f>
        <v>9.1196000000000002</v>
      </c>
      <c r="G238" s="7">
        <f>CHOOSE( CONTROL!$C$37, 8.3211, 8.3194) * CHOOSE( CONTROL!$C$20, $D$12, 100%, $F$12)</f>
        <v>8.3210999999999995</v>
      </c>
      <c r="H238" s="4">
        <f>CHOOSE( CONTROL!$C$37, 9.2662, 9.2645) * CHOOSE(CONTROL!$C$20, $D$12, 100%, $F$12)</f>
        <v>9.2661999999999995</v>
      </c>
      <c r="I238" s="7">
        <f>CHOOSE( CONTROL!$C$37, 8.2692, 8.2676) * CHOOSE(CONTROL!$C$20, $D$12, 100%, $F$12)</f>
        <v>8.2691999999999997</v>
      </c>
      <c r="J238" s="4">
        <f>CHOOSE( CONTROL!$C$37, 8.1428, 8.1412) * CHOOSE(CONTROL!$C$20, $D$12, 100%, $F$12)</f>
        <v>8.1427999999999994</v>
      </c>
      <c r="K238" s="4"/>
      <c r="L238" s="8">
        <v>30.7165</v>
      </c>
      <c r="M238" s="8">
        <v>12.063700000000001</v>
      </c>
      <c r="N238" s="8">
        <v>4.9444999999999997</v>
      </c>
      <c r="O238" s="8">
        <v>0.37409999999999999</v>
      </c>
      <c r="P238" s="8">
        <v>1.2927</v>
      </c>
      <c r="Q238" s="8">
        <v>30.8704</v>
      </c>
      <c r="R238" s="8"/>
    </row>
    <row r="239" spans="1:18" ht="14.25" customHeight="1">
      <c r="A239" s="11">
        <v>48366</v>
      </c>
      <c r="B239" s="7">
        <f>CHOOSE( CONTROL!$C$37, 8.2591, 8.2574) * CHOOSE(CONTROL!$C$20, $D$12, 100%, $F$12)</f>
        <v>8.2591000000000001</v>
      </c>
      <c r="C239" s="7">
        <f>CHOOSE( CONTROL!$C$37, 8.2671, 8.2654) * CHOOSE(CONTROL!$C$20, $D$12, 100%, $F$12)</f>
        <v>8.2670999999999992</v>
      </c>
      <c r="D239" s="7">
        <f>CHOOSE( CONTROL!$C$37, 8.273, 8.2714) * CHOOSE( CONTROL!$C$20, $D$12, 100%, $F$12)</f>
        <v>8.2729999999999997</v>
      </c>
      <c r="E239" s="10">
        <f>CHOOSE( CONTROL!$C$37, 8.2696, 8.268) * CHOOSE( CONTROL!$C$20, $D$12, 100%, $F$12)</f>
        <v>8.2696000000000005</v>
      </c>
      <c r="F239" s="4">
        <f>CHOOSE( CONTROL!$C$37, 8.9844, 8.9827) * CHOOSE(CONTROL!$C$20, $D$12, 100%, $F$12)</f>
        <v>8.9844000000000008</v>
      </c>
      <c r="G239" s="7">
        <f>CHOOSE( CONTROL!$C$37, 8.188, 8.1864) * CHOOSE( CONTROL!$C$20, $D$12, 100%, $F$12)</f>
        <v>8.1880000000000006</v>
      </c>
      <c r="H239" s="4">
        <f>CHOOSE( CONTROL!$C$37, 9.1329, 9.1313) * CHOOSE(CONTROL!$C$20, $D$12, 100%, $F$12)</f>
        <v>9.1328999999999994</v>
      </c>
      <c r="I239" s="7">
        <f>CHOOSE( CONTROL!$C$37, 8.1392, 8.1376) * CHOOSE(CONTROL!$C$20, $D$12, 100%, $F$12)</f>
        <v>8.1392000000000007</v>
      </c>
      <c r="J239" s="4">
        <f>CHOOSE( CONTROL!$C$37, 8.0119, 8.0103) * CHOOSE(CONTROL!$C$20, $D$12, 100%, $F$12)</f>
        <v>8.0119000000000007</v>
      </c>
      <c r="K239" s="4"/>
      <c r="L239" s="8">
        <v>29.7257</v>
      </c>
      <c r="M239" s="8">
        <v>11.6745</v>
      </c>
      <c r="N239" s="8">
        <v>4.7850000000000001</v>
      </c>
      <c r="O239" s="8">
        <v>0.36199999999999999</v>
      </c>
      <c r="P239" s="8">
        <v>1.2509999999999999</v>
      </c>
      <c r="Q239" s="8">
        <v>29.874600000000001</v>
      </c>
      <c r="R239" s="8"/>
    </row>
    <row r="240" spans="1:18" ht="14.25" customHeight="1">
      <c r="A240" s="11">
        <v>48396</v>
      </c>
      <c r="B240" s="7">
        <f>CHOOSE( CONTROL!$C$37, 8.6151, 8.6134) * CHOOSE(CONTROL!$C$20, $D$12, 100%, $F$12)</f>
        <v>8.6151</v>
      </c>
      <c r="C240" s="7">
        <f>CHOOSE( CONTROL!$C$37, 8.6231, 8.6214) * CHOOSE(CONTROL!$C$20, $D$12, 100%, $F$12)</f>
        <v>8.6231000000000009</v>
      </c>
      <c r="D240" s="7">
        <f>CHOOSE( CONTROL!$C$37, 8.6293, 8.6276) * CHOOSE( CONTROL!$C$20, $D$12, 100%, $F$12)</f>
        <v>8.6293000000000006</v>
      </c>
      <c r="E240" s="10">
        <f>CHOOSE( CONTROL!$C$37, 8.6258, 8.6241) * CHOOSE( CONTROL!$C$20, $D$12, 100%, $F$12)</f>
        <v>8.6257999999999999</v>
      </c>
      <c r="F240" s="4">
        <f>CHOOSE( CONTROL!$C$37, 9.3404, 9.3387) * CHOOSE(CONTROL!$C$20, $D$12, 100%, $F$12)</f>
        <v>9.3404000000000007</v>
      </c>
      <c r="G240" s="7">
        <f>CHOOSE( CONTROL!$C$37, 8.5393, 8.5376) * CHOOSE( CONTROL!$C$20, $D$12, 100%, $F$12)</f>
        <v>8.5393000000000008</v>
      </c>
      <c r="H240" s="4">
        <f>CHOOSE( CONTROL!$C$37, 9.4839, 9.4823) * CHOOSE(CONTROL!$C$20, $D$12, 100%, $F$12)</f>
        <v>9.4839000000000002</v>
      </c>
      <c r="I240" s="7">
        <f>CHOOSE( CONTROL!$C$37, 8.4851, 8.4834) * CHOOSE(CONTROL!$C$20, $D$12, 100%, $F$12)</f>
        <v>8.4850999999999992</v>
      </c>
      <c r="J240" s="4">
        <f>CHOOSE( CONTROL!$C$37, 8.3566, 8.355) * CHOOSE(CONTROL!$C$20, $D$12, 100%, $F$12)</f>
        <v>8.3566000000000003</v>
      </c>
      <c r="K240" s="4"/>
      <c r="L240" s="8">
        <v>30.7165</v>
      </c>
      <c r="M240" s="8">
        <v>12.063700000000001</v>
      </c>
      <c r="N240" s="8">
        <v>4.9444999999999997</v>
      </c>
      <c r="O240" s="8">
        <v>0.37409999999999999</v>
      </c>
      <c r="P240" s="8">
        <v>1.2927</v>
      </c>
      <c r="Q240" s="8">
        <v>30.8704</v>
      </c>
      <c r="R240" s="8"/>
    </row>
    <row r="241" spans="1:18" ht="14.25" customHeight="1">
      <c r="A241" s="11">
        <v>48427</v>
      </c>
      <c r="B241" s="7">
        <f>CHOOSE( CONTROL!$C$37, 7.949, 7.9474) * CHOOSE(CONTROL!$C$20, $D$12, 100%, $F$12)</f>
        <v>7.9489999999999998</v>
      </c>
      <c r="C241" s="7">
        <f>CHOOSE( CONTROL!$C$37, 7.957, 7.9554) * CHOOSE(CONTROL!$C$20, $D$12, 100%, $F$12)</f>
        <v>7.9569999999999999</v>
      </c>
      <c r="D241" s="7">
        <f>CHOOSE( CONTROL!$C$37, 7.9633, 7.9617) * CHOOSE( CONTROL!$C$20, $D$12, 100%, $F$12)</f>
        <v>7.9633000000000003</v>
      </c>
      <c r="E241" s="10">
        <f>CHOOSE( CONTROL!$C$37, 7.9598, 7.9582) * CHOOSE( CONTROL!$C$20, $D$12, 100%, $F$12)</f>
        <v>7.9598000000000004</v>
      </c>
      <c r="F241" s="4">
        <f>CHOOSE( CONTROL!$C$37, 8.6743, 8.6726) * CHOOSE(CONTROL!$C$20, $D$12, 100%, $F$12)</f>
        <v>8.6743000000000006</v>
      </c>
      <c r="G241" s="7">
        <f>CHOOSE( CONTROL!$C$37, 7.8826, 7.8809) * CHOOSE( CONTROL!$C$20, $D$12, 100%, $F$12)</f>
        <v>7.8826000000000001</v>
      </c>
      <c r="H241" s="4">
        <f>CHOOSE( CONTROL!$C$37, 8.8271, 8.8255) * CHOOSE(CONTROL!$C$20, $D$12, 100%, $F$12)</f>
        <v>8.8270999999999997</v>
      </c>
      <c r="I241" s="7">
        <f>CHOOSE( CONTROL!$C$37, 7.8401, 7.8385) * CHOOSE(CONTROL!$C$20, $D$12, 100%, $F$12)</f>
        <v>7.8400999999999996</v>
      </c>
      <c r="J241" s="4">
        <f>CHOOSE( CONTROL!$C$37, 7.7116, 7.71) * CHOOSE(CONTROL!$C$20, $D$12, 100%, $F$12)</f>
        <v>7.7115999999999998</v>
      </c>
      <c r="K241" s="4"/>
      <c r="L241" s="8">
        <v>30.7165</v>
      </c>
      <c r="M241" s="8">
        <v>12.063700000000001</v>
      </c>
      <c r="N241" s="8">
        <v>4.9444999999999997</v>
      </c>
      <c r="O241" s="8">
        <v>0.37409999999999999</v>
      </c>
      <c r="P241" s="8">
        <v>1.2927</v>
      </c>
      <c r="Q241" s="8">
        <v>30.8704</v>
      </c>
      <c r="R241" s="8"/>
    </row>
    <row r="242" spans="1:18" ht="14.25" customHeight="1">
      <c r="A242" s="11">
        <v>48458</v>
      </c>
      <c r="B242" s="7">
        <f>CHOOSE( CONTROL!$C$37, 7.7822, 7.7806) * CHOOSE(CONTROL!$C$20, $D$12, 100%, $F$12)</f>
        <v>7.7821999999999996</v>
      </c>
      <c r="C242" s="7">
        <f>CHOOSE( CONTROL!$C$37, 7.7902, 7.7886) * CHOOSE(CONTROL!$C$20, $D$12, 100%, $F$12)</f>
        <v>7.7901999999999996</v>
      </c>
      <c r="D242" s="7">
        <f>CHOOSE( CONTROL!$C$37, 7.7964, 7.7948) * CHOOSE( CONTROL!$C$20, $D$12, 100%, $F$12)</f>
        <v>7.7964000000000002</v>
      </c>
      <c r="E242" s="10">
        <f>CHOOSE( CONTROL!$C$37, 7.7929, 7.7913) * CHOOSE( CONTROL!$C$20, $D$12, 100%, $F$12)</f>
        <v>7.7929000000000004</v>
      </c>
      <c r="F242" s="4">
        <f>CHOOSE( CONTROL!$C$37, 8.5075, 8.5059) * CHOOSE(CONTROL!$C$20, $D$12, 100%, $F$12)</f>
        <v>8.5075000000000003</v>
      </c>
      <c r="G242" s="7">
        <f>CHOOSE( CONTROL!$C$37, 7.718, 7.7164) * CHOOSE( CONTROL!$C$20, $D$12, 100%, $F$12)</f>
        <v>7.718</v>
      </c>
      <c r="H242" s="4">
        <f>CHOOSE( CONTROL!$C$37, 8.6627, 8.661) * CHOOSE(CONTROL!$C$20, $D$12, 100%, $F$12)</f>
        <v>8.6626999999999992</v>
      </c>
      <c r="I242" s="7">
        <f>CHOOSE( CONTROL!$C$37, 7.6781, 7.6765) * CHOOSE(CONTROL!$C$20, $D$12, 100%, $F$12)</f>
        <v>7.6780999999999997</v>
      </c>
      <c r="J242" s="4">
        <f>CHOOSE( CONTROL!$C$37, 7.5501, 7.5485) * CHOOSE(CONTROL!$C$20, $D$12, 100%, $F$12)</f>
        <v>7.5500999999999996</v>
      </c>
      <c r="K242" s="4"/>
      <c r="L242" s="8">
        <v>29.7257</v>
      </c>
      <c r="M242" s="8">
        <v>11.6745</v>
      </c>
      <c r="N242" s="8">
        <v>4.7850000000000001</v>
      </c>
      <c r="O242" s="8">
        <v>0.36199999999999999</v>
      </c>
      <c r="P242" s="8">
        <v>1.2509999999999999</v>
      </c>
      <c r="Q242" s="8">
        <v>29.874600000000001</v>
      </c>
      <c r="R242" s="8"/>
    </row>
    <row r="243" spans="1:18" ht="14.25" customHeight="1">
      <c r="A243" s="11">
        <v>48488</v>
      </c>
      <c r="B243" s="7">
        <f>CHOOSE( CONTROL!$C$37, 8.1262, 8.1252) * CHOOSE(CONTROL!$C$20, $D$12, 100%, $F$12)</f>
        <v>8.1262000000000008</v>
      </c>
      <c r="C243" s="7">
        <f>CHOOSE( CONTROL!$C$37, 8.1316, 8.1305) * CHOOSE(CONTROL!$C$20, $D$12, 100%, $F$12)</f>
        <v>8.1316000000000006</v>
      </c>
      <c r="D243" s="7">
        <f>CHOOSE( CONTROL!$C$37, 8.1436, 8.1425) * CHOOSE( CONTROL!$C$20, $D$12, 100%, $F$12)</f>
        <v>8.1435999999999993</v>
      </c>
      <c r="E243" s="10">
        <f>CHOOSE( CONTROL!$C$37, 8.1391, 8.138) * CHOOSE( CONTROL!$C$20, $D$12, 100%, $F$12)</f>
        <v>8.1390999999999991</v>
      </c>
      <c r="F243" s="4">
        <f>CHOOSE( CONTROL!$C$37, 8.8533, 8.8522) * CHOOSE(CONTROL!$C$20, $D$12, 100%, $F$12)</f>
        <v>8.8533000000000008</v>
      </c>
      <c r="G243" s="7">
        <f>CHOOSE( CONTROL!$C$37, 8.059, 8.058) * CHOOSE( CONTROL!$C$20, $D$12, 100%, $F$12)</f>
        <v>8.0589999999999993</v>
      </c>
      <c r="H243" s="4">
        <f>CHOOSE( CONTROL!$C$37, 9.0036, 9.0025) * CHOOSE(CONTROL!$C$20, $D$12, 100%, $F$12)</f>
        <v>9.0036000000000005</v>
      </c>
      <c r="I243" s="7">
        <f>CHOOSE( CONTROL!$C$37, 8.0137, 8.0127) * CHOOSE(CONTROL!$C$20, $D$12, 100%, $F$12)</f>
        <v>8.0137</v>
      </c>
      <c r="J243" s="4">
        <f>CHOOSE( CONTROL!$C$37, 7.8849, 7.8839) * CHOOSE(CONTROL!$C$20, $D$12, 100%, $F$12)</f>
        <v>7.8849</v>
      </c>
      <c r="K243" s="4"/>
      <c r="L243" s="8">
        <v>31.095300000000002</v>
      </c>
      <c r="M243" s="8">
        <v>12.063700000000001</v>
      </c>
      <c r="N243" s="8">
        <v>4.9444999999999997</v>
      </c>
      <c r="O243" s="8">
        <v>0.37409999999999999</v>
      </c>
      <c r="P243" s="8">
        <v>1.2927</v>
      </c>
      <c r="Q243" s="8">
        <v>30.8704</v>
      </c>
      <c r="R243" s="8"/>
    </row>
    <row r="244" spans="1:18" ht="14.25" customHeight="1">
      <c r="A244" s="11">
        <v>48519</v>
      </c>
      <c r="B244" s="7">
        <f>CHOOSE( CONTROL!$C$37, 8.7651, 8.764) * CHOOSE(CONTROL!$C$20, $D$12, 100%, $F$12)</f>
        <v>8.7651000000000003</v>
      </c>
      <c r="C244" s="7">
        <f>CHOOSE( CONTROL!$C$37, 8.7702, 8.7691) * CHOOSE(CONTROL!$C$20, $D$12, 100%, $F$12)</f>
        <v>8.7702000000000009</v>
      </c>
      <c r="D244" s="7">
        <f>CHOOSE( CONTROL!$C$37, 8.7486, 8.7475) * CHOOSE( CONTROL!$C$20, $D$12, 100%, $F$12)</f>
        <v>8.7485999999999997</v>
      </c>
      <c r="E244" s="10">
        <f>CHOOSE( CONTROL!$C$37, 8.756, 8.7549) * CHOOSE( CONTROL!$C$20, $D$12, 100%, $F$12)</f>
        <v>8.7560000000000002</v>
      </c>
      <c r="F244" s="4">
        <f>CHOOSE( CONTROL!$C$37, 9.4176, 9.4165) * CHOOSE(CONTROL!$C$20, $D$12, 100%, $F$12)</f>
        <v>9.4176000000000002</v>
      </c>
      <c r="G244" s="7">
        <f>CHOOSE( CONTROL!$C$37, 8.6754, 8.6744) * CHOOSE( CONTROL!$C$20, $D$12, 100%, $F$12)</f>
        <v>8.6753999999999998</v>
      </c>
      <c r="H244" s="4">
        <f>CHOOSE( CONTROL!$C$37, 9.5601, 9.559) * CHOOSE(CONTROL!$C$20, $D$12, 100%, $F$12)</f>
        <v>9.5601000000000003</v>
      </c>
      <c r="I244" s="7">
        <f>CHOOSE( CONTROL!$C$37, 8.6842, 8.6831) * CHOOSE(CONTROL!$C$20, $D$12, 100%, $F$12)</f>
        <v>8.6842000000000006</v>
      </c>
      <c r="J244" s="4">
        <f>CHOOSE( CONTROL!$C$37, 8.5039, 8.5028) * CHOOSE(CONTROL!$C$20, $D$12, 100%, $F$12)</f>
        <v>8.5038999999999998</v>
      </c>
      <c r="K244" s="4"/>
      <c r="L244" s="8">
        <v>28.360600000000002</v>
      </c>
      <c r="M244" s="8">
        <v>11.6745</v>
      </c>
      <c r="N244" s="8">
        <v>4.7850000000000001</v>
      </c>
      <c r="O244" s="8">
        <v>0.36199999999999999</v>
      </c>
      <c r="P244" s="8">
        <v>1.2509999999999999</v>
      </c>
      <c r="Q244" s="8">
        <v>29.874600000000001</v>
      </c>
      <c r="R244" s="8"/>
    </row>
    <row r="245" spans="1:18" ht="14.25" customHeight="1">
      <c r="A245" s="11">
        <v>48549</v>
      </c>
      <c r="B245" s="7">
        <f>CHOOSE( CONTROL!$C$37, 8.7491, 8.748) * CHOOSE(CONTROL!$C$20, $D$12, 100%, $F$12)</f>
        <v>8.7491000000000003</v>
      </c>
      <c r="C245" s="7">
        <f>CHOOSE( CONTROL!$C$37, 8.7542, 8.7531) * CHOOSE(CONTROL!$C$20, $D$12, 100%, $F$12)</f>
        <v>8.7542000000000009</v>
      </c>
      <c r="D245" s="7">
        <f>CHOOSE( CONTROL!$C$37, 8.7342, 8.7331) * CHOOSE( CONTROL!$C$20, $D$12, 100%, $F$12)</f>
        <v>8.7341999999999995</v>
      </c>
      <c r="E245" s="10">
        <f>CHOOSE( CONTROL!$C$37, 8.741, 8.7399) * CHOOSE( CONTROL!$C$20, $D$12, 100%, $F$12)</f>
        <v>8.7409999999999997</v>
      </c>
      <c r="F245" s="4">
        <f>CHOOSE( CONTROL!$C$37, 9.4016, 9.4005) * CHOOSE(CONTROL!$C$20, $D$12, 100%, $F$12)</f>
        <v>9.4016000000000002</v>
      </c>
      <c r="G245" s="7">
        <f>CHOOSE( CONTROL!$C$37, 8.6608, 8.6598) * CHOOSE( CONTROL!$C$20, $D$12, 100%, $F$12)</f>
        <v>8.6608000000000001</v>
      </c>
      <c r="H245" s="4">
        <f>CHOOSE( CONTROL!$C$37, 9.5443, 9.5432) * CHOOSE(CONTROL!$C$20, $D$12, 100%, $F$12)</f>
        <v>9.5442999999999998</v>
      </c>
      <c r="I245" s="7">
        <f>CHOOSE( CONTROL!$C$37, 8.6736, 8.6725) * CHOOSE(CONTROL!$C$20, $D$12, 100%, $F$12)</f>
        <v>8.6736000000000004</v>
      </c>
      <c r="J245" s="4">
        <f>CHOOSE( CONTROL!$C$37, 8.4884, 8.4873) * CHOOSE(CONTROL!$C$20, $D$12, 100%, $F$12)</f>
        <v>8.4884000000000004</v>
      </c>
      <c r="K245" s="4"/>
      <c r="L245" s="8">
        <v>29.306000000000001</v>
      </c>
      <c r="M245" s="8">
        <v>12.063700000000001</v>
      </c>
      <c r="N245" s="8">
        <v>4.9444999999999997</v>
      </c>
      <c r="O245" s="8">
        <v>0.37409999999999999</v>
      </c>
      <c r="P245" s="8">
        <v>1.2927</v>
      </c>
      <c r="Q245" s="8">
        <v>30.8704</v>
      </c>
      <c r="R245" s="8"/>
    </row>
    <row r="246" spans="1:18" ht="14.25" customHeight="1">
      <c r="A246" s="11">
        <v>48580</v>
      </c>
      <c r="B246" s="7">
        <f>CHOOSE( CONTROL!$C$37, 9.0076, 9.0065) * CHOOSE(CONTROL!$C$20, $D$12, 100%, $F$12)</f>
        <v>9.0076000000000001</v>
      </c>
      <c r="C246" s="7">
        <f>CHOOSE( CONTROL!$C$37, 9.0127, 9.0116) * CHOOSE(CONTROL!$C$20, $D$12, 100%, $F$12)</f>
        <v>9.0127000000000006</v>
      </c>
      <c r="D246" s="7">
        <f>CHOOSE( CONTROL!$C$37, 9.0058, 9.0047) * CHOOSE( CONTROL!$C$20, $D$12, 100%, $F$12)</f>
        <v>9.0058000000000007</v>
      </c>
      <c r="E246" s="10">
        <f>CHOOSE( CONTROL!$C$37, 9.0078, 9.0067) * CHOOSE( CONTROL!$C$20, $D$12, 100%, $F$12)</f>
        <v>9.0077999999999996</v>
      </c>
      <c r="F246" s="4">
        <f>CHOOSE( CONTROL!$C$37, 9.6602, 9.6591) * CHOOSE(CONTROL!$C$20, $D$12, 100%, $F$12)</f>
        <v>9.6601999999999997</v>
      </c>
      <c r="G246" s="7">
        <f>CHOOSE( CONTROL!$C$37, 8.9203, 8.9192) * CHOOSE( CONTROL!$C$20, $D$12, 100%, $F$12)</f>
        <v>8.9202999999999992</v>
      </c>
      <c r="H246" s="4">
        <f>CHOOSE( CONTROL!$C$37, 9.7992, 9.7982) * CHOOSE(CONTROL!$C$20, $D$12, 100%, $F$12)</f>
        <v>9.7992000000000008</v>
      </c>
      <c r="I246" s="7">
        <f>CHOOSE( CONTROL!$C$37, 8.8953, 8.8943) * CHOOSE(CONTROL!$C$20, $D$12, 100%, $F$12)</f>
        <v>8.8953000000000007</v>
      </c>
      <c r="J246" s="4">
        <f>CHOOSE( CONTROL!$C$37, 8.7387, 8.7377) * CHOOSE(CONTROL!$C$20, $D$12, 100%, $F$12)</f>
        <v>8.7386999999999997</v>
      </c>
      <c r="K246" s="4"/>
      <c r="L246" s="8">
        <v>29.306000000000001</v>
      </c>
      <c r="M246" s="8">
        <v>12.063700000000001</v>
      </c>
      <c r="N246" s="8">
        <v>4.9444999999999997</v>
      </c>
      <c r="O246" s="8">
        <v>0.37409999999999999</v>
      </c>
      <c r="P246" s="8">
        <v>1.2927</v>
      </c>
      <c r="Q246" s="8">
        <v>30.773700000000002</v>
      </c>
      <c r="R246" s="8"/>
    </row>
    <row r="247" spans="1:18" ht="14.25" customHeight="1">
      <c r="A247" s="11">
        <v>48611</v>
      </c>
      <c r="B247" s="7">
        <f>CHOOSE( CONTROL!$C$37, 8.4243, 8.4232) * CHOOSE(CONTROL!$C$20, $D$12, 100%, $F$12)</f>
        <v>8.4243000000000006</v>
      </c>
      <c r="C247" s="7">
        <f>CHOOSE( CONTROL!$C$37, 8.4294, 8.4283) * CHOOSE(CONTROL!$C$20, $D$12, 100%, $F$12)</f>
        <v>8.4293999999999993</v>
      </c>
      <c r="D247" s="7">
        <f>CHOOSE( CONTROL!$C$37, 8.4224, 8.4213) * CHOOSE( CONTROL!$C$20, $D$12, 100%, $F$12)</f>
        <v>8.4223999999999997</v>
      </c>
      <c r="E247" s="10">
        <f>CHOOSE( CONTROL!$C$37, 8.4244, 8.4233) * CHOOSE( CONTROL!$C$20, $D$12, 100%, $F$12)</f>
        <v>8.4244000000000003</v>
      </c>
      <c r="F247" s="4">
        <f>CHOOSE( CONTROL!$C$37, 9.0768, 9.0757) * CHOOSE(CONTROL!$C$20, $D$12, 100%, $F$12)</f>
        <v>9.0768000000000004</v>
      </c>
      <c r="G247" s="7">
        <f>CHOOSE( CONTROL!$C$37, 8.345, 8.3439) * CHOOSE( CONTROL!$C$20, $D$12, 100%, $F$12)</f>
        <v>8.3450000000000006</v>
      </c>
      <c r="H247" s="4">
        <f>CHOOSE( CONTROL!$C$37, 9.224, 9.2229) * CHOOSE(CONTROL!$C$20, $D$12, 100%, $F$12)</f>
        <v>9.2240000000000002</v>
      </c>
      <c r="I247" s="7">
        <f>CHOOSE( CONTROL!$C$37, 8.3299, 8.3289) * CHOOSE(CONTROL!$C$20, $D$12, 100%, $F$12)</f>
        <v>8.3299000000000003</v>
      </c>
      <c r="J247" s="4">
        <f>CHOOSE( CONTROL!$C$37, 8.1739, 8.1728) * CHOOSE(CONTROL!$C$20, $D$12, 100%, $F$12)</f>
        <v>8.1738999999999997</v>
      </c>
      <c r="K247" s="4"/>
      <c r="L247" s="8">
        <v>26.469899999999999</v>
      </c>
      <c r="M247" s="8">
        <v>10.8962</v>
      </c>
      <c r="N247" s="8">
        <v>4.4660000000000002</v>
      </c>
      <c r="O247" s="8">
        <v>0.33789999999999998</v>
      </c>
      <c r="P247" s="8">
        <v>1.1676</v>
      </c>
      <c r="Q247" s="8">
        <v>27.7956</v>
      </c>
      <c r="R247" s="8"/>
    </row>
    <row r="248" spans="1:18" ht="14.25" customHeight="1">
      <c r="A248" s="11">
        <v>48639</v>
      </c>
      <c r="B248" s="7">
        <f>CHOOSE( CONTROL!$C$37, 8.2446, 8.2435) * CHOOSE(CONTROL!$C$20, $D$12, 100%, $F$12)</f>
        <v>8.2446000000000002</v>
      </c>
      <c r="C248" s="7">
        <f>CHOOSE( CONTROL!$C$37, 8.2497, 8.2486) * CHOOSE(CONTROL!$C$20, $D$12, 100%, $F$12)</f>
        <v>8.2497000000000007</v>
      </c>
      <c r="D248" s="7">
        <f>CHOOSE( CONTROL!$C$37, 8.2421, 8.241) * CHOOSE( CONTROL!$C$20, $D$12, 100%, $F$12)</f>
        <v>8.2421000000000006</v>
      </c>
      <c r="E248" s="10">
        <f>CHOOSE( CONTROL!$C$37, 8.2443, 8.2432) * CHOOSE( CONTROL!$C$20, $D$12, 100%, $F$12)</f>
        <v>8.2443000000000008</v>
      </c>
      <c r="F248" s="4">
        <f>CHOOSE( CONTROL!$C$37, 8.8971, 8.896) * CHOOSE(CONTROL!$C$20, $D$12, 100%, $F$12)</f>
        <v>8.8971</v>
      </c>
      <c r="G248" s="7">
        <f>CHOOSE( CONTROL!$C$37, 8.1674, 8.1663) * CHOOSE( CONTROL!$C$20, $D$12, 100%, $F$12)</f>
        <v>8.1674000000000007</v>
      </c>
      <c r="H248" s="4">
        <f>CHOOSE( CONTROL!$C$37, 9.0468, 9.0458) * CHOOSE(CONTROL!$C$20, $D$12, 100%, $F$12)</f>
        <v>9.0467999999999993</v>
      </c>
      <c r="I248" s="7">
        <f>CHOOSE( CONTROL!$C$37, 8.1539, 8.1529) * CHOOSE(CONTROL!$C$20, $D$12, 100%, $F$12)</f>
        <v>8.1539000000000001</v>
      </c>
      <c r="J248" s="4">
        <f>CHOOSE( CONTROL!$C$37, 7.9999, 7.9988) * CHOOSE(CONTROL!$C$20, $D$12, 100%, $F$12)</f>
        <v>7.9999000000000002</v>
      </c>
      <c r="K248" s="4"/>
      <c r="L248" s="8">
        <v>29.306000000000001</v>
      </c>
      <c r="M248" s="8">
        <v>12.063700000000001</v>
      </c>
      <c r="N248" s="8">
        <v>4.9444999999999997</v>
      </c>
      <c r="O248" s="8">
        <v>0.37409999999999999</v>
      </c>
      <c r="P248" s="8">
        <v>1.2927</v>
      </c>
      <c r="Q248" s="8">
        <v>30.773700000000002</v>
      </c>
      <c r="R248" s="8"/>
    </row>
    <row r="249" spans="1:18" ht="14.25" customHeight="1">
      <c r="A249" s="11">
        <v>48670</v>
      </c>
      <c r="B249" s="7">
        <f>CHOOSE( CONTROL!$C$37, 8.3709, 8.3698) * CHOOSE(CONTROL!$C$20, $D$12, 100%, $F$12)</f>
        <v>8.3709000000000007</v>
      </c>
      <c r="C249" s="7">
        <f>CHOOSE( CONTROL!$C$37, 8.3754, 8.3743) * CHOOSE(CONTROL!$C$20, $D$12, 100%, $F$12)</f>
        <v>8.3754000000000008</v>
      </c>
      <c r="D249" s="7">
        <f>CHOOSE( CONTROL!$C$37, 8.3873, 8.3862) * CHOOSE( CONTROL!$C$20, $D$12, 100%, $F$12)</f>
        <v>8.3872999999999998</v>
      </c>
      <c r="E249" s="10">
        <f>CHOOSE( CONTROL!$C$37, 8.3829, 8.3818) * CHOOSE( CONTROL!$C$20, $D$12, 100%, $F$12)</f>
        <v>8.3828999999999994</v>
      </c>
      <c r="F249" s="4">
        <f>CHOOSE( CONTROL!$C$37, 9.0976, 9.0965) * CHOOSE(CONTROL!$C$20, $D$12, 100%, $F$12)</f>
        <v>9.0975999999999999</v>
      </c>
      <c r="G249" s="7">
        <f>CHOOSE( CONTROL!$C$37, 8.2994, 8.2983) * CHOOSE( CONTROL!$C$20, $D$12, 100%, $F$12)</f>
        <v>8.2994000000000003</v>
      </c>
      <c r="H249" s="4">
        <f>CHOOSE( CONTROL!$C$37, 9.2445, 9.2434) * CHOOSE(CONTROL!$C$20, $D$12, 100%, $F$12)</f>
        <v>9.2445000000000004</v>
      </c>
      <c r="I249" s="7">
        <f>CHOOSE( CONTROL!$C$37, 8.2481, 8.2471) * CHOOSE(CONTROL!$C$20, $D$12, 100%, $F$12)</f>
        <v>8.2481000000000009</v>
      </c>
      <c r="J249" s="4">
        <f>CHOOSE( CONTROL!$C$37, 8.1215, 8.1204) * CHOOSE(CONTROL!$C$20, $D$12, 100%, $F$12)</f>
        <v>8.1214999999999993</v>
      </c>
      <c r="K249" s="4"/>
      <c r="L249" s="8">
        <v>30.092199999999998</v>
      </c>
      <c r="M249" s="8">
        <v>11.6745</v>
      </c>
      <c r="N249" s="8">
        <v>4.7850000000000001</v>
      </c>
      <c r="O249" s="8">
        <v>0.36199999999999999</v>
      </c>
      <c r="P249" s="8">
        <v>1.2509999999999999</v>
      </c>
      <c r="Q249" s="8">
        <v>29.780999999999999</v>
      </c>
      <c r="R249" s="8"/>
    </row>
    <row r="250" spans="1:18" ht="14.25" customHeight="1">
      <c r="A250" s="11">
        <v>48700</v>
      </c>
      <c r="B250" s="7">
        <f>CHOOSE( CONTROL!$C$37, 8.5963, 8.5946) * CHOOSE(CONTROL!$C$20, $D$12, 100%, $F$12)</f>
        <v>8.5962999999999994</v>
      </c>
      <c r="C250" s="7">
        <f>CHOOSE( CONTROL!$C$37, 8.6043, 8.6026) * CHOOSE(CONTROL!$C$20, $D$12, 100%, $F$12)</f>
        <v>8.6043000000000003</v>
      </c>
      <c r="D250" s="7">
        <f>CHOOSE( CONTROL!$C$37, 8.61, 8.6083) * CHOOSE( CONTROL!$C$20, $D$12, 100%, $F$12)</f>
        <v>8.61</v>
      </c>
      <c r="E250" s="10">
        <f>CHOOSE( CONTROL!$C$37, 8.6067, 8.605) * CHOOSE( CONTROL!$C$20, $D$12, 100%, $F$12)</f>
        <v>8.6067</v>
      </c>
      <c r="F250" s="4">
        <f>CHOOSE( CONTROL!$C$37, 9.3216, 9.3199) * CHOOSE(CONTROL!$C$20, $D$12, 100%, $F$12)</f>
        <v>9.3216000000000001</v>
      </c>
      <c r="G250" s="7">
        <f>CHOOSE( CONTROL!$C$37, 8.5203, 8.5186) * CHOOSE( CONTROL!$C$20, $D$12, 100%, $F$12)</f>
        <v>8.5203000000000007</v>
      </c>
      <c r="H250" s="4">
        <f>CHOOSE( CONTROL!$C$37, 9.4654, 9.4637) * CHOOSE(CONTROL!$C$20, $D$12, 100%, $F$12)</f>
        <v>9.4654000000000007</v>
      </c>
      <c r="I250" s="7">
        <f>CHOOSE( CONTROL!$C$37, 8.4649, 8.4633) * CHOOSE(CONTROL!$C$20, $D$12, 100%, $F$12)</f>
        <v>8.4649000000000001</v>
      </c>
      <c r="J250" s="4">
        <f>CHOOSE( CONTROL!$C$37, 8.3384, 8.3368) * CHOOSE(CONTROL!$C$20, $D$12, 100%, $F$12)</f>
        <v>8.3384</v>
      </c>
      <c r="K250" s="4"/>
      <c r="L250" s="8">
        <v>30.7165</v>
      </c>
      <c r="M250" s="8">
        <v>12.063700000000001</v>
      </c>
      <c r="N250" s="8">
        <v>4.9444999999999997</v>
      </c>
      <c r="O250" s="8">
        <v>0.37409999999999999</v>
      </c>
      <c r="P250" s="8">
        <v>1.2927</v>
      </c>
      <c r="Q250" s="8">
        <v>30.773700000000002</v>
      </c>
      <c r="R250" s="8"/>
    </row>
    <row r="251" spans="1:18" ht="14.25" customHeight="1">
      <c r="A251" s="11">
        <v>48731</v>
      </c>
      <c r="B251" s="7">
        <f>CHOOSE( CONTROL!$C$37, 8.4579, 8.4562) * CHOOSE(CONTROL!$C$20, $D$12, 100%, $F$12)</f>
        <v>8.4579000000000004</v>
      </c>
      <c r="C251" s="7">
        <f>CHOOSE( CONTROL!$C$37, 8.4659, 8.4642) * CHOOSE(CONTROL!$C$20, $D$12, 100%, $F$12)</f>
        <v>8.4658999999999995</v>
      </c>
      <c r="D251" s="7">
        <f>CHOOSE( CONTROL!$C$37, 8.4718, 8.4701) * CHOOSE( CONTROL!$C$20, $D$12, 100%, $F$12)</f>
        <v>8.4718</v>
      </c>
      <c r="E251" s="10">
        <f>CHOOSE( CONTROL!$C$37, 8.4684, 8.4667) * CHOOSE( CONTROL!$C$20, $D$12, 100%, $F$12)</f>
        <v>8.4684000000000008</v>
      </c>
      <c r="F251" s="4">
        <f>CHOOSE( CONTROL!$C$37, 9.1832, 9.1815) * CHOOSE(CONTROL!$C$20, $D$12, 100%, $F$12)</f>
        <v>9.1831999999999994</v>
      </c>
      <c r="G251" s="7">
        <f>CHOOSE( CONTROL!$C$37, 8.384, 8.3824) * CHOOSE( CONTROL!$C$20, $D$12, 100%, $F$12)</f>
        <v>8.3840000000000003</v>
      </c>
      <c r="H251" s="4">
        <f>CHOOSE( CONTROL!$C$37, 9.3289, 9.3273) * CHOOSE(CONTROL!$C$20, $D$12, 100%, $F$12)</f>
        <v>9.3289000000000009</v>
      </c>
      <c r="I251" s="7">
        <f>CHOOSE( CONTROL!$C$37, 8.3317, 8.3301) * CHOOSE(CONTROL!$C$20, $D$12, 100%, $F$12)</f>
        <v>8.3316999999999997</v>
      </c>
      <c r="J251" s="4">
        <f>CHOOSE( CONTROL!$C$37, 8.2044, 8.2028) * CHOOSE(CONTROL!$C$20, $D$12, 100%, $F$12)</f>
        <v>8.2043999999999997</v>
      </c>
      <c r="K251" s="4"/>
      <c r="L251" s="8">
        <v>29.7257</v>
      </c>
      <c r="M251" s="8">
        <v>11.6745</v>
      </c>
      <c r="N251" s="8">
        <v>4.7850000000000001</v>
      </c>
      <c r="O251" s="8">
        <v>0.36199999999999999</v>
      </c>
      <c r="P251" s="8">
        <v>1.2509999999999999</v>
      </c>
      <c r="Q251" s="8">
        <v>29.780999999999999</v>
      </c>
      <c r="R251" s="8"/>
    </row>
    <row r="252" spans="1:18" ht="14.25" customHeight="1">
      <c r="A252" s="11">
        <v>48761</v>
      </c>
      <c r="B252" s="7">
        <f>CHOOSE( CONTROL!$C$37, 8.8224, 8.8207) * CHOOSE(CONTROL!$C$20, $D$12, 100%, $F$12)</f>
        <v>8.8224</v>
      </c>
      <c r="C252" s="7">
        <f>CHOOSE( CONTROL!$C$37, 8.8304, 8.8287) * CHOOSE(CONTROL!$C$20, $D$12, 100%, $F$12)</f>
        <v>8.8303999999999991</v>
      </c>
      <c r="D252" s="7">
        <f>CHOOSE( CONTROL!$C$37, 8.8366, 8.835) * CHOOSE( CONTROL!$C$20, $D$12, 100%, $F$12)</f>
        <v>8.8366000000000007</v>
      </c>
      <c r="E252" s="10">
        <f>CHOOSE( CONTROL!$C$37, 8.8331, 8.8315) * CHOOSE( CONTROL!$C$20, $D$12, 100%, $F$12)</f>
        <v>8.8331</v>
      </c>
      <c r="F252" s="4">
        <f>CHOOSE( CONTROL!$C$37, 9.5477, 9.546) * CHOOSE(CONTROL!$C$20, $D$12, 100%, $F$12)</f>
        <v>9.5477000000000007</v>
      </c>
      <c r="G252" s="7">
        <f>CHOOSE( CONTROL!$C$37, 8.7437, 8.742) * CHOOSE( CONTROL!$C$20, $D$12, 100%, $F$12)</f>
        <v>8.7437000000000005</v>
      </c>
      <c r="H252" s="4">
        <f>CHOOSE( CONTROL!$C$37, 9.6883, 9.6867) * CHOOSE(CONTROL!$C$20, $D$12, 100%, $F$12)</f>
        <v>9.6882999999999999</v>
      </c>
      <c r="I252" s="7">
        <f>CHOOSE( CONTROL!$C$37, 8.6859, 8.6843) * CHOOSE(CONTROL!$C$20, $D$12, 100%, $F$12)</f>
        <v>8.6859000000000002</v>
      </c>
      <c r="J252" s="4">
        <f>CHOOSE( CONTROL!$C$37, 8.5573, 8.5557) * CHOOSE(CONTROL!$C$20, $D$12, 100%, $F$12)</f>
        <v>8.5572999999999997</v>
      </c>
      <c r="K252" s="4"/>
      <c r="L252" s="8">
        <v>30.7165</v>
      </c>
      <c r="M252" s="8">
        <v>12.063700000000001</v>
      </c>
      <c r="N252" s="8">
        <v>4.9444999999999997</v>
      </c>
      <c r="O252" s="8">
        <v>0.37409999999999999</v>
      </c>
      <c r="P252" s="8">
        <v>1.2927</v>
      </c>
      <c r="Q252" s="8">
        <v>30.773700000000002</v>
      </c>
      <c r="R252" s="8"/>
    </row>
    <row r="253" spans="1:18" ht="14.25" customHeight="1">
      <c r="A253" s="11">
        <v>48792</v>
      </c>
      <c r="B253" s="7">
        <f>CHOOSE( CONTROL!$C$37, 8.1403, 8.1387) * CHOOSE(CONTROL!$C$20, $D$12, 100%, $F$12)</f>
        <v>8.1402999999999999</v>
      </c>
      <c r="C253" s="7">
        <f>CHOOSE( CONTROL!$C$37, 8.1483, 8.1467) * CHOOSE(CONTROL!$C$20, $D$12, 100%, $F$12)</f>
        <v>8.1483000000000008</v>
      </c>
      <c r="D253" s="7">
        <f>CHOOSE( CONTROL!$C$37, 8.1546, 8.153) * CHOOSE( CONTROL!$C$20, $D$12, 100%, $F$12)</f>
        <v>8.1546000000000003</v>
      </c>
      <c r="E253" s="10">
        <f>CHOOSE( CONTROL!$C$37, 8.1511, 8.1495) * CHOOSE( CONTROL!$C$20, $D$12, 100%, $F$12)</f>
        <v>8.1510999999999996</v>
      </c>
      <c r="F253" s="4">
        <f>CHOOSE( CONTROL!$C$37, 8.8656, 8.864) * CHOOSE(CONTROL!$C$20, $D$12, 100%, $F$12)</f>
        <v>8.8656000000000006</v>
      </c>
      <c r="G253" s="7">
        <f>CHOOSE( CONTROL!$C$37, 8.0712, 8.0696) * CHOOSE( CONTROL!$C$20, $D$12, 100%, $F$12)</f>
        <v>8.0711999999999993</v>
      </c>
      <c r="H253" s="4">
        <f>CHOOSE( CONTROL!$C$37, 9.0158, 9.0141) * CHOOSE(CONTROL!$C$20, $D$12, 100%, $F$12)</f>
        <v>9.0158000000000005</v>
      </c>
      <c r="I253" s="7">
        <f>CHOOSE( CONTROL!$C$37, 8.0254, 8.0238) * CHOOSE(CONTROL!$C$20, $D$12, 100%, $F$12)</f>
        <v>8.0253999999999994</v>
      </c>
      <c r="J253" s="4">
        <f>CHOOSE( CONTROL!$C$37, 7.8969, 7.8953) * CHOOSE(CONTROL!$C$20, $D$12, 100%, $F$12)</f>
        <v>7.8968999999999996</v>
      </c>
      <c r="K253" s="4"/>
      <c r="L253" s="8">
        <v>30.7165</v>
      </c>
      <c r="M253" s="8">
        <v>12.063700000000001</v>
      </c>
      <c r="N253" s="8">
        <v>4.9444999999999997</v>
      </c>
      <c r="O253" s="8">
        <v>0.37409999999999999</v>
      </c>
      <c r="P253" s="8">
        <v>1.2927</v>
      </c>
      <c r="Q253" s="8">
        <v>30.773700000000002</v>
      </c>
      <c r="R253" s="8"/>
    </row>
    <row r="254" spans="1:18" ht="14.25" customHeight="1">
      <c r="A254" s="11">
        <v>48823</v>
      </c>
      <c r="B254" s="7">
        <f>CHOOSE( CONTROL!$C$37, 7.9695, 7.9679) * CHOOSE(CONTROL!$C$20, $D$12, 100%, $F$12)</f>
        <v>7.9695</v>
      </c>
      <c r="C254" s="7">
        <f>CHOOSE( CONTROL!$C$37, 7.9775, 7.9759) * CHOOSE(CONTROL!$C$20, $D$12, 100%, $F$12)</f>
        <v>7.9775</v>
      </c>
      <c r="D254" s="7">
        <f>CHOOSE( CONTROL!$C$37, 7.9837, 7.9821) * CHOOSE( CONTROL!$C$20, $D$12, 100%, $F$12)</f>
        <v>7.9836999999999998</v>
      </c>
      <c r="E254" s="10">
        <f>CHOOSE( CONTROL!$C$37, 7.9802, 7.9786) * CHOOSE( CONTROL!$C$20, $D$12, 100%, $F$12)</f>
        <v>7.9802</v>
      </c>
      <c r="F254" s="4">
        <f>CHOOSE( CONTROL!$C$37, 8.6948, 8.6932) * CHOOSE(CONTROL!$C$20, $D$12, 100%, $F$12)</f>
        <v>8.6948000000000008</v>
      </c>
      <c r="G254" s="7">
        <f>CHOOSE( CONTROL!$C$37, 7.9027, 7.9011) * CHOOSE( CONTROL!$C$20, $D$12, 100%, $F$12)</f>
        <v>7.9027000000000003</v>
      </c>
      <c r="H254" s="4">
        <f>CHOOSE( CONTROL!$C$37, 8.8474, 8.8457) * CHOOSE(CONTROL!$C$20, $D$12, 100%, $F$12)</f>
        <v>8.8474000000000004</v>
      </c>
      <c r="I254" s="7">
        <f>CHOOSE( CONTROL!$C$37, 7.8596, 7.858) * CHOOSE(CONTROL!$C$20, $D$12, 100%, $F$12)</f>
        <v>7.8596000000000004</v>
      </c>
      <c r="J254" s="4">
        <f>CHOOSE( CONTROL!$C$37, 7.7315, 7.7299) * CHOOSE(CONTROL!$C$20, $D$12, 100%, $F$12)</f>
        <v>7.7314999999999996</v>
      </c>
      <c r="K254" s="4"/>
      <c r="L254" s="8">
        <v>29.7257</v>
      </c>
      <c r="M254" s="8">
        <v>11.6745</v>
      </c>
      <c r="N254" s="8">
        <v>4.7850000000000001</v>
      </c>
      <c r="O254" s="8">
        <v>0.36199999999999999</v>
      </c>
      <c r="P254" s="8">
        <v>1.2509999999999999</v>
      </c>
      <c r="Q254" s="8">
        <v>29.780999999999999</v>
      </c>
      <c r="R254" s="8"/>
    </row>
    <row r="255" spans="1:18" ht="14.25" customHeight="1">
      <c r="A255" s="11">
        <v>48853</v>
      </c>
      <c r="B255" s="7">
        <f>CHOOSE( CONTROL!$C$37, 8.3219, 8.3208) * CHOOSE(CONTROL!$C$20, $D$12, 100%, $F$12)</f>
        <v>8.3218999999999994</v>
      </c>
      <c r="C255" s="7">
        <f>CHOOSE( CONTROL!$C$37, 8.3272, 8.3261) * CHOOSE(CONTROL!$C$20, $D$12, 100%, $F$12)</f>
        <v>8.3271999999999995</v>
      </c>
      <c r="D255" s="7">
        <f>CHOOSE( CONTROL!$C$37, 8.3392, 8.3382) * CHOOSE( CONTROL!$C$20, $D$12, 100%, $F$12)</f>
        <v>8.3391999999999999</v>
      </c>
      <c r="E255" s="10">
        <f>CHOOSE( CONTROL!$C$37, 8.3347, 8.3336) * CHOOSE( CONTROL!$C$20, $D$12, 100%, $F$12)</f>
        <v>8.3346999999999998</v>
      </c>
      <c r="F255" s="4">
        <f>CHOOSE( CONTROL!$C$37, 9.0489, 9.0478) * CHOOSE(CONTROL!$C$20, $D$12, 100%, $F$12)</f>
        <v>9.0488999999999997</v>
      </c>
      <c r="G255" s="7">
        <f>CHOOSE( CONTROL!$C$37, 8.2519, 8.2509) * CHOOSE( CONTROL!$C$20, $D$12, 100%, $F$12)</f>
        <v>8.2518999999999991</v>
      </c>
      <c r="H255" s="4">
        <f>CHOOSE( CONTROL!$C$37, 9.1965, 9.1954) * CHOOSE(CONTROL!$C$20, $D$12, 100%, $F$12)</f>
        <v>9.1965000000000003</v>
      </c>
      <c r="I255" s="7">
        <f>CHOOSE( CONTROL!$C$37, 8.2033, 8.2022) * CHOOSE(CONTROL!$C$20, $D$12, 100%, $F$12)</f>
        <v>8.2033000000000005</v>
      </c>
      <c r="J255" s="4">
        <f>CHOOSE( CONTROL!$C$37, 8.0743, 8.0733) * CHOOSE(CONTROL!$C$20, $D$12, 100%, $F$12)</f>
        <v>8.0742999999999991</v>
      </c>
      <c r="K255" s="4"/>
      <c r="L255" s="8">
        <v>31.095300000000002</v>
      </c>
      <c r="M255" s="8">
        <v>12.063700000000001</v>
      </c>
      <c r="N255" s="8">
        <v>4.9444999999999997</v>
      </c>
      <c r="O255" s="8">
        <v>0.37409999999999999</v>
      </c>
      <c r="P255" s="8">
        <v>1.2927</v>
      </c>
      <c r="Q255" s="8">
        <v>30.773700000000002</v>
      </c>
      <c r="R255" s="8"/>
    </row>
    <row r="256" spans="1:18" ht="14.25" customHeight="1">
      <c r="A256" s="11">
        <v>48884</v>
      </c>
      <c r="B256" s="7">
        <f>CHOOSE( CONTROL!$C$37, 8.976, 8.975) * CHOOSE(CONTROL!$C$20, $D$12, 100%, $F$12)</f>
        <v>8.9760000000000009</v>
      </c>
      <c r="C256" s="7">
        <f>CHOOSE( CONTROL!$C$37, 8.9811, 8.9801) * CHOOSE(CONTROL!$C$20, $D$12, 100%, $F$12)</f>
        <v>8.9810999999999996</v>
      </c>
      <c r="D256" s="7">
        <f>CHOOSE( CONTROL!$C$37, 8.9596, 8.9585) * CHOOSE( CONTROL!$C$20, $D$12, 100%, $F$12)</f>
        <v>8.9596</v>
      </c>
      <c r="E256" s="10">
        <f>CHOOSE( CONTROL!$C$37, 8.9669, 8.9659) * CHOOSE( CONTROL!$C$20, $D$12, 100%, $F$12)</f>
        <v>8.9669000000000008</v>
      </c>
      <c r="F256" s="4">
        <f>CHOOSE( CONTROL!$C$37, 9.6286, 9.6275) * CHOOSE(CONTROL!$C$20, $D$12, 100%, $F$12)</f>
        <v>9.6286000000000005</v>
      </c>
      <c r="G256" s="7">
        <f>CHOOSE( CONTROL!$C$37, 8.8835, 8.8824) * CHOOSE( CONTROL!$C$20, $D$12, 100%, $F$12)</f>
        <v>8.8834999999999997</v>
      </c>
      <c r="H256" s="4">
        <f>CHOOSE( CONTROL!$C$37, 9.7681, 9.767) * CHOOSE(CONTROL!$C$20, $D$12, 100%, $F$12)</f>
        <v>9.7681000000000004</v>
      </c>
      <c r="I256" s="7">
        <f>CHOOSE( CONTROL!$C$37, 8.8886, 8.8875) * CHOOSE(CONTROL!$C$20, $D$12, 100%, $F$12)</f>
        <v>8.8886000000000003</v>
      </c>
      <c r="J256" s="4">
        <f>CHOOSE( CONTROL!$C$37, 8.7082, 8.7071) * CHOOSE(CONTROL!$C$20, $D$12, 100%, $F$12)</f>
        <v>8.7081999999999997</v>
      </c>
      <c r="K256" s="4"/>
      <c r="L256" s="8">
        <v>28.360600000000002</v>
      </c>
      <c r="M256" s="8">
        <v>11.6745</v>
      </c>
      <c r="N256" s="8">
        <v>4.7850000000000001</v>
      </c>
      <c r="O256" s="8">
        <v>0.36199999999999999</v>
      </c>
      <c r="P256" s="8">
        <v>1.2509999999999999</v>
      </c>
      <c r="Q256" s="8">
        <v>29.780999999999999</v>
      </c>
      <c r="R256" s="8"/>
    </row>
    <row r="257" spans="1:18" ht="14.25" customHeight="1">
      <c r="A257" s="11">
        <v>48914</v>
      </c>
      <c r="B257" s="7">
        <f>CHOOSE( CONTROL!$C$37, 8.9597, 8.9586) * CHOOSE(CONTROL!$C$20, $D$12, 100%, $F$12)</f>
        <v>8.9596999999999998</v>
      </c>
      <c r="C257" s="7">
        <f>CHOOSE( CONTROL!$C$37, 8.9648, 8.9637) * CHOOSE(CONTROL!$C$20, $D$12, 100%, $F$12)</f>
        <v>8.9648000000000003</v>
      </c>
      <c r="D257" s="7">
        <f>CHOOSE( CONTROL!$C$37, 8.9448, 8.9437) * CHOOSE( CONTROL!$C$20, $D$12, 100%, $F$12)</f>
        <v>8.9448000000000008</v>
      </c>
      <c r="E257" s="10">
        <f>CHOOSE( CONTROL!$C$37, 8.9516, 8.9505) * CHOOSE( CONTROL!$C$20, $D$12, 100%, $F$12)</f>
        <v>8.9515999999999991</v>
      </c>
      <c r="F257" s="4">
        <f>CHOOSE( CONTROL!$C$37, 9.6122, 9.6111) * CHOOSE(CONTROL!$C$20, $D$12, 100%, $F$12)</f>
        <v>9.6121999999999996</v>
      </c>
      <c r="G257" s="7">
        <f>CHOOSE( CONTROL!$C$37, 8.8685, 8.8674) * CHOOSE( CONTROL!$C$20, $D$12, 100%, $F$12)</f>
        <v>8.8684999999999992</v>
      </c>
      <c r="H257" s="4">
        <f>CHOOSE( CONTROL!$C$37, 9.752, 9.7509) * CHOOSE(CONTROL!$C$20, $D$12, 100%, $F$12)</f>
        <v>9.7520000000000007</v>
      </c>
      <c r="I257" s="7">
        <f>CHOOSE( CONTROL!$C$37, 8.8776, 8.8765) * CHOOSE(CONTROL!$C$20, $D$12, 100%, $F$12)</f>
        <v>8.8775999999999993</v>
      </c>
      <c r="J257" s="4">
        <f>CHOOSE( CONTROL!$C$37, 8.6923, 8.6913) * CHOOSE(CONTROL!$C$20, $D$12, 100%, $F$12)</f>
        <v>8.6922999999999995</v>
      </c>
      <c r="K257" s="4"/>
      <c r="L257" s="8">
        <v>29.306000000000001</v>
      </c>
      <c r="M257" s="8">
        <v>12.063700000000001</v>
      </c>
      <c r="N257" s="8">
        <v>4.9444999999999997</v>
      </c>
      <c r="O257" s="8">
        <v>0.37409999999999999</v>
      </c>
      <c r="P257" s="8">
        <v>1.2927</v>
      </c>
      <c r="Q257" s="8">
        <v>30.773700000000002</v>
      </c>
      <c r="R257" s="8"/>
    </row>
    <row r="258" spans="1:18" ht="14.25" customHeight="1">
      <c r="A258" s="11">
        <v>48945</v>
      </c>
      <c r="B258" s="7">
        <f>CHOOSE( CONTROL!$C$37, 9.2245, 9.2234) * CHOOSE(CONTROL!$C$20, $D$12, 100%, $F$12)</f>
        <v>9.2245000000000008</v>
      </c>
      <c r="C258" s="7">
        <f>CHOOSE( CONTROL!$C$37, 9.2295, 9.2285) * CHOOSE(CONTROL!$C$20, $D$12, 100%, $F$12)</f>
        <v>9.2294999999999998</v>
      </c>
      <c r="D258" s="7">
        <f>CHOOSE( CONTROL!$C$37, 9.2227, 9.2216) * CHOOSE( CONTROL!$C$20, $D$12, 100%, $F$12)</f>
        <v>9.2226999999999997</v>
      </c>
      <c r="E258" s="10">
        <f>CHOOSE( CONTROL!$C$37, 9.2247, 9.2236) * CHOOSE( CONTROL!$C$20, $D$12, 100%, $F$12)</f>
        <v>9.2247000000000003</v>
      </c>
      <c r="F258" s="4">
        <f>CHOOSE( CONTROL!$C$37, 9.877, 9.8759) * CHOOSE(CONTROL!$C$20, $D$12, 100%, $F$12)</f>
        <v>9.8770000000000007</v>
      </c>
      <c r="G258" s="7">
        <f>CHOOSE( CONTROL!$C$37, 9.1341, 9.133) * CHOOSE( CONTROL!$C$20, $D$12, 100%, $F$12)</f>
        <v>9.1341000000000001</v>
      </c>
      <c r="H258" s="4">
        <f>CHOOSE( CONTROL!$C$37, 10.013, 10.012) * CHOOSE(CONTROL!$C$20, $D$12, 100%, $F$12)</f>
        <v>10.013</v>
      </c>
      <c r="I258" s="7">
        <f>CHOOSE( CONTROL!$C$37, 9.1054, 9.1043) * CHOOSE(CONTROL!$C$20, $D$12, 100%, $F$12)</f>
        <v>9.1053999999999995</v>
      </c>
      <c r="J258" s="4">
        <f>CHOOSE( CONTROL!$C$37, 8.9487, 8.9476) * CHOOSE(CONTROL!$C$20, $D$12, 100%, $F$12)</f>
        <v>8.9487000000000005</v>
      </c>
      <c r="K258" s="4"/>
      <c r="L258" s="8">
        <v>29.306000000000001</v>
      </c>
      <c r="M258" s="8">
        <v>12.063700000000001</v>
      </c>
      <c r="N258" s="8">
        <v>4.9444999999999997</v>
      </c>
      <c r="O258" s="8">
        <v>0.37409999999999999</v>
      </c>
      <c r="P258" s="8">
        <v>1.2927</v>
      </c>
      <c r="Q258" s="8">
        <v>30.7105</v>
      </c>
      <c r="R258" s="8"/>
    </row>
    <row r="259" spans="1:18" ht="14.25" customHeight="1">
      <c r="A259" s="11">
        <v>48976</v>
      </c>
      <c r="B259" s="7">
        <f>CHOOSE( CONTROL!$C$37, 8.6271, 8.626) * CHOOSE(CONTROL!$C$20, $D$12, 100%, $F$12)</f>
        <v>8.6271000000000004</v>
      </c>
      <c r="C259" s="7">
        <f>CHOOSE( CONTROL!$C$37, 8.6322, 8.6311) * CHOOSE(CONTROL!$C$20, $D$12, 100%, $F$12)</f>
        <v>8.6321999999999992</v>
      </c>
      <c r="D259" s="7">
        <f>CHOOSE( CONTROL!$C$37, 8.6252, 8.6241) * CHOOSE( CONTROL!$C$20, $D$12, 100%, $F$12)</f>
        <v>8.6251999999999995</v>
      </c>
      <c r="E259" s="10">
        <f>CHOOSE( CONTROL!$C$37, 8.6272, 8.6261) * CHOOSE( CONTROL!$C$20, $D$12, 100%, $F$12)</f>
        <v>8.6272000000000002</v>
      </c>
      <c r="F259" s="4">
        <f>CHOOSE( CONTROL!$C$37, 9.2796, 9.2785) * CHOOSE(CONTROL!$C$20, $D$12, 100%, $F$12)</f>
        <v>9.2796000000000003</v>
      </c>
      <c r="G259" s="7">
        <f>CHOOSE( CONTROL!$C$37, 8.5449, 8.5439) * CHOOSE( CONTROL!$C$20, $D$12, 100%, $F$12)</f>
        <v>8.5449000000000002</v>
      </c>
      <c r="H259" s="4">
        <f>CHOOSE( CONTROL!$C$37, 9.424, 9.4229) * CHOOSE(CONTROL!$C$20, $D$12, 100%, $F$12)</f>
        <v>9.4239999999999995</v>
      </c>
      <c r="I259" s="7">
        <f>CHOOSE( CONTROL!$C$37, 8.5264, 8.5253) * CHOOSE(CONTROL!$C$20, $D$12, 100%, $F$12)</f>
        <v>8.5264000000000006</v>
      </c>
      <c r="J259" s="4">
        <f>CHOOSE( CONTROL!$C$37, 8.3702, 8.3692) * CHOOSE(CONTROL!$C$20, $D$12, 100%, $F$12)</f>
        <v>8.3702000000000005</v>
      </c>
      <c r="K259" s="4"/>
      <c r="L259" s="8">
        <v>26.469899999999999</v>
      </c>
      <c r="M259" s="8">
        <v>10.8962</v>
      </c>
      <c r="N259" s="8">
        <v>4.4660000000000002</v>
      </c>
      <c r="O259" s="8">
        <v>0.33789999999999998</v>
      </c>
      <c r="P259" s="8">
        <v>1.1676</v>
      </c>
      <c r="Q259" s="8">
        <v>27.738499999999998</v>
      </c>
      <c r="R259" s="8"/>
    </row>
    <row r="260" spans="1:18" ht="14.25" customHeight="1">
      <c r="A260" s="11">
        <v>49004</v>
      </c>
      <c r="B260" s="7">
        <f>CHOOSE( CONTROL!$C$37, 8.4431, 8.442) * CHOOSE(CONTROL!$C$20, $D$12, 100%, $F$12)</f>
        <v>8.4430999999999994</v>
      </c>
      <c r="C260" s="7">
        <f>CHOOSE( CONTROL!$C$37, 8.4482, 8.4471) * CHOOSE(CONTROL!$C$20, $D$12, 100%, $F$12)</f>
        <v>8.4481999999999999</v>
      </c>
      <c r="D260" s="7">
        <f>CHOOSE( CONTROL!$C$37, 8.4406, 8.4395) * CHOOSE( CONTROL!$C$20, $D$12, 100%, $F$12)</f>
        <v>8.4405999999999999</v>
      </c>
      <c r="E260" s="10">
        <f>CHOOSE( CONTROL!$C$37, 8.4428, 8.4417) * CHOOSE( CONTROL!$C$20, $D$12, 100%, $F$12)</f>
        <v>8.4428000000000001</v>
      </c>
      <c r="F260" s="4">
        <f>CHOOSE( CONTROL!$C$37, 9.0956, 9.0945) * CHOOSE(CONTROL!$C$20, $D$12, 100%, $F$12)</f>
        <v>9.0955999999999992</v>
      </c>
      <c r="G260" s="7">
        <f>CHOOSE( CONTROL!$C$37, 8.3631, 8.362) * CHOOSE( CONTROL!$C$20, $D$12, 100%, $F$12)</f>
        <v>8.3630999999999993</v>
      </c>
      <c r="H260" s="4">
        <f>CHOOSE( CONTROL!$C$37, 9.2426, 9.2415) * CHOOSE(CONTROL!$C$20, $D$12, 100%, $F$12)</f>
        <v>9.2425999999999995</v>
      </c>
      <c r="I260" s="7">
        <f>CHOOSE( CONTROL!$C$37, 8.3462, 8.3451) * CHOOSE(CONTROL!$C$20, $D$12, 100%, $F$12)</f>
        <v>8.3461999999999996</v>
      </c>
      <c r="J260" s="4">
        <f>CHOOSE( CONTROL!$C$37, 8.1921, 8.191) * CHOOSE(CONTROL!$C$20, $D$12, 100%, $F$12)</f>
        <v>8.1920999999999999</v>
      </c>
      <c r="K260" s="4"/>
      <c r="L260" s="8">
        <v>29.306000000000001</v>
      </c>
      <c r="M260" s="8">
        <v>12.063700000000001</v>
      </c>
      <c r="N260" s="8">
        <v>4.9444999999999997</v>
      </c>
      <c r="O260" s="8">
        <v>0.37409999999999999</v>
      </c>
      <c r="P260" s="8">
        <v>1.2927</v>
      </c>
      <c r="Q260" s="8">
        <v>30.7105</v>
      </c>
      <c r="R260" s="8"/>
    </row>
    <row r="261" spans="1:18" ht="14.25" customHeight="1">
      <c r="A261" s="11">
        <v>49035</v>
      </c>
      <c r="B261" s="7">
        <f>CHOOSE( CONTROL!$C$37, 8.5724, 8.5713) * CHOOSE(CONTROL!$C$20, $D$12, 100%, $F$12)</f>
        <v>8.5724</v>
      </c>
      <c r="C261" s="7">
        <f>CHOOSE( CONTROL!$C$37, 8.5769, 8.5758) * CHOOSE(CONTROL!$C$20, $D$12, 100%, $F$12)</f>
        <v>8.5769000000000002</v>
      </c>
      <c r="D261" s="7">
        <f>CHOOSE( CONTROL!$C$37, 8.5888, 8.5877) * CHOOSE( CONTROL!$C$20, $D$12, 100%, $F$12)</f>
        <v>8.5888000000000009</v>
      </c>
      <c r="E261" s="10">
        <f>CHOOSE( CONTROL!$C$37, 8.5844, 8.5833) * CHOOSE( CONTROL!$C$20, $D$12, 100%, $F$12)</f>
        <v>8.5844000000000005</v>
      </c>
      <c r="F261" s="4">
        <f>CHOOSE( CONTROL!$C$37, 9.2991, 9.298) * CHOOSE(CONTROL!$C$20, $D$12, 100%, $F$12)</f>
        <v>9.2990999999999993</v>
      </c>
      <c r="G261" s="7">
        <f>CHOOSE( CONTROL!$C$37, 8.4981, 8.497) * CHOOSE( CONTROL!$C$20, $D$12, 100%, $F$12)</f>
        <v>8.4981000000000009</v>
      </c>
      <c r="H261" s="4">
        <f>CHOOSE( CONTROL!$C$37, 9.4432, 9.4421) * CHOOSE(CONTROL!$C$20, $D$12, 100%, $F$12)</f>
        <v>9.4431999999999992</v>
      </c>
      <c r="I261" s="7">
        <f>CHOOSE( CONTROL!$C$37, 8.4433, 8.4423) * CHOOSE(CONTROL!$C$20, $D$12, 100%, $F$12)</f>
        <v>8.4433000000000007</v>
      </c>
      <c r="J261" s="4">
        <f>CHOOSE( CONTROL!$C$37, 8.3166, 8.3155) * CHOOSE(CONTROL!$C$20, $D$12, 100%, $F$12)</f>
        <v>8.3165999999999993</v>
      </c>
      <c r="K261" s="4"/>
      <c r="L261" s="8">
        <v>30.092199999999998</v>
      </c>
      <c r="M261" s="8">
        <v>11.6745</v>
      </c>
      <c r="N261" s="8">
        <v>4.7850000000000001</v>
      </c>
      <c r="O261" s="8">
        <v>0.36199999999999999</v>
      </c>
      <c r="P261" s="8">
        <v>1.2509999999999999</v>
      </c>
      <c r="Q261" s="8">
        <v>29.719799999999999</v>
      </c>
      <c r="R261" s="8"/>
    </row>
    <row r="262" spans="1:18" ht="14.25" customHeight="1">
      <c r="A262" s="11">
        <v>49065</v>
      </c>
      <c r="B262" s="7">
        <f>CHOOSE( CONTROL!$C$37, 8.8032, 8.8015) * CHOOSE(CONTROL!$C$20, $D$12, 100%, $F$12)</f>
        <v>8.8032000000000004</v>
      </c>
      <c r="C262" s="7">
        <f>CHOOSE( CONTROL!$C$37, 8.8112, 8.8095) * CHOOSE(CONTROL!$C$20, $D$12, 100%, $F$12)</f>
        <v>8.8111999999999995</v>
      </c>
      <c r="D262" s="7">
        <f>CHOOSE( CONTROL!$C$37, 8.8168, 8.8152) * CHOOSE( CONTROL!$C$20, $D$12, 100%, $F$12)</f>
        <v>8.8168000000000006</v>
      </c>
      <c r="E262" s="10">
        <f>CHOOSE( CONTROL!$C$37, 8.8136, 8.8119) * CHOOSE( CONTROL!$C$20, $D$12, 100%, $F$12)</f>
        <v>8.8135999999999992</v>
      </c>
      <c r="F262" s="4">
        <f>CHOOSE( CONTROL!$C$37, 9.5285, 9.5268) * CHOOSE(CONTROL!$C$20, $D$12, 100%, $F$12)</f>
        <v>9.5284999999999993</v>
      </c>
      <c r="G262" s="7">
        <f>CHOOSE( CONTROL!$C$37, 8.7243, 8.7226) * CHOOSE( CONTROL!$C$20, $D$12, 100%, $F$12)</f>
        <v>8.7242999999999995</v>
      </c>
      <c r="H262" s="4">
        <f>CHOOSE( CONTROL!$C$37, 9.6694, 9.6677) * CHOOSE(CONTROL!$C$20, $D$12, 100%, $F$12)</f>
        <v>9.6693999999999996</v>
      </c>
      <c r="I262" s="7">
        <f>CHOOSE( CONTROL!$C$37, 8.6653, 8.6637) * CHOOSE(CONTROL!$C$20, $D$12, 100%, $F$12)</f>
        <v>8.6653000000000002</v>
      </c>
      <c r="J262" s="4">
        <f>CHOOSE( CONTROL!$C$37, 8.5387, 8.5371) * CHOOSE(CONTROL!$C$20, $D$12, 100%, $F$12)</f>
        <v>8.5387000000000004</v>
      </c>
      <c r="K262" s="4"/>
      <c r="L262" s="8">
        <v>30.7165</v>
      </c>
      <c r="M262" s="8">
        <v>12.063700000000001</v>
      </c>
      <c r="N262" s="8">
        <v>4.9444999999999997</v>
      </c>
      <c r="O262" s="8">
        <v>0.37409999999999999</v>
      </c>
      <c r="P262" s="8">
        <v>1.2927</v>
      </c>
      <c r="Q262" s="8">
        <v>30.7105</v>
      </c>
      <c r="R262" s="8"/>
    </row>
    <row r="263" spans="1:18" ht="14.25" customHeight="1">
      <c r="A263" s="11">
        <v>49096</v>
      </c>
      <c r="B263" s="7">
        <f>CHOOSE( CONTROL!$C$37, 8.6614, 8.6598) * CHOOSE(CONTROL!$C$20, $D$12, 100%, $F$12)</f>
        <v>8.6614000000000004</v>
      </c>
      <c r="C263" s="7">
        <f>CHOOSE( CONTROL!$C$37, 8.6694, 8.6678) * CHOOSE(CONTROL!$C$20, $D$12, 100%, $F$12)</f>
        <v>8.6693999999999996</v>
      </c>
      <c r="D263" s="7">
        <f>CHOOSE( CONTROL!$C$37, 8.6753, 8.6737) * CHOOSE( CONTROL!$C$20, $D$12, 100%, $F$12)</f>
        <v>8.6753</v>
      </c>
      <c r="E263" s="10">
        <f>CHOOSE( CONTROL!$C$37, 8.6719, 8.6703) * CHOOSE( CONTROL!$C$20, $D$12, 100%, $F$12)</f>
        <v>8.6719000000000008</v>
      </c>
      <c r="F263" s="4">
        <f>CHOOSE( CONTROL!$C$37, 9.3867, 9.385) * CHOOSE(CONTROL!$C$20, $D$12, 100%, $F$12)</f>
        <v>9.3866999999999994</v>
      </c>
      <c r="G263" s="7">
        <f>CHOOSE( CONTROL!$C$37, 8.5847, 8.5831) * CHOOSE( CONTROL!$C$20, $D$12, 100%, $F$12)</f>
        <v>8.5846999999999998</v>
      </c>
      <c r="H263" s="4">
        <f>CHOOSE( CONTROL!$C$37, 9.5296, 9.528) * CHOOSE(CONTROL!$C$20, $D$12, 100%, $F$12)</f>
        <v>9.5296000000000003</v>
      </c>
      <c r="I263" s="7">
        <f>CHOOSE( CONTROL!$C$37, 8.5289, 8.5273) * CHOOSE(CONTROL!$C$20, $D$12, 100%, $F$12)</f>
        <v>8.5289000000000001</v>
      </c>
      <c r="J263" s="4">
        <f>CHOOSE( CONTROL!$C$37, 8.4015, 8.3998) * CHOOSE(CONTROL!$C$20, $D$12, 100%, $F$12)</f>
        <v>8.4015000000000004</v>
      </c>
      <c r="K263" s="4"/>
      <c r="L263" s="8">
        <v>29.7257</v>
      </c>
      <c r="M263" s="8">
        <v>11.6745</v>
      </c>
      <c r="N263" s="8">
        <v>4.7850000000000001</v>
      </c>
      <c r="O263" s="8">
        <v>0.36199999999999999</v>
      </c>
      <c r="P263" s="8">
        <v>1.2509999999999999</v>
      </c>
      <c r="Q263" s="8">
        <v>29.719799999999999</v>
      </c>
      <c r="R263" s="8"/>
    </row>
    <row r="264" spans="1:18" ht="14.25" customHeight="1">
      <c r="A264" s="11">
        <v>49126</v>
      </c>
      <c r="B264" s="7">
        <f>CHOOSE( CONTROL!$C$37, 9.0347, 9.033) * CHOOSE(CONTROL!$C$20, $D$12, 100%, $F$12)</f>
        <v>9.0347000000000008</v>
      </c>
      <c r="C264" s="7">
        <f>CHOOSE( CONTROL!$C$37, 9.0427, 9.041) * CHOOSE(CONTROL!$C$20, $D$12, 100%, $F$12)</f>
        <v>9.0427</v>
      </c>
      <c r="D264" s="7">
        <f>CHOOSE( CONTROL!$C$37, 9.0489, 9.0473) * CHOOSE( CONTROL!$C$20, $D$12, 100%, $F$12)</f>
        <v>9.0488999999999997</v>
      </c>
      <c r="E264" s="10">
        <f>CHOOSE( CONTROL!$C$37, 9.0454, 9.0438) * CHOOSE( CONTROL!$C$20, $D$12, 100%, $F$12)</f>
        <v>9.0454000000000008</v>
      </c>
      <c r="F264" s="4">
        <f>CHOOSE( CONTROL!$C$37, 9.76, 9.7583) * CHOOSE(CONTROL!$C$20, $D$12, 100%, $F$12)</f>
        <v>9.76</v>
      </c>
      <c r="G264" s="7">
        <f>CHOOSE( CONTROL!$C$37, 8.953, 8.9514) * CHOOSE( CONTROL!$C$20, $D$12, 100%, $F$12)</f>
        <v>8.9529999999999994</v>
      </c>
      <c r="H264" s="4">
        <f>CHOOSE( CONTROL!$C$37, 9.8977, 9.896) * CHOOSE(CONTROL!$C$20, $D$12, 100%, $F$12)</f>
        <v>9.8977000000000004</v>
      </c>
      <c r="I264" s="7">
        <f>CHOOSE( CONTROL!$C$37, 8.8916, 8.89) * CHOOSE(CONTROL!$C$20, $D$12, 100%, $F$12)</f>
        <v>8.8916000000000004</v>
      </c>
      <c r="J264" s="4">
        <f>CHOOSE( CONTROL!$C$37, 8.7629, 8.7613) * CHOOSE(CONTROL!$C$20, $D$12, 100%, $F$12)</f>
        <v>8.7629000000000001</v>
      </c>
      <c r="K264" s="4"/>
      <c r="L264" s="8">
        <v>30.7165</v>
      </c>
      <c r="M264" s="8">
        <v>12.063700000000001</v>
      </c>
      <c r="N264" s="8">
        <v>4.9444999999999997</v>
      </c>
      <c r="O264" s="8">
        <v>0.37409999999999999</v>
      </c>
      <c r="P264" s="8">
        <v>1.2927</v>
      </c>
      <c r="Q264" s="8">
        <v>30.7105</v>
      </c>
      <c r="R264" s="8"/>
    </row>
    <row r="265" spans="1:18" ht="14.25" customHeight="1">
      <c r="A265" s="11">
        <v>49157</v>
      </c>
      <c r="B265" s="7">
        <f>CHOOSE( CONTROL!$C$37, 8.3363, 8.3346) * CHOOSE(CONTROL!$C$20, $D$12, 100%, $F$12)</f>
        <v>8.3362999999999996</v>
      </c>
      <c r="C265" s="7">
        <f>CHOOSE( CONTROL!$C$37, 8.3443, 8.3426) * CHOOSE(CONTROL!$C$20, $D$12, 100%, $F$12)</f>
        <v>8.3443000000000005</v>
      </c>
      <c r="D265" s="7">
        <f>CHOOSE( CONTROL!$C$37, 8.3506, 8.3489) * CHOOSE( CONTROL!$C$20, $D$12, 100%, $F$12)</f>
        <v>8.3506</v>
      </c>
      <c r="E265" s="10">
        <f>CHOOSE( CONTROL!$C$37, 8.3471, 8.3454) * CHOOSE( CONTROL!$C$20, $D$12, 100%, $F$12)</f>
        <v>8.3470999999999993</v>
      </c>
      <c r="F265" s="4">
        <f>CHOOSE( CONTROL!$C$37, 9.0615, 9.0599) * CHOOSE(CONTROL!$C$20, $D$12, 100%, $F$12)</f>
        <v>9.0615000000000006</v>
      </c>
      <c r="G265" s="7">
        <f>CHOOSE( CONTROL!$C$37, 8.2644, 8.2627) * CHOOSE( CONTROL!$C$20, $D$12, 100%, $F$12)</f>
        <v>8.2644000000000002</v>
      </c>
      <c r="H265" s="4">
        <f>CHOOSE( CONTROL!$C$37, 9.209, 9.2073) * CHOOSE(CONTROL!$C$20, $D$12, 100%, $F$12)</f>
        <v>9.2089999999999996</v>
      </c>
      <c r="I265" s="7">
        <f>CHOOSE( CONTROL!$C$37, 8.2152, 8.2136) * CHOOSE(CONTROL!$C$20, $D$12, 100%, $F$12)</f>
        <v>8.2151999999999994</v>
      </c>
      <c r="J265" s="4">
        <f>CHOOSE( CONTROL!$C$37, 8.0866, 8.085) * CHOOSE(CONTROL!$C$20, $D$12, 100%, $F$12)</f>
        <v>8.0866000000000007</v>
      </c>
      <c r="K265" s="4"/>
      <c r="L265" s="8">
        <v>30.7165</v>
      </c>
      <c r="M265" s="8">
        <v>12.063700000000001</v>
      </c>
      <c r="N265" s="8">
        <v>4.9444999999999997</v>
      </c>
      <c r="O265" s="8">
        <v>0.37409999999999999</v>
      </c>
      <c r="P265" s="8">
        <v>1.2927</v>
      </c>
      <c r="Q265" s="8">
        <v>30.7105</v>
      </c>
      <c r="R265" s="8"/>
    </row>
    <row r="266" spans="1:18" ht="14.25" customHeight="1">
      <c r="A266" s="11">
        <v>49188</v>
      </c>
      <c r="B266" s="7">
        <f>CHOOSE( CONTROL!$C$37, 8.1614, 8.1597) * CHOOSE(CONTROL!$C$20, $D$12, 100%, $F$12)</f>
        <v>8.1614000000000004</v>
      </c>
      <c r="C266" s="7">
        <f>CHOOSE( CONTROL!$C$37, 8.1694, 8.1677) * CHOOSE(CONTROL!$C$20, $D$12, 100%, $F$12)</f>
        <v>8.1693999999999996</v>
      </c>
      <c r="D266" s="7">
        <f>CHOOSE( CONTROL!$C$37, 8.1756, 8.1739) * CHOOSE( CONTROL!$C$20, $D$12, 100%, $F$12)</f>
        <v>8.1755999999999993</v>
      </c>
      <c r="E266" s="10">
        <f>CHOOSE( CONTROL!$C$37, 8.1721, 8.1704) * CHOOSE( CONTROL!$C$20, $D$12, 100%, $F$12)</f>
        <v>8.1721000000000004</v>
      </c>
      <c r="F266" s="4">
        <f>CHOOSE( CONTROL!$C$37, 8.8866, 8.885) * CHOOSE(CONTROL!$C$20, $D$12, 100%, $F$12)</f>
        <v>8.8865999999999996</v>
      </c>
      <c r="G266" s="7">
        <f>CHOOSE( CONTROL!$C$37, 8.0918, 8.0902) * CHOOSE( CONTROL!$C$20, $D$12, 100%, $F$12)</f>
        <v>8.0917999999999992</v>
      </c>
      <c r="H266" s="4">
        <f>CHOOSE( CONTROL!$C$37, 9.0365, 9.0349) * CHOOSE(CONTROL!$C$20, $D$12, 100%, $F$12)</f>
        <v>9.0365000000000002</v>
      </c>
      <c r="I266" s="7">
        <f>CHOOSE( CONTROL!$C$37, 8.0454, 8.0438) * CHOOSE(CONTROL!$C$20, $D$12, 100%, $F$12)</f>
        <v>8.0454000000000008</v>
      </c>
      <c r="J266" s="4">
        <f>CHOOSE( CONTROL!$C$37, 7.9172, 7.9156) * CHOOSE(CONTROL!$C$20, $D$12, 100%, $F$12)</f>
        <v>7.9172000000000002</v>
      </c>
      <c r="K266" s="4"/>
      <c r="L266" s="8">
        <v>29.7257</v>
      </c>
      <c r="M266" s="8">
        <v>11.6745</v>
      </c>
      <c r="N266" s="8">
        <v>4.7850000000000001</v>
      </c>
      <c r="O266" s="8">
        <v>0.36199999999999999</v>
      </c>
      <c r="P266" s="8">
        <v>1.2509999999999999</v>
      </c>
      <c r="Q266" s="8">
        <v>29.719799999999999</v>
      </c>
      <c r="R266" s="8"/>
    </row>
    <row r="267" spans="1:18" ht="14.25" customHeight="1">
      <c r="A267" s="11">
        <v>49218</v>
      </c>
      <c r="B267" s="7">
        <f>CHOOSE( CONTROL!$C$37, 8.5222, 8.5211) * CHOOSE(CONTROL!$C$20, $D$12, 100%, $F$12)</f>
        <v>8.5221999999999998</v>
      </c>
      <c r="C267" s="7">
        <f>CHOOSE( CONTROL!$C$37, 8.5276, 8.5265) * CHOOSE(CONTROL!$C$20, $D$12, 100%, $F$12)</f>
        <v>8.5275999999999996</v>
      </c>
      <c r="D267" s="7">
        <f>CHOOSE( CONTROL!$C$37, 8.5396, 8.5385) * CHOOSE( CONTROL!$C$20, $D$12, 100%, $F$12)</f>
        <v>8.5396000000000001</v>
      </c>
      <c r="E267" s="10">
        <f>CHOOSE( CONTROL!$C$37, 8.5351, 8.534) * CHOOSE( CONTROL!$C$20, $D$12, 100%, $F$12)</f>
        <v>8.5350999999999999</v>
      </c>
      <c r="F267" s="4">
        <f>CHOOSE( CONTROL!$C$37, 9.2492, 9.2481) * CHOOSE(CONTROL!$C$20, $D$12, 100%, $F$12)</f>
        <v>9.2492000000000001</v>
      </c>
      <c r="G267" s="7">
        <f>CHOOSE( CONTROL!$C$37, 8.4495, 8.4484) * CHOOSE( CONTROL!$C$20, $D$12, 100%, $F$12)</f>
        <v>8.4495000000000005</v>
      </c>
      <c r="H267" s="4">
        <f>CHOOSE( CONTROL!$C$37, 9.394, 9.393) * CHOOSE(CONTROL!$C$20, $D$12, 100%, $F$12)</f>
        <v>9.3940000000000001</v>
      </c>
      <c r="I267" s="7">
        <f>CHOOSE( CONTROL!$C$37, 8.3973, 8.3963) * CHOOSE(CONTROL!$C$20, $D$12, 100%, $F$12)</f>
        <v>8.3972999999999995</v>
      </c>
      <c r="J267" s="4">
        <f>CHOOSE( CONTROL!$C$37, 8.2683, 8.2673) * CHOOSE(CONTROL!$C$20, $D$12, 100%, $F$12)</f>
        <v>8.2683</v>
      </c>
      <c r="K267" s="4"/>
      <c r="L267" s="8">
        <v>31.095300000000002</v>
      </c>
      <c r="M267" s="8">
        <v>12.063700000000001</v>
      </c>
      <c r="N267" s="8">
        <v>4.9444999999999997</v>
      </c>
      <c r="O267" s="8">
        <v>0.37409999999999999</v>
      </c>
      <c r="P267" s="8">
        <v>1.2927</v>
      </c>
      <c r="Q267" s="8">
        <v>30.7105</v>
      </c>
      <c r="R267" s="8"/>
    </row>
    <row r="268" spans="1:18" ht="14.25" customHeight="1">
      <c r="A268" s="11">
        <v>49249</v>
      </c>
      <c r="B268" s="7">
        <f>CHOOSE( CONTROL!$C$37, 9.1921, 9.191) * CHOOSE(CONTROL!$C$20, $D$12, 100%, $F$12)</f>
        <v>9.1920999999999999</v>
      </c>
      <c r="C268" s="7">
        <f>CHOOSE( CONTROL!$C$37, 9.1972, 9.1961) * CHOOSE(CONTROL!$C$20, $D$12, 100%, $F$12)</f>
        <v>9.1972000000000005</v>
      </c>
      <c r="D268" s="7">
        <f>CHOOSE( CONTROL!$C$37, 9.1757, 9.1746) * CHOOSE( CONTROL!$C$20, $D$12, 100%, $F$12)</f>
        <v>9.1757000000000009</v>
      </c>
      <c r="E268" s="10">
        <f>CHOOSE( CONTROL!$C$37, 9.183, 9.1819) * CHOOSE( CONTROL!$C$20, $D$12, 100%, $F$12)</f>
        <v>9.1829999999999998</v>
      </c>
      <c r="F268" s="4">
        <f>CHOOSE( CONTROL!$C$37, 9.8446, 9.8436) * CHOOSE(CONTROL!$C$20, $D$12, 100%, $F$12)</f>
        <v>9.8445999999999998</v>
      </c>
      <c r="G268" s="7">
        <f>CHOOSE( CONTROL!$C$37, 9.0965, 9.0955) * CHOOSE( CONTROL!$C$20, $D$12, 100%, $F$12)</f>
        <v>9.0965000000000007</v>
      </c>
      <c r="H268" s="4">
        <f>CHOOSE( CONTROL!$C$37, 9.9811, 9.9801) * CHOOSE(CONTROL!$C$20, $D$12, 100%, $F$12)</f>
        <v>9.9810999999999996</v>
      </c>
      <c r="I268" s="7">
        <f>CHOOSE( CONTROL!$C$37, 9.0979, 9.0968) * CHOOSE(CONTROL!$C$20, $D$12, 100%, $F$12)</f>
        <v>9.0978999999999992</v>
      </c>
      <c r="J268" s="4">
        <f>CHOOSE( CONTROL!$C$37, 8.9174, 8.9163) * CHOOSE(CONTROL!$C$20, $D$12, 100%, $F$12)</f>
        <v>8.9174000000000007</v>
      </c>
      <c r="K268" s="4"/>
      <c r="L268" s="8">
        <v>28.360600000000002</v>
      </c>
      <c r="M268" s="8">
        <v>11.6745</v>
      </c>
      <c r="N268" s="8">
        <v>4.7850000000000001</v>
      </c>
      <c r="O268" s="8">
        <v>0.36199999999999999</v>
      </c>
      <c r="P268" s="8">
        <v>1.2509999999999999</v>
      </c>
      <c r="Q268" s="8">
        <v>29.719799999999999</v>
      </c>
      <c r="R268" s="8"/>
    </row>
    <row r="269" spans="1:18" ht="14.25" customHeight="1">
      <c r="A269" s="11">
        <v>49279</v>
      </c>
      <c r="B269" s="7">
        <f>CHOOSE( CONTROL!$C$37, 9.1754, 9.1743) * CHOOSE(CONTROL!$C$20, $D$12, 100%, $F$12)</f>
        <v>9.1753999999999998</v>
      </c>
      <c r="C269" s="7">
        <f>CHOOSE( CONTROL!$C$37, 9.1805, 9.1794) * CHOOSE(CONTROL!$C$20, $D$12, 100%, $F$12)</f>
        <v>9.1805000000000003</v>
      </c>
      <c r="D269" s="7">
        <f>CHOOSE( CONTROL!$C$37, 9.1605, 9.1594) * CHOOSE( CONTROL!$C$20, $D$12, 100%, $F$12)</f>
        <v>9.1605000000000008</v>
      </c>
      <c r="E269" s="10">
        <f>CHOOSE( CONTROL!$C$37, 9.1673, 9.1662) * CHOOSE( CONTROL!$C$20, $D$12, 100%, $F$12)</f>
        <v>9.1672999999999991</v>
      </c>
      <c r="F269" s="4">
        <f>CHOOSE( CONTROL!$C$37, 9.8279, 9.8268) * CHOOSE(CONTROL!$C$20, $D$12, 100%, $F$12)</f>
        <v>9.8278999999999996</v>
      </c>
      <c r="G269" s="7">
        <f>CHOOSE( CONTROL!$C$37, 9.0811, 9.0801) * CHOOSE( CONTROL!$C$20, $D$12, 100%, $F$12)</f>
        <v>9.0810999999999993</v>
      </c>
      <c r="H269" s="4">
        <f>CHOOSE( CONTROL!$C$37, 9.9646, 9.9636) * CHOOSE(CONTROL!$C$20, $D$12, 100%, $F$12)</f>
        <v>9.9646000000000008</v>
      </c>
      <c r="I269" s="7">
        <f>CHOOSE( CONTROL!$C$37, 9.0865, 9.0855) * CHOOSE(CONTROL!$C$20, $D$12, 100%, $F$12)</f>
        <v>9.0864999999999991</v>
      </c>
      <c r="J269" s="4">
        <f>CHOOSE( CONTROL!$C$37, 8.9012, 8.9001) * CHOOSE(CONTROL!$C$20, $D$12, 100%, $F$12)</f>
        <v>8.9011999999999993</v>
      </c>
      <c r="K269" s="4"/>
      <c r="L269" s="8">
        <v>29.306000000000001</v>
      </c>
      <c r="M269" s="8">
        <v>12.063700000000001</v>
      </c>
      <c r="N269" s="8">
        <v>4.9444999999999997</v>
      </c>
      <c r="O269" s="8">
        <v>0.37409999999999999</v>
      </c>
      <c r="P269" s="8">
        <v>1.2927</v>
      </c>
      <c r="Q269" s="8">
        <v>30.7105</v>
      </c>
      <c r="R269" s="8"/>
    </row>
    <row r="270" spans="1:18" ht="14.25" customHeight="1">
      <c r="A270" s="11">
        <v>49310</v>
      </c>
      <c r="B270" s="7">
        <f>CHOOSE( CONTROL!$C$37, 9.4465, 9.4454) * CHOOSE(CONTROL!$C$20, $D$12, 100%, $F$12)</f>
        <v>9.4465000000000003</v>
      </c>
      <c r="C270" s="7">
        <f>CHOOSE( CONTROL!$C$37, 9.4516, 9.4505) * CHOOSE(CONTROL!$C$20, $D$12, 100%, $F$12)</f>
        <v>9.4515999999999991</v>
      </c>
      <c r="D270" s="7">
        <f>CHOOSE( CONTROL!$C$37, 9.4447, 9.4436) * CHOOSE( CONTROL!$C$20, $D$12, 100%, $F$12)</f>
        <v>9.4446999999999992</v>
      </c>
      <c r="E270" s="10">
        <f>CHOOSE( CONTROL!$C$37, 9.4467, 9.4456) * CHOOSE( CONTROL!$C$20, $D$12, 100%, $F$12)</f>
        <v>9.4466999999999999</v>
      </c>
      <c r="F270" s="4">
        <f>CHOOSE( CONTROL!$C$37, 10.099, 10.0979) * CHOOSE(CONTROL!$C$20, $D$12, 100%, $F$12)</f>
        <v>10.099</v>
      </c>
      <c r="G270" s="7">
        <f>CHOOSE( CONTROL!$C$37, 9.353, 9.3519) * CHOOSE( CONTROL!$C$20, $D$12, 100%, $F$12)</f>
        <v>9.3529999999999998</v>
      </c>
      <c r="H270" s="4">
        <f>CHOOSE( CONTROL!$C$37, 10.232, 10.2309) * CHOOSE(CONTROL!$C$20, $D$12, 100%, $F$12)</f>
        <v>10.231999999999999</v>
      </c>
      <c r="I270" s="7">
        <f>CHOOSE( CONTROL!$C$37, 9.3205, 9.3194) * CHOOSE(CONTROL!$C$20, $D$12, 100%, $F$12)</f>
        <v>9.3204999999999991</v>
      </c>
      <c r="J270" s="4">
        <f>CHOOSE( CONTROL!$C$37, 9.1637, 9.1626) * CHOOSE(CONTROL!$C$20, $D$12, 100%, $F$12)</f>
        <v>9.1637000000000004</v>
      </c>
      <c r="K270" s="4"/>
      <c r="L270" s="8">
        <v>29.306000000000001</v>
      </c>
      <c r="M270" s="8">
        <v>12.063700000000001</v>
      </c>
      <c r="N270" s="8">
        <v>4.9444999999999997</v>
      </c>
      <c r="O270" s="8">
        <v>0.37409999999999999</v>
      </c>
      <c r="P270" s="8">
        <v>1.2927</v>
      </c>
      <c r="Q270" s="8">
        <v>30.645399999999999</v>
      </c>
      <c r="R270" s="8"/>
    </row>
    <row r="271" spans="1:18" ht="14.25" customHeight="1">
      <c r="A271" s="11">
        <v>49341</v>
      </c>
      <c r="B271" s="7">
        <f>CHOOSE( CONTROL!$C$37, 8.8347, 8.8337) * CHOOSE(CONTROL!$C$20, $D$12, 100%, $F$12)</f>
        <v>8.8346999999999998</v>
      </c>
      <c r="C271" s="7">
        <f>CHOOSE( CONTROL!$C$37, 8.8398, 8.8387) * CHOOSE(CONTROL!$C$20, $D$12, 100%, $F$12)</f>
        <v>8.8398000000000003</v>
      </c>
      <c r="D271" s="7">
        <f>CHOOSE( CONTROL!$C$37, 8.8329, 8.8318) * CHOOSE( CONTROL!$C$20, $D$12, 100%, $F$12)</f>
        <v>8.8329000000000004</v>
      </c>
      <c r="E271" s="10">
        <f>CHOOSE( CONTROL!$C$37, 8.8349, 8.8338) * CHOOSE( CONTROL!$C$20, $D$12, 100%, $F$12)</f>
        <v>8.8348999999999993</v>
      </c>
      <c r="F271" s="4">
        <f>CHOOSE( CONTROL!$C$37, 9.4873, 9.4862) * CHOOSE(CONTROL!$C$20, $D$12, 100%, $F$12)</f>
        <v>9.4872999999999994</v>
      </c>
      <c r="G271" s="7">
        <f>CHOOSE( CONTROL!$C$37, 8.7497, 8.7487) * CHOOSE( CONTROL!$C$20, $D$12, 100%, $F$12)</f>
        <v>8.7497000000000007</v>
      </c>
      <c r="H271" s="4">
        <f>CHOOSE( CONTROL!$C$37, 9.6288, 9.6277) * CHOOSE(CONTROL!$C$20, $D$12, 100%, $F$12)</f>
        <v>9.6288</v>
      </c>
      <c r="I271" s="7">
        <f>CHOOSE( CONTROL!$C$37, 8.7276, 8.7265) * CHOOSE(CONTROL!$C$20, $D$12, 100%, $F$12)</f>
        <v>8.7276000000000007</v>
      </c>
      <c r="J271" s="4">
        <f>CHOOSE( CONTROL!$C$37, 8.5713, 8.5703) * CHOOSE(CONTROL!$C$20, $D$12, 100%, $F$12)</f>
        <v>8.5713000000000008</v>
      </c>
      <c r="K271" s="4"/>
      <c r="L271" s="8">
        <v>26.469899999999999</v>
      </c>
      <c r="M271" s="8">
        <v>10.8962</v>
      </c>
      <c r="N271" s="8">
        <v>4.4660000000000002</v>
      </c>
      <c r="O271" s="8">
        <v>0.33789999999999998</v>
      </c>
      <c r="P271" s="8">
        <v>1.1676</v>
      </c>
      <c r="Q271" s="8">
        <v>27.6797</v>
      </c>
      <c r="R271" s="8"/>
    </row>
    <row r="272" spans="1:18" ht="14.25" customHeight="1">
      <c r="A272" s="11">
        <v>49369</v>
      </c>
      <c r="B272" s="7">
        <f>CHOOSE( CONTROL!$C$37, 8.6463, 8.6452) * CHOOSE(CONTROL!$C$20, $D$12, 100%, $F$12)</f>
        <v>8.6463000000000001</v>
      </c>
      <c r="C272" s="7">
        <f>CHOOSE( CONTROL!$C$37, 8.6514, 8.6503) * CHOOSE(CONTROL!$C$20, $D$12, 100%, $F$12)</f>
        <v>8.6514000000000006</v>
      </c>
      <c r="D272" s="7">
        <f>CHOOSE( CONTROL!$C$37, 8.6438, 8.6427) * CHOOSE( CONTROL!$C$20, $D$12, 100%, $F$12)</f>
        <v>8.6438000000000006</v>
      </c>
      <c r="E272" s="10">
        <f>CHOOSE( CONTROL!$C$37, 8.646, 8.6449) * CHOOSE( CONTROL!$C$20, $D$12, 100%, $F$12)</f>
        <v>8.6460000000000008</v>
      </c>
      <c r="F272" s="4">
        <f>CHOOSE( CONTROL!$C$37, 9.2989, 9.2978) * CHOOSE(CONTROL!$C$20, $D$12, 100%, $F$12)</f>
        <v>9.2988999999999997</v>
      </c>
      <c r="G272" s="7">
        <f>CHOOSE( CONTROL!$C$37, 8.5635, 8.5624) * CHOOSE( CONTROL!$C$20, $D$12, 100%, $F$12)</f>
        <v>8.5634999999999994</v>
      </c>
      <c r="H272" s="4">
        <f>CHOOSE( CONTROL!$C$37, 9.443, 9.4419) * CHOOSE(CONTROL!$C$20, $D$12, 100%, $F$12)</f>
        <v>9.4429999999999996</v>
      </c>
      <c r="I272" s="7">
        <f>CHOOSE( CONTROL!$C$37, 8.5431, 8.5421) * CHOOSE(CONTROL!$C$20, $D$12, 100%, $F$12)</f>
        <v>8.5431000000000008</v>
      </c>
      <c r="J272" s="4">
        <f>CHOOSE( CONTROL!$C$37, 8.3889, 8.3878) * CHOOSE(CONTROL!$C$20, $D$12, 100%, $F$12)</f>
        <v>8.3888999999999996</v>
      </c>
      <c r="K272" s="4"/>
      <c r="L272" s="8">
        <v>29.306000000000001</v>
      </c>
      <c r="M272" s="8">
        <v>12.063700000000001</v>
      </c>
      <c r="N272" s="8">
        <v>4.9444999999999997</v>
      </c>
      <c r="O272" s="8">
        <v>0.37409999999999999</v>
      </c>
      <c r="P272" s="8">
        <v>1.2927</v>
      </c>
      <c r="Q272" s="8">
        <v>30.645399999999999</v>
      </c>
      <c r="R272" s="8"/>
    </row>
    <row r="273" spans="1:18" ht="14.25" customHeight="1">
      <c r="A273" s="11">
        <v>49400</v>
      </c>
      <c r="B273" s="7">
        <f>CHOOSE( CONTROL!$C$37, 8.7787, 8.7777) * CHOOSE(CONTROL!$C$20, $D$12, 100%, $F$12)</f>
        <v>8.7787000000000006</v>
      </c>
      <c r="C273" s="7">
        <f>CHOOSE( CONTROL!$C$37, 8.7833, 8.7822) * CHOOSE(CONTROL!$C$20, $D$12, 100%, $F$12)</f>
        <v>8.7833000000000006</v>
      </c>
      <c r="D273" s="7">
        <f>CHOOSE( CONTROL!$C$37, 8.7951, 8.794) * CHOOSE( CONTROL!$C$20, $D$12, 100%, $F$12)</f>
        <v>8.7950999999999997</v>
      </c>
      <c r="E273" s="10">
        <f>CHOOSE( CONTROL!$C$37, 8.7907, 8.7896) * CHOOSE( CONTROL!$C$20, $D$12, 100%, $F$12)</f>
        <v>8.7906999999999993</v>
      </c>
      <c r="F273" s="4">
        <f>CHOOSE( CONTROL!$C$37, 9.5054, 9.5043) * CHOOSE(CONTROL!$C$20, $D$12, 100%, $F$12)</f>
        <v>9.5053999999999998</v>
      </c>
      <c r="G273" s="7">
        <f>CHOOSE( CONTROL!$C$37, 8.7016, 8.7005) * CHOOSE( CONTROL!$C$20, $D$12, 100%, $F$12)</f>
        <v>8.7015999999999991</v>
      </c>
      <c r="H273" s="4">
        <f>CHOOSE( CONTROL!$C$37, 9.6466, 9.6456) * CHOOSE(CONTROL!$C$20, $D$12, 100%, $F$12)</f>
        <v>9.6465999999999994</v>
      </c>
      <c r="I273" s="7">
        <f>CHOOSE( CONTROL!$C$37, 8.6432, 8.6422) * CHOOSE(CONTROL!$C$20, $D$12, 100%, $F$12)</f>
        <v>8.6432000000000002</v>
      </c>
      <c r="J273" s="4">
        <f>CHOOSE( CONTROL!$C$37, 8.5164, 8.5153) * CHOOSE(CONTROL!$C$20, $D$12, 100%, $F$12)</f>
        <v>8.5164000000000009</v>
      </c>
      <c r="K273" s="4"/>
      <c r="L273" s="8">
        <v>30.092199999999998</v>
      </c>
      <c r="M273" s="8">
        <v>11.6745</v>
      </c>
      <c r="N273" s="8">
        <v>4.7850000000000001</v>
      </c>
      <c r="O273" s="8">
        <v>0.36199999999999999</v>
      </c>
      <c r="P273" s="8">
        <v>1.2509999999999999</v>
      </c>
      <c r="Q273" s="8">
        <v>29.6568</v>
      </c>
      <c r="R273" s="8"/>
    </row>
    <row r="274" spans="1:18" ht="14.25" customHeight="1">
      <c r="A274" s="11">
        <v>49430</v>
      </c>
      <c r="B274" s="7">
        <f>CHOOSE( CONTROL!$C$37, 9.015, 9.0134) * CHOOSE(CONTROL!$C$20, $D$12, 100%, $F$12)</f>
        <v>9.0150000000000006</v>
      </c>
      <c r="C274" s="7">
        <f>CHOOSE( CONTROL!$C$37, 9.023, 9.0213) * CHOOSE(CONTROL!$C$20, $D$12, 100%, $F$12)</f>
        <v>9.0229999999999997</v>
      </c>
      <c r="D274" s="7">
        <f>CHOOSE( CONTROL!$C$37, 9.0287, 9.027) * CHOOSE( CONTROL!$C$20, $D$12, 100%, $F$12)</f>
        <v>9.0287000000000006</v>
      </c>
      <c r="E274" s="10">
        <f>CHOOSE( CONTROL!$C$37, 9.0254, 9.0237) * CHOOSE( CONTROL!$C$20, $D$12, 100%, $F$12)</f>
        <v>9.0253999999999994</v>
      </c>
      <c r="F274" s="4">
        <f>CHOOSE( CONTROL!$C$37, 9.7403, 9.7386) * CHOOSE(CONTROL!$C$20, $D$12, 100%, $F$12)</f>
        <v>9.7402999999999995</v>
      </c>
      <c r="G274" s="7">
        <f>CHOOSE( CONTROL!$C$37, 8.9331, 8.9315) * CHOOSE( CONTROL!$C$20, $D$12, 100%, $F$12)</f>
        <v>8.9330999999999996</v>
      </c>
      <c r="H274" s="4">
        <f>CHOOSE( CONTROL!$C$37, 9.8783, 9.8766) * CHOOSE(CONTROL!$C$20, $D$12, 100%, $F$12)</f>
        <v>9.8782999999999994</v>
      </c>
      <c r="I274" s="7">
        <f>CHOOSE( CONTROL!$C$37, 8.8705, 8.8689) * CHOOSE(CONTROL!$C$20, $D$12, 100%, $F$12)</f>
        <v>8.8704999999999998</v>
      </c>
      <c r="J274" s="4">
        <f>CHOOSE( CONTROL!$C$37, 8.7438, 8.7422) * CHOOSE(CONTROL!$C$20, $D$12, 100%, $F$12)</f>
        <v>8.7438000000000002</v>
      </c>
      <c r="K274" s="4"/>
      <c r="L274" s="8">
        <v>30.7165</v>
      </c>
      <c r="M274" s="8">
        <v>12.063700000000001</v>
      </c>
      <c r="N274" s="8">
        <v>4.9444999999999997</v>
      </c>
      <c r="O274" s="8">
        <v>0.37409999999999999</v>
      </c>
      <c r="P274" s="8">
        <v>1.2927</v>
      </c>
      <c r="Q274" s="8">
        <v>30.645399999999999</v>
      </c>
      <c r="R274" s="8"/>
    </row>
    <row r="275" spans="1:18" ht="14.25" customHeight="1">
      <c r="A275" s="12">
        <v>49461</v>
      </c>
      <c r="B275" s="7">
        <f>CHOOSE( CONTROL!$C$37, 8.8699, 8.8682) * CHOOSE(CONTROL!$C$20, $D$12, 100%, $F$12)</f>
        <v>8.8698999999999995</v>
      </c>
      <c r="C275" s="7">
        <f>CHOOSE( CONTROL!$C$37, 8.8779, 8.8762) * CHOOSE(CONTROL!$C$20, $D$12, 100%, $F$12)</f>
        <v>8.8779000000000003</v>
      </c>
      <c r="D275" s="7">
        <f>CHOOSE( CONTROL!$C$37, 8.8838, 8.8821) * CHOOSE( CONTROL!$C$20, $D$12, 100%, $F$12)</f>
        <v>8.8838000000000008</v>
      </c>
      <c r="E275" s="10">
        <f>CHOOSE( CONTROL!$C$37, 8.8804, 8.8787) * CHOOSE( CONTROL!$C$20, $D$12, 100%, $F$12)</f>
        <v>8.8803999999999998</v>
      </c>
      <c r="F275" s="4">
        <f>CHOOSE( CONTROL!$C$37, 9.5951, 9.5935) * CHOOSE(CONTROL!$C$20, $D$12, 100%, $F$12)</f>
        <v>9.5951000000000004</v>
      </c>
      <c r="G275" s="7">
        <f>CHOOSE( CONTROL!$C$37, 8.7902, 8.7886) * CHOOSE( CONTROL!$C$20, $D$12, 100%, $F$12)</f>
        <v>8.7902000000000005</v>
      </c>
      <c r="H275" s="4">
        <f>CHOOSE( CONTROL!$C$37, 9.7351, 9.7335) * CHOOSE(CONTROL!$C$20, $D$12, 100%, $F$12)</f>
        <v>9.7350999999999992</v>
      </c>
      <c r="I275" s="7">
        <f>CHOOSE( CONTROL!$C$37, 8.7308, 8.7292) * CHOOSE(CONTROL!$C$20, $D$12, 100%, $F$12)</f>
        <v>8.7308000000000003</v>
      </c>
      <c r="J275" s="4">
        <f>CHOOSE( CONTROL!$C$37, 8.6033, 8.6017) * CHOOSE(CONTROL!$C$20, $D$12, 100%, $F$12)</f>
        <v>8.6033000000000008</v>
      </c>
      <c r="K275" s="4"/>
      <c r="L275" s="8">
        <v>29.7257</v>
      </c>
      <c r="M275" s="8">
        <v>11.6745</v>
      </c>
      <c r="N275" s="8">
        <v>4.7850000000000001</v>
      </c>
      <c r="O275" s="8">
        <v>0.36199999999999999</v>
      </c>
      <c r="P275" s="8">
        <v>1.2509999999999999</v>
      </c>
      <c r="Q275" s="8">
        <v>29.6568</v>
      </c>
      <c r="R275" s="8"/>
    </row>
    <row r="276" spans="1:18" ht="14.25" customHeight="1">
      <c r="A276" s="12">
        <v>49491</v>
      </c>
      <c r="B276" s="7">
        <f>CHOOSE( CONTROL!$C$37, 9.2521, 9.2504) * CHOOSE(CONTROL!$C$20, $D$12, 100%, $F$12)</f>
        <v>9.2521000000000004</v>
      </c>
      <c r="C276" s="7">
        <f>CHOOSE( CONTROL!$C$37, 9.2601, 9.2584) * CHOOSE(CONTROL!$C$20, $D$12, 100%, $F$12)</f>
        <v>9.2600999999999996</v>
      </c>
      <c r="D276" s="7">
        <f>CHOOSE( CONTROL!$C$37, 9.2663, 9.2647) * CHOOSE( CONTROL!$C$20, $D$12, 100%, $F$12)</f>
        <v>9.2662999999999993</v>
      </c>
      <c r="E276" s="10">
        <f>CHOOSE( CONTROL!$C$37, 9.2628, 9.2612) * CHOOSE( CONTROL!$C$20, $D$12, 100%, $F$12)</f>
        <v>9.2628000000000004</v>
      </c>
      <c r="F276" s="4">
        <f>CHOOSE( CONTROL!$C$37, 9.9774, 9.9757) * CHOOSE(CONTROL!$C$20, $D$12, 100%, $F$12)</f>
        <v>9.9773999999999994</v>
      </c>
      <c r="G276" s="7">
        <f>CHOOSE( CONTROL!$C$37, 9.1674, 9.1658) * CHOOSE( CONTROL!$C$20, $D$12, 100%, $F$12)</f>
        <v>9.1674000000000007</v>
      </c>
      <c r="H276" s="4">
        <f>CHOOSE( CONTROL!$C$37, 10.112, 10.1104) * CHOOSE(CONTROL!$C$20, $D$12, 100%, $F$12)</f>
        <v>10.112</v>
      </c>
      <c r="I276" s="7">
        <f>CHOOSE( CONTROL!$C$37, 9.1022, 9.1006) * CHOOSE(CONTROL!$C$20, $D$12, 100%, $F$12)</f>
        <v>9.1021999999999998</v>
      </c>
      <c r="J276" s="4">
        <f>CHOOSE( CONTROL!$C$37, 8.9734, 8.9718) * CHOOSE(CONTROL!$C$20, $D$12, 100%, $F$12)</f>
        <v>8.9733999999999998</v>
      </c>
      <c r="K276" s="4"/>
      <c r="L276" s="8">
        <v>30.7165</v>
      </c>
      <c r="M276" s="8">
        <v>12.063700000000001</v>
      </c>
      <c r="N276" s="8">
        <v>4.9444999999999997</v>
      </c>
      <c r="O276" s="8">
        <v>0.37409999999999999</v>
      </c>
      <c r="P276" s="8">
        <v>1.2927</v>
      </c>
      <c r="Q276" s="8">
        <v>30.645399999999999</v>
      </c>
      <c r="R276" s="8"/>
    </row>
    <row r="277" spans="1:18" ht="14.25" customHeight="1">
      <c r="A277" s="12">
        <v>49522</v>
      </c>
      <c r="B277" s="7">
        <f>CHOOSE( CONTROL!$C$37, 8.5369, 8.5352) * CHOOSE(CONTROL!$C$20, $D$12, 100%, $F$12)</f>
        <v>8.5368999999999993</v>
      </c>
      <c r="C277" s="7">
        <f>CHOOSE( CONTROL!$C$37, 8.5449, 8.5432) * CHOOSE(CONTROL!$C$20, $D$12, 100%, $F$12)</f>
        <v>8.5449000000000002</v>
      </c>
      <c r="D277" s="7">
        <f>CHOOSE( CONTROL!$C$37, 8.5512, 8.5495) * CHOOSE( CONTROL!$C$20, $D$12, 100%, $F$12)</f>
        <v>8.5511999999999997</v>
      </c>
      <c r="E277" s="10">
        <f>CHOOSE( CONTROL!$C$37, 8.5477, 8.546) * CHOOSE( CONTROL!$C$20, $D$12, 100%, $F$12)</f>
        <v>8.5477000000000007</v>
      </c>
      <c r="F277" s="4">
        <f>CHOOSE( CONTROL!$C$37, 9.2622, 9.2605) * CHOOSE(CONTROL!$C$20, $D$12, 100%, $F$12)</f>
        <v>9.2622</v>
      </c>
      <c r="G277" s="7">
        <f>CHOOSE( CONTROL!$C$37, 8.4622, 8.4606) * CHOOSE( CONTROL!$C$20, $D$12, 100%, $F$12)</f>
        <v>8.4621999999999993</v>
      </c>
      <c r="H277" s="4">
        <f>CHOOSE( CONTROL!$C$37, 9.4068, 9.4051) * CHOOSE(CONTROL!$C$20, $D$12, 100%, $F$12)</f>
        <v>9.4068000000000005</v>
      </c>
      <c r="I277" s="7">
        <f>CHOOSE( CONTROL!$C$37, 8.4096, 8.408) * CHOOSE(CONTROL!$C$20, $D$12, 100%, $F$12)</f>
        <v>8.4095999999999993</v>
      </c>
      <c r="J277" s="4">
        <f>CHOOSE( CONTROL!$C$37, 8.2809, 8.2792) * CHOOSE(CONTROL!$C$20, $D$12, 100%, $F$12)</f>
        <v>8.2809000000000008</v>
      </c>
      <c r="K277" s="4"/>
      <c r="L277" s="8">
        <v>30.7165</v>
      </c>
      <c r="M277" s="8">
        <v>12.063700000000001</v>
      </c>
      <c r="N277" s="8">
        <v>4.9444999999999997</v>
      </c>
      <c r="O277" s="8">
        <v>0.37409999999999999</v>
      </c>
      <c r="P277" s="8">
        <v>1.2927</v>
      </c>
      <c r="Q277" s="8">
        <v>30.645399999999999</v>
      </c>
      <c r="R277" s="8"/>
    </row>
    <row r="278" spans="1:18" ht="14.25" customHeight="1">
      <c r="A278" s="12">
        <v>49553</v>
      </c>
      <c r="B278" s="7">
        <f>CHOOSE( CONTROL!$C$37, 8.3578, 8.3561) * CHOOSE(CONTROL!$C$20, $D$12, 100%, $F$12)</f>
        <v>8.3577999999999992</v>
      </c>
      <c r="C278" s="7">
        <f>CHOOSE( CONTROL!$C$37, 8.3658, 8.3641) * CHOOSE(CONTROL!$C$20, $D$12, 100%, $F$12)</f>
        <v>8.3658000000000001</v>
      </c>
      <c r="D278" s="7">
        <f>CHOOSE( CONTROL!$C$37, 8.372, 8.3703) * CHOOSE( CONTROL!$C$20, $D$12, 100%, $F$12)</f>
        <v>8.3719999999999999</v>
      </c>
      <c r="E278" s="10">
        <f>CHOOSE( CONTROL!$C$37, 8.3685, 8.3668) * CHOOSE( CONTROL!$C$20, $D$12, 100%, $F$12)</f>
        <v>8.3684999999999992</v>
      </c>
      <c r="F278" s="4">
        <f>CHOOSE( CONTROL!$C$37, 9.0831, 9.0814) * CHOOSE(CONTROL!$C$20, $D$12, 100%, $F$12)</f>
        <v>9.0831</v>
      </c>
      <c r="G278" s="7">
        <f>CHOOSE( CONTROL!$C$37, 8.2855, 8.2839) * CHOOSE( CONTROL!$C$20, $D$12, 100%, $F$12)</f>
        <v>8.2855000000000008</v>
      </c>
      <c r="H278" s="4">
        <f>CHOOSE( CONTROL!$C$37, 9.2302, 9.2285) * CHOOSE(CONTROL!$C$20, $D$12, 100%, $F$12)</f>
        <v>9.2302</v>
      </c>
      <c r="I278" s="7">
        <f>CHOOSE( CONTROL!$C$37, 8.2357, 8.2341) * CHOOSE(CONTROL!$C$20, $D$12, 100%, $F$12)</f>
        <v>8.2356999999999996</v>
      </c>
      <c r="J278" s="4">
        <f>CHOOSE( CONTROL!$C$37, 8.1074, 8.1058) * CHOOSE(CONTROL!$C$20, $D$12, 100%, $F$12)</f>
        <v>8.1074000000000002</v>
      </c>
      <c r="K278" s="4"/>
      <c r="L278" s="8">
        <v>29.7257</v>
      </c>
      <c r="M278" s="8">
        <v>11.6745</v>
      </c>
      <c r="N278" s="8">
        <v>4.7850000000000001</v>
      </c>
      <c r="O278" s="8">
        <v>0.36199999999999999</v>
      </c>
      <c r="P278" s="8">
        <v>1.2509999999999999</v>
      </c>
      <c r="Q278" s="8">
        <v>29.6568</v>
      </c>
      <c r="R278" s="8"/>
    </row>
    <row r="279" spans="1:18" ht="14.25" customHeight="1">
      <c r="A279" s="12">
        <v>49583</v>
      </c>
      <c r="B279" s="7">
        <f>CHOOSE( CONTROL!$C$37, 8.7274, 8.7263) * CHOOSE(CONTROL!$C$20, $D$12, 100%, $F$12)</f>
        <v>8.7273999999999994</v>
      </c>
      <c r="C279" s="7">
        <f>CHOOSE( CONTROL!$C$37, 8.7327, 8.7316) * CHOOSE(CONTROL!$C$20, $D$12, 100%, $F$12)</f>
        <v>8.7326999999999995</v>
      </c>
      <c r="D279" s="7">
        <f>CHOOSE( CONTROL!$C$37, 8.7447, 8.7436) * CHOOSE( CONTROL!$C$20, $D$12, 100%, $F$12)</f>
        <v>8.7446999999999999</v>
      </c>
      <c r="E279" s="10">
        <f>CHOOSE( CONTROL!$C$37, 8.7402, 8.7391) * CHOOSE( CONTROL!$C$20, $D$12, 100%, $F$12)</f>
        <v>8.7401999999999997</v>
      </c>
      <c r="F279" s="4">
        <f>CHOOSE( CONTROL!$C$37, 9.4544, 9.4533) * CHOOSE(CONTROL!$C$20, $D$12, 100%, $F$12)</f>
        <v>9.4543999999999997</v>
      </c>
      <c r="G279" s="7">
        <f>CHOOSE( CONTROL!$C$37, 8.6518, 8.6507) * CHOOSE( CONTROL!$C$20, $D$12, 100%, $F$12)</f>
        <v>8.6517999999999997</v>
      </c>
      <c r="H279" s="4">
        <f>CHOOSE( CONTROL!$C$37, 9.5963, 9.5952) * CHOOSE(CONTROL!$C$20, $D$12, 100%, $F$12)</f>
        <v>9.5962999999999994</v>
      </c>
      <c r="I279" s="7">
        <f>CHOOSE( CONTROL!$C$37, 8.5961, 8.595) * CHOOSE(CONTROL!$C$20, $D$12, 100%, $F$12)</f>
        <v>8.5960999999999999</v>
      </c>
      <c r="J279" s="4">
        <f>CHOOSE( CONTROL!$C$37, 8.467, 8.4659) * CHOOSE(CONTROL!$C$20, $D$12, 100%, $F$12)</f>
        <v>8.4670000000000005</v>
      </c>
      <c r="K279" s="4"/>
      <c r="L279" s="8">
        <v>31.095300000000002</v>
      </c>
      <c r="M279" s="8">
        <v>12.063700000000001</v>
      </c>
      <c r="N279" s="8">
        <v>4.9444999999999997</v>
      </c>
      <c r="O279" s="8">
        <v>0.37409999999999999</v>
      </c>
      <c r="P279" s="8">
        <v>1.2927</v>
      </c>
      <c r="Q279" s="8">
        <v>30.645399999999999</v>
      </c>
      <c r="R279" s="8"/>
    </row>
    <row r="280" spans="1:18" ht="14.25" customHeight="1">
      <c r="A280" s="12">
        <v>49614</v>
      </c>
      <c r="B280" s="7">
        <f>CHOOSE( CONTROL!$C$37, 9.4134, 9.4123) * CHOOSE(CONTROL!$C$20, $D$12, 100%, $F$12)</f>
        <v>9.4133999999999993</v>
      </c>
      <c r="C280" s="7">
        <f>CHOOSE( CONTROL!$C$37, 9.4185, 9.4174) * CHOOSE(CONTROL!$C$20, $D$12, 100%, $F$12)</f>
        <v>9.4184999999999999</v>
      </c>
      <c r="D280" s="7">
        <f>CHOOSE( CONTROL!$C$37, 9.3969, 9.3958) * CHOOSE( CONTROL!$C$20, $D$12, 100%, $F$12)</f>
        <v>9.3969000000000005</v>
      </c>
      <c r="E280" s="10">
        <f>CHOOSE( CONTROL!$C$37, 9.4043, 9.4032) * CHOOSE( CONTROL!$C$20, $D$12, 100%, $F$12)</f>
        <v>9.4042999999999992</v>
      </c>
      <c r="F280" s="4">
        <f>CHOOSE( CONTROL!$C$37, 10.0659, 10.0648) * CHOOSE(CONTROL!$C$20, $D$12, 100%, $F$12)</f>
        <v>10.065899999999999</v>
      </c>
      <c r="G280" s="7">
        <f>CHOOSE( CONTROL!$C$37, 9.3147, 9.3136) * CHOOSE( CONTROL!$C$20, $D$12, 100%, $F$12)</f>
        <v>9.3147000000000002</v>
      </c>
      <c r="H280" s="4">
        <f>CHOOSE( CONTROL!$C$37, 10.1993, 10.1982) * CHOOSE(CONTROL!$C$20, $D$12, 100%, $F$12)</f>
        <v>10.199299999999999</v>
      </c>
      <c r="I280" s="7">
        <f>CHOOSE( CONTROL!$C$37, 9.3122, 9.3112) * CHOOSE(CONTROL!$C$20, $D$12, 100%, $F$12)</f>
        <v>9.3122000000000007</v>
      </c>
      <c r="J280" s="4">
        <f>CHOOSE( CONTROL!$C$37, 9.1316, 9.1306) * CHOOSE(CONTROL!$C$20, $D$12, 100%, $F$12)</f>
        <v>9.1316000000000006</v>
      </c>
      <c r="K280" s="4"/>
      <c r="L280" s="8">
        <v>28.360600000000002</v>
      </c>
      <c r="M280" s="8">
        <v>11.6745</v>
      </c>
      <c r="N280" s="8">
        <v>4.7850000000000001</v>
      </c>
      <c r="O280" s="8">
        <v>0.36199999999999999</v>
      </c>
      <c r="P280" s="8">
        <v>1.2509999999999999</v>
      </c>
      <c r="Q280" s="8">
        <v>29.6568</v>
      </c>
      <c r="R280" s="8"/>
    </row>
    <row r="281" spans="1:18" ht="14.25" customHeight="1">
      <c r="A281" s="12">
        <v>49644</v>
      </c>
      <c r="B281" s="7">
        <f>CHOOSE( CONTROL!$C$37, 9.3962, 9.3951) * CHOOSE(CONTROL!$C$20, $D$12, 100%, $F$12)</f>
        <v>9.3962000000000003</v>
      </c>
      <c r="C281" s="7">
        <f>CHOOSE( CONTROL!$C$37, 9.4013, 9.4002) * CHOOSE(CONTROL!$C$20, $D$12, 100%, $F$12)</f>
        <v>9.4013000000000009</v>
      </c>
      <c r="D281" s="7">
        <f>CHOOSE( CONTROL!$C$37, 9.3813, 9.3802) * CHOOSE( CONTROL!$C$20, $D$12, 100%, $F$12)</f>
        <v>9.3812999999999995</v>
      </c>
      <c r="E281" s="10">
        <f>CHOOSE( CONTROL!$C$37, 9.3881, 9.387) * CHOOSE( CONTROL!$C$20, $D$12, 100%, $F$12)</f>
        <v>9.3880999999999997</v>
      </c>
      <c r="F281" s="4">
        <f>CHOOSE( CONTROL!$C$37, 10.0487, 10.0477) * CHOOSE(CONTROL!$C$20, $D$12, 100%, $F$12)</f>
        <v>10.0487</v>
      </c>
      <c r="G281" s="7">
        <f>CHOOSE( CONTROL!$C$37, 9.2989, 9.2978) * CHOOSE( CONTROL!$C$20, $D$12, 100%, $F$12)</f>
        <v>9.2988999999999997</v>
      </c>
      <c r="H281" s="4">
        <f>CHOOSE( CONTROL!$C$37, 10.1824, 10.1813) * CHOOSE(CONTROL!$C$20, $D$12, 100%, $F$12)</f>
        <v>10.182399999999999</v>
      </c>
      <c r="I281" s="7">
        <f>CHOOSE( CONTROL!$C$37, 9.3005, 9.2994) * CHOOSE(CONTROL!$C$20, $D$12, 100%, $F$12)</f>
        <v>9.3004999999999995</v>
      </c>
      <c r="J281" s="4">
        <f>CHOOSE( CONTROL!$C$37, 9.115, 9.114) * CHOOSE(CONTROL!$C$20, $D$12, 100%, $F$12)</f>
        <v>9.1150000000000002</v>
      </c>
      <c r="K281" s="4"/>
      <c r="L281" s="8">
        <v>29.306000000000001</v>
      </c>
      <c r="M281" s="8">
        <v>12.063700000000001</v>
      </c>
      <c r="N281" s="8">
        <v>4.9444999999999997</v>
      </c>
      <c r="O281" s="8">
        <v>0.37409999999999999</v>
      </c>
      <c r="P281" s="8">
        <v>1.2927</v>
      </c>
      <c r="Q281" s="8">
        <v>30.645399999999999</v>
      </c>
      <c r="R281" s="8"/>
    </row>
    <row r="282" spans="1:18" ht="14.25" customHeight="1">
      <c r="A282" s="12">
        <v>49675</v>
      </c>
      <c r="B282" s="7">
        <f>CHOOSE( CONTROL!$C$37, 9.6738, 9.6728) * CHOOSE(CONTROL!$C$20, $D$12, 100%, $F$12)</f>
        <v>9.6738</v>
      </c>
      <c r="C282" s="7">
        <f>CHOOSE( CONTROL!$C$37, 9.6789, 9.6779) * CHOOSE(CONTROL!$C$20, $D$12, 100%, $F$12)</f>
        <v>9.6789000000000005</v>
      </c>
      <c r="D282" s="7">
        <f>CHOOSE( CONTROL!$C$37, 9.672, 9.671) * CHOOSE( CONTROL!$C$20, $D$12, 100%, $F$12)</f>
        <v>9.6720000000000006</v>
      </c>
      <c r="E282" s="10">
        <f>CHOOSE( CONTROL!$C$37, 9.674, 9.673) * CHOOSE( CONTROL!$C$20, $D$12, 100%, $F$12)</f>
        <v>9.6739999999999995</v>
      </c>
      <c r="F282" s="4">
        <f>CHOOSE( CONTROL!$C$37, 10.3264, 10.3253) * CHOOSE(CONTROL!$C$20, $D$12, 100%, $F$12)</f>
        <v>10.3264</v>
      </c>
      <c r="G282" s="7">
        <f>CHOOSE( CONTROL!$C$37, 9.5772, 9.5761) * CHOOSE( CONTROL!$C$20, $D$12, 100%, $F$12)</f>
        <v>9.5771999999999995</v>
      </c>
      <c r="H282" s="4">
        <f>CHOOSE( CONTROL!$C$37, 10.4562, 10.4551) * CHOOSE(CONTROL!$C$20, $D$12, 100%, $F$12)</f>
        <v>10.456200000000001</v>
      </c>
      <c r="I282" s="7">
        <f>CHOOSE( CONTROL!$C$37, 9.5407, 9.5397) * CHOOSE(CONTROL!$C$20, $D$12, 100%, $F$12)</f>
        <v>9.5406999999999993</v>
      </c>
      <c r="J282" s="4">
        <f>CHOOSE( CONTROL!$C$37, 9.3838, 9.3828) * CHOOSE(CONTROL!$C$20, $D$12, 100%, $F$12)</f>
        <v>9.3838000000000008</v>
      </c>
      <c r="K282" s="4"/>
      <c r="L282" s="8">
        <v>29.306000000000001</v>
      </c>
      <c r="M282" s="8">
        <v>12.063700000000001</v>
      </c>
      <c r="N282" s="8">
        <v>4.9444999999999997</v>
      </c>
      <c r="O282" s="8">
        <v>0.37409999999999999</v>
      </c>
      <c r="P282" s="8">
        <v>1.2927</v>
      </c>
      <c r="Q282" s="8">
        <v>30.580300000000001</v>
      </c>
      <c r="R282" s="8"/>
    </row>
    <row r="283" spans="1:18" ht="14.25" customHeight="1">
      <c r="A283" s="12">
        <v>49706</v>
      </c>
      <c r="B283" s="7">
        <f>CHOOSE( CONTROL!$C$37, 9.0474, 9.0463) * CHOOSE(CONTROL!$C$20, $D$12, 100%, $F$12)</f>
        <v>9.0473999999999997</v>
      </c>
      <c r="C283" s="7">
        <f>CHOOSE( CONTROL!$C$37, 9.0525, 9.0514) * CHOOSE(CONTROL!$C$20, $D$12, 100%, $F$12)</f>
        <v>9.0525000000000002</v>
      </c>
      <c r="D283" s="7">
        <f>CHOOSE( CONTROL!$C$37, 9.0455, 9.0444) * CHOOSE( CONTROL!$C$20, $D$12, 100%, $F$12)</f>
        <v>9.0455000000000005</v>
      </c>
      <c r="E283" s="10">
        <f>CHOOSE( CONTROL!$C$37, 9.0475, 9.0464) * CHOOSE( CONTROL!$C$20, $D$12, 100%, $F$12)</f>
        <v>9.0474999999999994</v>
      </c>
      <c r="F283" s="4">
        <f>CHOOSE( CONTROL!$C$37, 9.6999, 9.6989) * CHOOSE(CONTROL!$C$20, $D$12, 100%, $F$12)</f>
        <v>9.6998999999999995</v>
      </c>
      <c r="G283" s="7">
        <f>CHOOSE( CONTROL!$C$37, 8.9594, 8.9584) * CHOOSE( CONTROL!$C$20, $D$12, 100%, $F$12)</f>
        <v>8.9594000000000005</v>
      </c>
      <c r="H283" s="4">
        <f>CHOOSE( CONTROL!$C$37, 9.8385, 9.8374) * CHOOSE(CONTROL!$C$20, $D$12, 100%, $F$12)</f>
        <v>9.8384999999999998</v>
      </c>
      <c r="I283" s="7">
        <f>CHOOSE( CONTROL!$C$37, 8.9336, 8.9325) * CHOOSE(CONTROL!$C$20, $D$12, 100%, $F$12)</f>
        <v>8.9336000000000002</v>
      </c>
      <c r="J283" s="4">
        <f>CHOOSE( CONTROL!$C$37, 8.7773, 8.7762) * CHOOSE(CONTROL!$C$20, $D$12, 100%, $F$12)</f>
        <v>8.7773000000000003</v>
      </c>
      <c r="K283" s="4"/>
      <c r="L283" s="8">
        <v>27.415299999999998</v>
      </c>
      <c r="M283" s="8">
        <v>11.285299999999999</v>
      </c>
      <c r="N283" s="8">
        <v>4.6254999999999997</v>
      </c>
      <c r="O283" s="8">
        <v>0.34989999999999999</v>
      </c>
      <c r="P283" s="8">
        <v>1.2093</v>
      </c>
      <c r="Q283" s="8">
        <v>28.607299999999999</v>
      </c>
      <c r="R283" s="8"/>
    </row>
    <row r="284" spans="1:18" ht="14.25" customHeight="1">
      <c r="A284" s="12">
        <v>49735</v>
      </c>
      <c r="B284" s="7">
        <f>CHOOSE( CONTROL!$C$37, 8.8545, 8.8534) * CHOOSE(CONTROL!$C$20, $D$12, 100%, $F$12)</f>
        <v>8.8544999999999998</v>
      </c>
      <c r="C284" s="7">
        <f>CHOOSE( CONTROL!$C$37, 8.8596, 8.8585) * CHOOSE(CONTROL!$C$20, $D$12, 100%, $F$12)</f>
        <v>8.8596000000000004</v>
      </c>
      <c r="D284" s="7">
        <f>CHOOSE( CONTROL!$C$37, 8.852, 8.8509) * CHOOSE( CONTROL!$C$20, $D$12, 100%, $F$12)</f>
        <v>8.8520000000000003</v>
      </c>
      <c r="E284" s="10">
        <f>CHOOSE( CONTROL!$C$37, 8.8542, 8.8531) * CHOOSE( CONTROL!$C$20, $D$12, 100%, $F$12)</f>
        <v>8.8542000000000005</v>
      </c>
      <c r="F284" s="4">
        <f>CHOOSE( CONTROL!$C$37, 9.507, 9.5059) * CHOOSE(CONTROL!$C$20, $D$12, 100%, $F$12)</f>
        <v>9.5069999999999997</v>
      </c>
      <c r="G284" s="7">
        <f>CHOOSE( CONTROL!$C$37, 8.7687, 8.7677) * CHOOSE( CONTROL!$C$20, $D$12, 100%, $F$12)</f>
        <v>8.7687000000000008</v>
      </c>
      <c r="H284" s="4">
        <f>CHOOSE( CONTROL!$C$37, 9.6482, 9.6471) * CHOOSE(CONTROL!$C$20, $D$12, 100%, $F$12)</f>
        <v>9.6481999999999992</v>
      </c>
      <c r="I284" s="7">
        <f>CHOOSE( CONTROL!$C$37, 8.7447, 8.7437) * CHOOSE(CONTROL!$C$20, $D$12, 100%, $F$12)</f>
        <v>8.7446999999999999</v>
      </c>
      <c r="J284" s="4">
        <f>CHOOSE( CONTROL!$C$37, 8.5904, 8.5894) * CHOOSE(CONTROL!$C$20, $D$12, 100%, $F$12)</f>
        <v>8.5904000000000007</v>
      </c>
      <c r="K284" s="4"/>
      <c r="L284" s="8">
        <v>29.306000000000001</v>
      </c>
      <c r="M284" s="8">
        <v>12.063700000000001</v>
      </c>
      <c r="N284" s="8">
        <v>4.9444999999999997</v>
      </c>
      <c r="O284" s="8">
        <v>0.37409999999999999</v>
      </c>
      <c r="P284" s="8">
        <v>1.2927</v>
      </c>
      <c r="Q284" s="8">
        <v>30.580300000000001</v>
      </c>
      <c r="R284" s="8"/>
    </row>
    <row r="285" spans="1:18" ht="14.25" customHeight="1">
      <c r="A285" s="12">
        <v>49766</v>
      </c>
      <c r="B285" s="7">
        <f>CHOOSE( CONTROL!$C$37, 8.99, 8.989) * CHOOSE(CONTROL!$C$20, $D$12, 100%, $F$12)</f>
        <v>8.99</v>
      </c>
      <c r="C285" s="7">
        <f>CHOOSE( CONTROL!$C$37, 8.9946, 8.9935) * CHOOSE(CONTROL!$C$20, $D$12, 100%, $F$12)</f>
        <v>8.9946000000000002</v>
      </c>
      <c r="D285" s="7">
        <f>CHOOSE( CONTROL!$C$37, 9.0064, 9.0053) * CHOOSE( CONTROL!$C$20, $D$12, 100%, $F$12)</f>
        <v>9.0063999999999993</v>
      </c>
      <c r="E285" s="10">
        <f>CHOOSE( CONTROL!$C$37, 9.002, 9.0009) * CHOOSE( CONTROL!$C$20, $D$12, 100%, $F$12)</f>
        <v>9.0020000000000007</v>
      </c>
      <c r="F285" s="4">
        <f>CHOOSE( CONTROL!$C$37, 9.7167, 9.7156) * CHOOSE(CONTROL!$C$20, $D$12, 100%, $F$12)</f>
        <v>9.7166999999999994</v>
      </c>
      <c r="G285" s="7">
        <f>CHOOSE( CONTROL!$C$37, 8.9099, 8.9088) * CHOOSE( CONTROL!$C$20, $D$12, 100%, $F$12)</f>
        <v>8.9099000000000004</v>
      </c>
      <c r="H285" s="4">
        <f>CHOOSE( CONTROL!$C$37, 9.855, 9.8539) * CHOOSE(CONTROL!$C$20, $D$12, 100%, $F$12)</f>
        <v>9.8550000000000004</v>
      </c>
      <c r="I285" s="7">
        <f>CHOOSE( CONTROL!$C$37, 8.8479, 8.8469) * CHOOSE(CONTROL!$C$20, $D$12, 100%, $F$12)</f>
        <v>8.8478999999999992</v>
      </c>
      <c r="J285" s="4">
        <f>CHOOSE( CONTROL!$C$37, 8.721, 8.7199) * CHOOSE(CONTROL!$C$20, $D$12, 100%, $F$12)</f>
        <v>8.7210000000000001</v>
      </c>
      <c r="K285" s="4"/>
      <c r="L285" s="8">
        <v>30.092199999999998</v>
      </c>
      <c r="M285" s="8">
        <v>11.6745</v>
      </c>
      <c r="N285" s="8">
        <v>4.7850000000000001</v>
      </c>
      <c r="O285" s="8">
        <v>0.36199999999999999</v>
      </c>
      <c r="P285" s="8">
        <v>1.2509999999999999</v>
      </c>
      <c r="Q285" s="8">
        <v>29.593800000000002</v>
      </c>
      <c r="R285" s="8"/>
    </row>
    <row r="286" spans="1:18" ht="14.25" customHeight="1">
      <c r="A286" s="12">
        <v>49796</v>
      </c>
      <c r="B286" s="7">
        <f>CHOOSE( CONTROL!$C$37, 9.2319, 9.2303) * CHOOSE(CONTROL!$C$20, $D$12, 100%, $F$12)</f>
        <v>9.2318999999999996</v>
      </c>
      <c r="C286" s="7">
        <f>CHOOSE( CONTROL!$C$37, 9.2399, 9.2383) * CHOOSE(CONTROL!$C$20, $D$12, 100%, $F$12)</f>
        <v>9.2399000000000004</v>
      </c>
      <c r="D286" s="7">
        <f>CHOOSE( CONTROL!$C$37, 9.2456, 9.2439) * CHOOSE( CONTROL!$C$20, $D$12, 100%, $F$12)</f>
        <v>9.2455999999999996</v>
      </c>
      <c r="E286" s="10">
        <f>CHOOSE( CONTROL!$C$37, 9.2423, 9.2407) * CHOOSE( CONTROL!$C$20, $D$12, 100%, $F$12)</f>
        <v>9.2423000000000002</v>
      </c>
      <c r="F286" s="4">
        <f>CHOOSE( CONTROL!$C$37, 9.9572, 9.9556) * CHOOSE(CONTROL!$C$20, $D$12, 100%, $F$12)</f>
        <v>9.9572000000000003</v>
      </c>
      <c r="G286" s="7">
        <f>CHOOSE( CONTROL!$C$37, 9.147, 9.1454) * CHOOSE( CONTROL!$C$20, $D$12, 100%, $F$12)</f>
        <v>9.1470000000000002</v>
      </c>
      <c r="H286" s="4">
        <f>CHOOSE( CONTROL!$C$37, 10.0922, 10.0905) * CHOOSE(CONTROL!$C$20, $D$12, 100%, $F$12)</f>
        <v>10.0922</v>
      </c>
      <c r="I286" s="7">
        <f>CHOOSE( CONTROL!$C$37, 9.0807, 9.0791) * CHOOSE(CONTROL!$C$20, $D$12, 100%, $F$12)</f>
        <v>9.0807000000000002</v>
      </c>
      <c r="J286" s="4">
        <f>CHOOSE( CONTROL!$C$37, 8.9539, 8.9523) * CHOOSE(CONTROL!$C$20, $D$12, 100%, $F$12)</f>
        <v>8.9539000000000009</v>
      </c>
      <c r="K286" s="4"/>
      <c r="L286" s="8">
        <v>30.7165</v>
      </c>
      <c r="M286" s="8">
        <v>12.063700000000001</v>
      </c>
      <c r="N286" s="8">
        <v>4.9444999999999997</v>
      </c>
      <c r="O286" s="8">
        <v>0.37409999999999999</v>
      </c>
      <c r="P286" s="8">
        <v>1.2927</v>
      </c>
      <c r="Q286" s="8">
        <v>30.580300000000001</v>
      </c>
      <c r="R286" s="8"/>
    </row>
    <row r="287" spans="1:18" ht="14.25" customHeight="1">
      <c r="A287" s="12">
        <v>49827</v>
      </c>
      <c r="B287" s="7">
        <f>CHOOSE( CONTROL!$C$37, 9.0833, 9.0816) * CHOOSE(CONTROL!$C$20, $D$12, 100%, $F$12)</f>
        <v>9.0832999999999995</v>
      </c>
      <c r="C287" s="7">
        <f>CHOOSE( CONTROL!$C$37, 9.0913, 9.0896) * CHOOSE(CONTROL!$C$20, $D$12, 100%, $F$12)</f>
        <v>9.0913000000000004</v>
      </c>
      <c r="D287" s="7">
        <f>CHOOSE( CONTROL!$C$37, 9.0972, 9.0956) * CHOOSE( CONTROL!$C$20, $D$12, 100%, $F$12)</f>
        <v>9.0972000000000008</v>
      </c>
      <c r="E287" s="10">
        <f>CHOOSE( CONTROL!$C$37, 9.0938, 9.0922) * CHOOSE( CONTROL!$C$20, $D$12, 100%, $F$12)</f>
        <v>9.0937999999999999</v>
      </c>
      <c r="F287" s="4">
        <f>CHOOSE( CONTROL!$C$37, 9.8086, 9.8069) * CHOOSE(CONTROL!$C$20, $D$12, 100%, $F$12)</f>
        <v>9.8086000000000002</v>
      </c>
      <c r="G287" s="7">
        <f>CHOOSE( CONTROL!$C$37, 9.0007, 8.9991) * CHOOSE( CONTROL!$C$20, $D$12, 100%, $F$12)</f>
        <v>9.0007000000000001</v>
      </c>
      <c r="H287" s="4">
        <f>CHOOSE( CONTROL!$C$37, 9.9456, 9.9439) * CHOOSE(CONTROL!$C$20, $D$12, 100%, $F$12)</f>
        <v>9.9456000000000007</v>
      </c>
      <c r="I287" s="7">
        <f>CHOOSE( CONTROL!$C$37, 8.9376, 8.936) * CHOOSE(CONTROL!$C$20, $D$12, 100%, $F$12)</f>
        <v>8.9375999999999998</v>
      </c>
      <c r="J287" s="4">
        <f>CHOOSE( CONTROL!$C$37, 8.81, 8.8083) * CHOOSE(CONTROL!$C$20, $D$12, 100%, $F$12)</f>
        <v>8.81</v>
      </c>
      <c r="K287" s="4"/>
      <c r="L287" s="8">
        <v>29.7257</v>
      </c>
      <c r="M287" s="8">
        <v>11.6745</v>
      </c>
      <c r="N287" s="8">
        <v>4.7850000000000001</v>
      </c>
      <c r="O287" s="8">
        <v>0.36199999999999999</v>
      </c>
      <c r="P287" s="8">
        <v>1.2509999999999999</v>
      </c>
      <c r="Q287" s="8">
        <v>29.593800000000002</v>
      </c>
      <c r="R287" s="8"/>
    </row>
    <row r="288" spans="1:18" ht="14.25" customHeight="1">
      <c r="A288" s="12">
        <v>49857</v>
      </c>
      <c r="B288" s="7">
        <f>CHOOSE( CONTROL!$C$37, 9.4747, 9.4731) * CHOOSE(CONTROL!$C$20, $D$12, 100%, $F$12)</f>
        <v>9.4747000000000003</v>
      </c>
      <c r="C288" s="7">
        <f>CHOOSE( CONTROL!$C$37, 9.4827, 9.4811) * CHOOSE(CONTROL!$C$20, $D$12, 100%, $F$12)</f>
        <v>9.4826999999999995</v>
      </c>
      <c r="D288" s="7">
        <f>CHOOSE( CONTROL!$C$37, 9.489, 9.4873) * CHOOSE( CONTROL!$C$20, $D$12, 100%, $F$12)</f>
        <v>9.4890000000000008</v>
      </c>
      <c r="E288" s="10">
        <f>CHOOSE( CONTROL!$C$37, 9.4855, 9.4838) * CHOOSE( CONTROL!$C$20, $D$12, 100%, $F$12)</f>
        <v>9.4855</v>
      </c>
      <c r="F288" s="4">
        <f>CHOOSE( CONTROL!$C$37, 10.2, 10.1984) * CHOOSE(CONTROL!$C$20, $D$12, 100%, $F$12)</f>
        <v>10.199999999999999</v>
      </c>
      <c r="G288" s="7">
        <f>CHOOSE( CONTROL!$C$37, 9.3869, 9.3853) * CHOOSE( CONTROL!$C$20, $D$12, 100%, $F$12)</f>
        <v>9.3869000000000007</v>
      </c>
      <c r="H288" s="4">
        <f>CHOOSE( CONTROL!$C$37, 10.3316, 10.3299) * CHOOSE(CONTROL!$C$20, $D$12, 100%, $F$12)</f>
        <v>10.3316</v>
      </c>
      <c r="I288" s="7">
        <f>CHOOSE( CONTROL!$C$37, 9.3179, 9.3163) * CHOOSE(CONTROL!$C$20, $D$12, 100%, $F$12)</f>
        <v>9.3178999999999998</v>
      </c>
      <c r="J288" s="4">
        <f>CHOOSE( CONTROL!$C$37, 9.189, 9.1874) * CHOOSE(CONTROL!$C$20, $D$12, 100%, $F$12)</f>
        <v>9.1890000000000001</v>
      </c>
      <c r="K288" s="4"/>
      <c r="L288" s="8">
        <v>30.7165</v>
      </c>
      <c r="M288" s="8">
        <v>12.063700000000001</v>
      </c>
      <c r="N288" s="8">
        <v>4.9444999999999997</v>
      </c>
      <c r="O288" s="8">
        <v>0.37409999999999999</v>
      </c>
      <c r="P288" s="8">
        <v>1.2927</v>
      </c>
      <c r="Q288" s="8">
        <v>30.580300000000001</v>
      </c>
      <c r="R288" s="8"/>
    </row>
    <row r="289" spans="1:18" ht="14.25" customHeight="1">
      <c r="A289" s="12">
        <v>49888</v>
      </c>
      <c r="B289" s="7">
        <f>CHOOSE( CONTROL!$C$37, 8.7423, 8.7407) * CHOOSE(CONTROL!$C$20, $D$12, 100%, $F$12)</f>
        <v>8.7423000000000002</v>
      </c>
      <c r="C289" s="7">
        <f>CHOOSE( CONTROL!$C$37, 8.7503, 8.7487) * CHOOSE(CONTROL!$C$20, $D$12, 100%, $F$12)</f>
        <v>8.7502999999999993</v>
      </c>
      <c r="D289" s="7">
        <f>CHOOSE( CONTROL!$C$37, 8.7566, 8.755) * CHOOSE( CONTROL!$C$20, $D$12, 100%, $F$12)</f>
        <v>8.7566000000000006</v>
      </c>
      <c r="E289" s="10">
        <f>CHOOSE( CONTROL!$C$37, 8.7531, 8.7515) * CHOOSE( CONTROL!$C$20, $D$12, 100%, $F$12)</f>
        <v>8.7530999999999999</v>
      </c>
      <c r="F289" s="4">
        <f>CHOOSE( CONTROL!$C$37, 9.4676, 9.4659) * CHOOSE(CONTROL!$C$20, $D$12, 100%, $F$12)</f>
        <v>9.4675999999999991</v>
      </c>
      <c r="G289" s="7">
        <f>CHOOSE( CONTROL!$C$37, 8.6648, 8.6631) * CHOOSE( CONTROL!$C$20, $D$12, 100%, $F$12)</f>
        <v>8.6647999999999996</v>
      </c>
      <c r="H289" s="4">
        <f>CHOOSE( CONTROL!$C$37, 9.6094, 9.6077) * CHOOSE(CONTROL!$C$20, $D$12, 100%, $F$12)</f>
        <v>9.6094000000000008</v>
      </c>
      <c r="I289" s="7">
        <f>CHOOSE( CONTROL!$C$37, 8.6086, 8.607) * CHOOSE(CONTROL!$C$20, $D$12, 100%, $F$12)</f>
        <v>8.6085999999999991</v>
      </c>
      <c r="J289" s="4">
        <f>CHOOSE( CONTROL!$C$37, 8.4798, 8.4782) * CHOOSE(CONTROL!$C$20, $D$12, 100%, $F$12)</f>
        <v>8.4797999999999991</v>
      </c>
      <c r="K289" s="4"/>
      <c r="L289" s="8">
        <v>30.7165</v>
      </c>
      <c r="M289" s="8">
        <v>12.063700000000001</v>
      </c>
      <c r="N289" s="8">
        <v>4.9444999999999997</v>
      </c>
      <c r="O289" s="8">
        <v>0.37409999999999999</v>
      </c>
      <c r="P289" s="8">
        <v>1.2927</v>
      </c>
      <c r="Q289" s="8">
        <v>30.580300000000001</v>
      </c>
      <c r="R289" s="8"/>
    </row>
    <row r="290" spans="1:18" ht="14.25" customHeight="1">
      <c r="A290" s="12">
        <v>49919</v>
      </c>
      <c r="B290" s="7">
        <f>CHOOSE( CONTROL!$C$37, 8.5589, 8.5573) * CHOOSE(CONTROL!$C$20, $D$12, 100%, $F$12)</f>
        <v>8.5588999999999995</v>
      </c>
      <c r="C290" s="7">
        <f>CHOOSE( CONTROL!$C$37, 8.5669, 8.5652) * CHOOSE(CONTROL!$C$20, $D$12, 100%, $F$12)</f>
        <v>8.5669000000000004</v>
      </c>
      <c r="D290" s="7">
        <f>CHOOSE( CONTROL!$C$37, 8.5731, 8.5715) * CHOOSE( CONTROL!$C$20, $D$12, 100%, $F$12)</f>
        <v>8.5731000000000002</v>
      </c>
      <c r="E290" s="10">
        <f>CHOOSE( CONTROL!$C$37, 8.5696, 8.568) * CHOOSE( CONTROL!$C$20, $D$12, 100%, $F$12)</f>
        <v>8.5695999999999994</v>
      </c>
      <c r="F290" s="4">
        <f>CHOOSE( CONTROL!$C$37, 9.2842, 9.2825) * CHOOSE(CONTROL!$C$20, $D$12, 100%, $F$12)</f>
        <v>9.2842000000000002</v>
      </c>
      <c r="G290" s="7">
        <f>CHOOSE( CONTROL!$C$37, 8.4838, 8.4822) * CHOOSE( CONTROL!$C$20, $D$12, 100%, $F$12)</f>
        <v>8.4838000000000005</v>
      </c>
      <c r="H290" s="4">
        <f>CHOOSE( CONTROL!$C$37, 9.4285, 9.4269) * CHOOSE(CONTROL!$C$20, $D$12, 100%, $F$12)</f>
        <v>9.4284999999999997</v>
      </c>
      <c r="I290" s="7">
        <f>CHOOSE( CONTROL!$C$37, 8.4306, 8.4289) * CHOOSE(CONTROL!$C$20, $D$12, 100%, $F$12)</f>
        <v>8.4306000000000001</v>
      </c>
      <c r="J290" s="4">
        <f>CHOOSE( CONTROL!$C$37, 8.3022, 8.3006) * CHOOSE(CONTROL!$C$20, $D$12, 100%, $F$12)</f>
        <v>8.3021999999999991</v>
      </c>
      <c r="K290" s="4"/>
      <c r="L290" s="8">
        <v>29.7257</v>
      </c>
      <c r="M290" s="8">
        <v>11.6745</v>
      </c>
      <c r="N290" s="8">
        <v>4.7850000000000001</v>
      </c>
      <c r="O290" s="8">
        <v>0.36199999999999999</v>
      </c>
      <c r="P290" s="8">
        <v>1.2509999999999999</v>
      </c>
      <c r="Q290" s="8">
        <v>29.593800000000002</v>
      </c>
      <c r="R290" s="8"/>
    </row>
    <row r="291" spans="1:18" ht="14.25" customHeight="1">
      <c r="A291" s="12">
        <v>49949</v>
      </c>
      <c r="B291" s="7">
        <f>CHOOSE( CONTROL!$C$37, 8.9374, 8.9363) * CHOOSE(CONTROL!$C$20, $D$12, 100%, $F$12)</f>
        <v>8.9374000000000002</v>
      </c>
      <c r="C291" s="7">
        <f>CHOOSE( CONTROL!$C$37, 8.9428, 8.9417) * CHOOSE(CONTROL!$C$20, $D$12, 100%, $F$12)</f>
        <v>8.9428000000000001</v>
      </c>
      <c r="D291" s="7">
        <f>CHOOSE( CONTROL!$C$37, 8.9548, 8.9537) * CHOOSE( CONTROL!$C$20, $D$12, 100%, $F$12)</f>
        <v>8.9548000000000005</v>
      </c>
      <c r="E291" s="10">
        <f>CHOOSE( CONTROL!$C$37, 8.9503, 8.9492) * CHOOSE( CONTROL!$C$20, $D$12, 100%, $F$12)</f>
        <v>8.9503000000000004</v>
      </c>
      <c r="F291" s="4">
        <f>CHOOSE( CONTROL!$C$37, 9.6644, 9.6633) * CHOOSE(CONTROL!$C$20, $D$12, 100%, $F$12)</f>
        <v>9.6644000000000005</v>
      </c>
      <c r="G291" s="7">
        <f>CHOOSE( CONTROL!$C$37, 8.8589, 8.8578) * CHOOSE( CONTROL!$C$20, $D$12, 100%, $F$12)</f>
        <v>8.8589000000000002</v>
      </c>
      <c r="H291" s="4">
        <f>CHOOSE( CONTROL!$C$37, 9.8034, 9.8024) * CHOOSE(CONTROL!$C$20, $D$12, 100%, $F$12)</f>
        <v>9.8033999999999999</v>
      </c>
      <c r="I291" s="7">
        <f>CHOOSE( CONTROL!$C$37, 8.7996, 8.7985) * CHOOSE(CONTROL!$C$20, $D$12, 100%, $F$12)</f>
        <v>8.7995999999999999</v>
      </c>
      <c r="J291" s="4">
        <f>CHOOSE( CONTROL!$C$37, 8.6704, 8.6693) * CHOOSE(CONTROL!$C$20, $D$12, 100%, $F$12)</f>
        <v>8.6704000000000008</v>
      </c>
      <c r="K291" s="4"/>
      <c r="L291" s="8">
        <v>31.095300000000002</v>
      </c>
      <c r="M291" s="8">
        <v>12.063700000000001</v>
      </c>
      <c r="N291" s="8">
        <v>4.9444999999999997</v>
      </c>
      <c r="O291" s="8">
        <v>0.37409999999999999</v>
      </c>
      <c r="P291" s="8">
        <v>1.2927</v>
      </c>
      <c r="Q291" s="8">
        <v>30.580300000000001</v>
      </c>
      <c r="R291" s="8"/>
    </row>
    <row r="292" spans="1:18" ht="14.25" customHeight="1">
      <c r="A292" s="12">
        <v>49980</v>
      </c>
      <c r="B292" s="7">
        <f>CHOOSE( CONTROL!$C$37, 9.6399, 9.6388) * CHOOSE(CONTROL!$C$20, $D$12, 100%, $F$12)</f>
        <v>9.6399000000000008</v>
      </c>
      <c r="C292" s="7">
        <f>CHOOSE( CONTROL!$C$37, 9.645, 9.6439) * CHOOSE(CONTROL!$C$20, $D$12, 100%, $F$12)</f>
        <v>9.6449999999999996</v>
      </c>
      <c r="D292" s="7">
        <f>CHOOSE( CONTROL!$C$37, 9.6235, 9.6224) * CHOOSE( CONTROL!$C$20, $D$12, 100%, $F$12)</f>
        <v>9.6234999999999999</v>
      </c>
      <c r="E292" s="10">
        <f>CHOOSE( CONTROL!$C$37, 9.6308, 9.6297) * CHOOSE( CONTROL!$C$20, $D$12, 100%, $F$12)</f>
        <v>9.6308000000000007</v>
      </c>
      <c r="F292" s="4">
        <f>CHOOSE( CONTROL!$C$37, 10.2925, 10.2914) * CHOOSE(CONTROL!$C$20, $D$12, 100%, $F$12)</f>
        <v>10.2925</v>
      </c>
      <c r="G292" s="7">
        <f>CHOOSE( CONTROL!$C$37, 9.5381, 9.537) * CHOOSE( CONTROL!$C$20, $D$12, 100%, $F$12)</f>
        <v>9.5381</v>
      </c>
      <c r="H292" s="4">
        <f>CHOOSE( CONTROL!$C$37, 10.4227, 10.4216) * CHOOSE(CONTROL!$C$20, $D$12, 100%, $F$12)</f>
        <v>10.422700000000001</v>
      </c>
      <c r="I292" s="7">
        <f>CHOOSE( CONTROL!$C$37, 9.5317, 9.5307) * CHOOSE(CONTROL!$C$20, $D$12, 100%, $F$12)</f>
        <v>9.5317000000000007</v>
      </c>
      <c r="J292" s="4">
        <f>CHOOSE( CONTROL!$C$37, 9.351, 9.3499) * CHOOSE(CONTROL!$C$20, $D$12, 100%, $F$12)</f>
        <v>9.3510000000000009</v>
      </c>
      <c r="K292" s="4"/>
      <c r="L292" s="8">
        <v>28.360600000000002</v>
      </c>
      <c r="M292" s="8">
        <v>11.6745</v>
      </c>
      <c r="N292" s="8">
        <v>4.7850000000000001</v>
      </c>
      <c r="O292" s="8">
        <v>0.36199999999999999</v>
      </c>
      <c r="P292" s="8">
        <v>1.2509999999999999</v>
      </c>
      <c r="Q292" s="8">
        <v>29.593800000000002</v>
      </c>
      <c r="R292" s="8"/>
    </row>
    <row r="293" spans="1:18" ht="14.25" customHeight="1">
      <c r="A293" s="12">
        <v>50010</v>
      </c>
      <c r="B293" s="7">
        <f>CHOOSE( CONTROL!$C$37, 9.6224, 9.6213) * CHOOSE(CONTROL!$C$20, $D$12, 100%, $F$12)</f>
        <v>9.6224000000000007</v>
      </c>
      <c r="C293" s="7">
        <f>CHOOSE( CONTROL!$C$37, 9.6275, 9.6264) * CHOOSE(CONTROL!$C$20, $D$12, 100%, $F$12)</f>
        <v>9.6274999999999995</v>
      </c>
      <c r="D293" s="7">
        <f>CHOOSE( CONTROL!$C$37, 9.6075, 9.6064) * CHOOSE( CONTROL!$C$20, $D$12, 100%, $F$12)</f>
        <v>9.6074999999999999</v>
      </c>
      <c r="E293" s="10">
        <f>CHOOSE( CONTROL!$C$37, 9.6143, 9.6132) * CHOOSE( CONTROL!$C$20, $D$12, 100%, $F$12)</f>
        <v>9.6143000000000001</v>
      </c>
      <c r="F293" s="4">
        <f>CHOOSE( CONTROL!$C$37, 10.2749, 10.2738) * CHOOSE(CONTROL!$C$20, $D$12, 100%, $F$12)</f>
        <v>10.274900000000001</v>
      </c>
      <c r="G293" s="7">
        <f>CHOOSE( CONTROL!$C$37, 9.5219, 9.5208) * CHOOSE( CONTROL!$C$20, $D$12, 100%, $F$12)</f>
        <v>9.5219000000000005</v>
      </c>
      <c r="H293" s="4">
        <f>CHOOSE( CONTROL!$C$37, 10.4054, 10.4043) * CHOOSE(CONTROL!$C$20, $D$12, 100%, $F$12)</f>
        <v>10.4054</v>
      </c>
      <c r="I293" s="7">
        <f>CHOOSE( CONTROL!$C$37, 9.5196, 9.5185) * CHOOSE(CONTROL!$C$20, $D$12, 100%, $F$12)</f>
        <v>9.5196000000000005</v>
      </c>
      <c r="J293" s="4">
        <f>CHOOSE( CONTROL!$C$37, 9.334, 9.3329) * CHOOSE(CONTROL!$C$20, $D$12, 100%, $F$12)</f>
        <v>9.3339999999999996</v>
      </c>
      <c r="K293" s="4"/>
      <c r="L293" s="8">
        <v>29.306000000000001</v>
      </c>
      <c r="M293" s="8">
        <v>12.063700000000001</v>
      </c>
      <c r="N293" s="8">
        <v>4.9444999999999997</v>
      </c>
      <c r="O293" s="8">
        <v>0.37409999999999999</v>
      </c>
      <c r="P293" s="8">
        <v>1.2927</v>
      </c>
      <c r="Q293" s="8">
        <v>30.580300000000001</v>
      </c>
      <c r="R293" s="8"/>
    </row>
    <row r="294" spans="1:18" ht="14.25" customHeight="1">
      <c r="A294" s="12">
        <v>50041</v>
      </c>
      <c r="B294" s="7">
        <f>CHOOSE( CONTROL!$C$37, 9.9067, 9.9056) * CHOOSE(CONTROL!$C$20, $D$12, 100%, $F$12)</f>
        <v>9.9067000000000007</v>
      </c>
      <c r="C294" s="7">
        <f>CHOOSE( CONTROL!$C$37, 9.9118, 9.9107) * CHOOSE(CONTROL!$C$20, $D$12, 100%, $F$12)</f>
        <v>9.9117999999999995</v>
      </c>
      <c r="D294" s="7">
        <f>CHOOSE( CONTROL!$C$37, 9.9049, 9.9038) * CHOOSE( CONTROL!$C$20, $D$12, 100%, $F$12)</f>
        <v>9.9048999999999996</v>
      </c>
      <c r="E294" s="10">
        <f>CHOOSE( CONTROL!$C$37, 9.9069, 9.9058) * CHOOSE( CONTROL!$C$20, $D$12, 100%, $F$12)</f>
        <v>9.9069000000000003</v>
      </c>
      <c r="F294" s="4">
        <f>CHOOSE( CONTROL!$C$37, 10.5592, 10.5581) * CHOOSE(CONTROL!$C$20, $D$12, 100%, $F$12)</f>
        <v>10.559200000000001</v>
      </c>
      <c r="G294" s="7">
        <f>CHOOSE( CONTROL!$C$37, 9.8068, 9.8057) * CHOOSE( CONTROL!$C$20, $D$12, 100%, $F$12)</f>
        <v>9.8068000000000008</v>
      </c>
      <c r="H294" s="4">
        <f>CHOOSE( CONTROL!$C$37, 10.6857, 10.6847) * CHOOSE(CONTROL!$C$20, $D$12, 100%, $F$12)</f>
        <v>10.685700000000001</v>
      </c>
      <c r="I294" s="7">
        <f>CHOOSE( CONTROL!$C$37, 9.7663, 9.7652) * CHOOSE(CONTROL!$C$20, $D$12, 100%, $F$12)</f>
        <v>9.7662999999999993</v>
      </c>
      <c r="J294" s="4">
        <f>CHOOSE( CONTROL!$C$37, 9.6093, 9.6082) * CHOOSE(CONTROL!$C$20, $D$12, 100%, $F$12)</f>
        <v>9.6092999999999993</v>
      </c>
      <c r="K294" s="4"/>
      <c r="L294" s="8">
        <v>29.306000000000001</v>
      </c>
      <c r="M294" s="8">
        <v>12.063700000000001</v>
      </c>
      <c r="N294" s="8">
        <v>4.9444999999999997</v>
      </c>
      <c r="O294" s="8">
        <v>0.37409999999999999</v>
      </c>
      <c r="P294" s="8">
        <v>1.2927</v>
      </c>
      <c r="Q294" s="8">
        <v>30.5152</v>
      </c>
      <c r="R294" s="8"/>
    </row>
    <row r="295" spans="1:18" ht="14.25" customHeight="1">
      <c r="A295" s="12">
        <v>50072</v>
      </c>
      <c r="B295" s="7">
        <f>CHOOSE( CONTROL!$C$37, 9.2652, 9.2641) * CHOOSE(CONTROL!$C$20, $D$12, 100%, $F$12)</f>
        <v>9.2652000000000001</v>
      </c>
      <c r="C295" s="7">
        <f>CHOOSE( CONTROL!$C$37, 9.2703, 9.2692) * CHOOSE(CONTROL!$C$20, $D$12, 100%, $F$12)</f>
        <v>9.2703000000000007</v>
      </c>
      <c r="D295" s="7">
        <f>CHOOSE( CONTROL!$C$37, 9.2633, 9.2622) * CHOOSE( CONTROL!$C$20, $D$12, 100%, $F$12)</f>
        <v>9.2632999999999992</v>
      </c>
      <c r="E295" s="10">
        <f>CHOOSE( CONTROL!$C$37, 9.2653, 9.2642) * CHOOSE( CONTROL!$C$20, $D$12, 100%, $F$12)</f>
        <v>9.2652999999999999</v>
      </c>
      <c r="F295" s="4">
        <f>CHOOSE( CONTROL!$C$37, 9.9177, 9.9166) * CHOOSE(CONTROL!$C$20, $D$12, 100%, $F$12)</f>
        <v>9.9177</v>
      </c>
      <c r="G295" s="7">
        <f>CHOOSE( CONTROL!$C$37, 9.1742, 9.1731) * CHOOSE( CONTROL!$C$20, $D$12, 100%, $F$12)</f>
        <v>9.1742000000000008</v>
      </c>
      <c r="H295" s="4">
        <f>CHOOSE( CONTROL!$C$37, 10.0532, 10.0521) * CHOOSE(CONTROL!$C$20, $D$12, 100%, $F$12)</f>
        <v>10.0532</v>
      </c>
      <c r="I295" s="7">
        <f>CHOOSE( CONTROL!$C$37, 9.1446, 9.1435) * CHOOSE(CONTROL!$C$20, $D$12, 100%, $F$12)</f>
        <v>9.1446000000000005</v>
      </c>
      <c r="J295" s="4">
        <f>CHOOSE( CONTROL!$C$37, 8.9881, 8.9871) * CHOOSE(CONTROL!$C$20, $D$12, 100%, $F$12)</f>
        <v>8.9880999999999993</v>
      </c>
      <c r="K295" s="4"/>
      <c r="L295" s="8">
        <v>26.469899999999999</v>
      </c>
      <c r="M295" s="8">
        <v>10.8962</v>
      </c>
      <c r="N295" s="8">
        <v>4.4660000000000002</v>
      </c>
      <c r="O295" s="8">
        <v>0.33789999999999998</v>
      </c>
      <c r="P295" s="8">
        <v>1.1676</v>
      </c>
      <c r="Q295" s="8">
        <v>27.562100000000001</v>
      </c>
      <c r="R295" s="8"/>
    </row>
    <row r="296" spans="1:18" ht="14.25" customHeight="1">
      <c r="A296" s="12">
        <v>50100</v>
      </c>
      <c r="B296" s="7">
        <f>CHOOSE( CONTROL!$C$37, 9.0676, 9.0665) * CHOOSE(CONTROL!$C$20, $D$12, 100%, $F$12)</f>
        <v>9.0676000000000005</v>
      </c>
      <c r="C296" s="7">
        <f>CHOOSE( CONTROL!$C$37, 9.0727, 9.0716) * CHOOSE(CONTROL!$C$20, $D$12, 100%, $F$12)</f>
        <v>9.0726999999999993</v>
      </c>
      <c r="D296" s="7">
        <f>CHOOSE( CONTROL!$C$37, 9.0651, 9.064) * CHOOSE( CONTROL!$C$20, $D$12, 100%, $F$12)</f>
        <v>9.0650999999999993</v>
      </c>
      <c r="E296" s="10">
        <f>CHOOSE( CONTROL!$C$37, 9.0673, 9.0662) * CHOOSE( CONTROL!$C$20, $D$12, 100%, $F$12)</f>
        <v>9.0672999999999995</v>
      </c>
      <c r="F296" s="4">
        <f>CHOOSE( CONTROL!$C$37, 9.7201, 9.7191) * CHOOSE(CONTROL!$C$20, $D$12, 100%, $F$12)</f>
        <v>9.7201000000000004</v>
      </c>
      <c r="G296" s="7">
        <f>CHOOSE( CONTROL!$C$37, 8.9789, 8.9778) * CHOOSE( CONTROL!$C$20, $D$12, 100%, $F$12)</f>
        <v>8.9788999999999994</v>
      </c>
      <c r="H296" s="4">
        <f>CHOOSE( CONTROL!$C$37, 9.8584, 9.8573) * CHOOSE(CONTROL!$C$20, $D$12, 100%, $F$12)</f>
        <v>9.8583999999999996</v>
      </c>
      <c r="I296" s="7">
        <f>CHOOSE( CONTROL!$C$37, 8.9512, 8.9502) * CHOOSE(CONTROL!$C$20, $D$12, 100%, $F$12)</f>
        <v>8.9512</v>
      </c>
      <c r="J296" s="4">
        <f>CHOOSE( CONTROL!$C$37, 8.7968, 8.7958) * CHOOSE(CONTROL!$C$20, $D$12, 100%, $F$12)</f>
        <v>8.7967999999999993</v>
      </c>
      <c r="K296" s="4"/>
      <c r="L296" s="8">
        <v>29.306000000000001</v>
      </c>
      <c r="M296" s="8">
        <v>12.063700000000001</v>
      </c>
      <c r="N296" s="8">
        <v>4.9444999999999997</v>
      </c>
      <c r="O296" s="8">
        <v>0.37409999999999999</v>
      </c>
      <c r="P296" s="8">
        <v>1.2927</v>
      </c>
      <c r="Q296" s="8">
        <v>30.5152</v>
      </c>
      <c r="R296" s="8"/>
    </row>
    <row r="297" spans="1:18" ht="14.25" customHeight="1">
      <c r="A297" s="12">
        <v>50131</v>
      </c>
      <c r="B297" s="7">
        <f>CHOOSE( CONTROL!$C$37, 9.2064, 9.2053) * CHOOSE(CONTROL!$C$20, $D$12, 100%, $F$12)</f>
        <v>9.2064000000000004</v>
      </c>
      <c r="C297" s="7">
        <f>CHOOSE( CONTROL!$C$37, 9.211, 9.2099) * CHOOSE(CONTROL!$C$20, $D$12, 100%, $F$12)</f>
        <v>9.2110000000000003</v>
      </c>
      <c r="D297" s="7">
        <f>CHOOSE( CONTROL!$C$37, 9.2228, 9.2217) * CHOOSE( CONTROL!$C$20, $D$12, 100%, $F$12)</f>
        <v>9.2227999999999994</v>
      </c>
      <c r="E297" s="10">
        <f>CHOOSE( CONTROL!$C$37, 9.2184, 9.2173) * CHOOSE( CONTROL!$C$20, $D$12, 100%, $F$12)</f>
        <v>9.2184000000000008</v>
      </c>
      <c r="F297" s="4">
        <f>CHOOSE( CONTROL!$C$37, 9.9331, 9.932) * CHOOSE(CONTROL!$C$20, $D$12, 100%, $F$12)</f>
        <v>9.9330999999999996</v>
      </c>
      <c r="G297" s="7">
        <f>CHOOSE( CONTROL!$C$37, 9.1233, 9.1222) * CHOOSE( CONTROL!$C$20, $D$12, 100%, $F$12)</f>
        <v>9.1233000000000004</v>
      </c>
      <c r="H297" s="4">
        <f>CHOOSE( CONTROL!$C$37, 10.0683, 10.0673) * CHOOSE(CONTROL!$C$20, $D$12, 100%, $F$12)</f>
        <v>10.068300000000001</v>
      </c>
      <c r="I297" s="7">
        <f>CHOOSE( CONTROL!$C$37, 9.0576, 9.0565) * CHOOSE(CONTROL!$C$20, $D$12, 100%, $F$12)</f>
        <v>9.0576000000000008</v>
      </c>
      <c r="J297" s="4">
        <f>CHOOSE( CONTROL!$C$37, 8.9305, 8.9294) * CHOOSE(CONTROL!$C$20, $D$12, 100%, $F$12)</f>
        <v>8.9305000000000003</v>
      </c>
      <c r="K297" s="4"/>
      <c r="L297" s="8">
        <v>30.092199999999998</v>
      </c>
      <c r="M297" s="8">
        <v>11.6745</v>
      </c>
      <c r="N297" s="8">
        <v>4.7850000000000001</v>
      </c>
      <c r="O297" s="8">
        <v>0.36199999999999999</v>
      </c>
      <c r="P297" s="8">
        <v>1.2509999999999999</v>
      </c>
      <c r="Q297" s="8">
        <v>29.530799999999999</v>
      </c>
      <c r="R297" s="8"/>
    </row>
    <row r="298" spans="1:18" ht="14.25" customHeight="1">
      <c r="A298" s="12">
        <v>50161</v>
      </c>
      <c r="B298" s="7">
        <f>CHOOSE( CONTROL!$C$37, 9.4541, 9.4524) * CHOOSE(CONTROL!$C$20, $D$12, 100%, $F$12)</f>
        <v>9.4541000000000004</v>
      </c>
      <c r="C298" s="7">
        <f>CHOOSE( CONTROL!$C$37, 9.4621, 9.4604) * CHOOSE(CONTROL!$C$20, $D$12, 100%, $F$12)</f>
        <v>9.4620999999999995</v>
      </c>
      <c r="D298" s="7">
        <f>CHOOSE( CONTROL!$C$37, 9.4677, 9.4661) * CHOOSE( CONTROL!$C$20, $D$12, 100%, $F$12)</f>
        <v>9.4677000000000007</v>
      </c>
      <c r="E298" s="10">
        <f>CHOOSE( CONTROL!$C$37, 9.4645, 9.4628) * CHOOSE( CONTROL!$C$20, $D$12, 100%, $F$12)</f>
        <v>9.4644999999999992</v>
      </c>
      <c r="F298" s="4">
        <f>CHOOSE( CONTROL!$C$37, 10.1794, 10.1777) * CHOOSE(CONTROL!$C$20, $D$12, 100%, $F$12)</f>
        <v>10.179399999999999</v>
      </c>
      <c r="G298" s="7">
        <f>CHOOSE( CONTROL!$C$37, 9.3661, 9.3645) * CHOOSE( CONTROL!$C$20, $D$12, 100%, $F$12)</f>
        <v>9.3660999999999994</v>
      </c>
      <c r="H298" s="4">
        <f>CHOOSE( CONTROL!$C$37, 10.3112, 10.3096) * CHOOSE(CONTROL!$C$20, $D$12, 100%, $F$12)</f>
        <v>10.311199999999999</v>
      </c>
      <c r="I298" s="7">
        <f>CHOOSE( CONTROL!$C$37, 9.2959, 9.2943) * CHOOSE(CONTROL!$C$20, $D$12, 100%, $F$12)</f>
        <v>9.2958999999999996</v>
      </c>
      <c r="J298" s="4">
        <f>CHOOSE( CONTROL!$C$37, 9.169, 9.1674) * CHOOSE(CONTROL!$C$20, $D$12, 100%, $F$12)</f>
        <v>9.1690000000000005</v>
      </c>
      <c r="K298" s="4"/>
      <c r="L298" s="8">
        <v>30.7165</v>
      </c>
      <c r="M298" s="8">
        <v>12.063700000000001</v>
      </c>
      <c r="N298" s="8">
        <v>4.9444999999999997</v>
      </c>
      <c r="O298" s="8">
        <v>0.37409999999999999</v>
      </c>
      <c r="P298" s="8">
        <v>1.2927</v>
      </c>
      <c r="Q298" s="8">
        <v>30.5152</v>
      </c>
      <c r="R298" s="8"/>
    </row>
    <row r="299" spans="1:18" ht="14.25" customHeight="1">
      <c r="A299" s="12">
        <v>50192</v>
      </c>
      <c r="B299" s="7">
        <f>CHOOSE( CONTROL!$C$37, 9.3019, 9.3002) * CHOOSE(CONTROL!$C$20, $D$12, 100%, $F$12)</f>
        <v>9.3018999999999998</v>
      </c>
      <c r="C299" s="7">
        <f>CHOOSE( CONTROL!$C$37, 9.3099, 9.3082) * CHOOSE(CONTROL!$C$20, $D$12, 100%, $F$12)</f>
        <v>9.3099000000000007</v>
      </c>
      <c r="D299" s="7">
        <f>CHOOSE( CONTROL!$C$37, 9.3158, 9.3141) * CHOOSE( CONTROL!$C$20, $D$12, 100%, $F$12)</f>
        <v>9.3157999999999994</v>
      </c>
      <c r="E299" s="10">
        <f>CHOOSE( CONTROL!$C$37, 9.3124, 9.3107) * CHOOSE( CONTROL!$C$20, $D$12, 100%, $F$12)</f>
        <v>9.3124000000000002</v>
      </c>
      <c r="F299" s="4">
        <f>CHOOSE( CONTROL!$C$37, 10.0272, 10.0255) * CHOOSE(CONTROL!$C$20, $D$12, 100%, $F$12)</f>
        <v>10.027200000000001</v>
      </c>
      <c r="G299" s="7">
        <f>CHOOSE( CONTROL!$C$37, 9.2162, 9.2146) * CHOOSE( CONTROL!$C$20, $D$12, 100%, $F$12)</f>
        <v>9.2162000000000006</v>
      </c>
      <c r="H299" s="4">
        <f>CHOOSE( CONTROL!$C$37, 10.1611, 10.1595) * CHOOSE(CONTROL!$C$20, $D$12, 100%, $F$12)</f>
        <v>10.161099999999999</v>
      </c>
      <c r="I299" s="7">
        <f>CHOOSE( CONTROL!$C$37, 9.1494, 9.1478) * CHOOSE(CONTROL!$C$20, $D$12, 100%, $F$12)</f>
        <v>9.1494</v>
      </c>
      <c r="J299" s="4">
        <f>CHOOSE( CONTROL!$C$37, 9.0216, 9.02) * CHOOSE(CONTROL!$C$20, $D$12, 100%, $F$12)</f>
        <v>9.0215999999999994</v>
      </c>
      <c r="K299" s="4"/>
      <c r="L299" s="8">
        <v>29.7257</v>
      </c>
      <c r="M299" s="8">
        <v>11.6745</v>
      </c>
      <c r="N299" s="8">
        <v>4.7850000000000001</v>
      </c>
      <c r="O299" s="8">
        <v>0.36199999999999999</v>
      </c>
      <c r="P299" s="8">
        <v>1.2509999999999999</v>
      </c>
      <c r="Q299" s="8">
        <v>29.530799999999999</v>
      </c>
      <c r="R299" s="8"/>
    </row>
    <row r="300" spans="1:18" ht="14.25" customHeight="1">
      <c r="A300" s="12">
        <v>50222</v>
      </c>
      <c r="B300" s="7">
        <f>CHOOSE( CONTROL!$C$37, 9.7027, 9.701) * CHOOSE(CONTROL!$C$20, $D$12, 100%, $F$12)</f>
        <v>9.7027000000000001</v>
      </c>
      <c r="C300" s="7">
        <f>CHOOSE( CONTROL!$C$37, 9.7107, 9.709) * CHOOSE(CONTROL!$C$20, $D$12, 100%, $F$12)</f>
        <v>9.7106999999999992</v>
      </c>
      <c r="D300" s="7">
        <f>CHOOSE( CONTROL!$C$37, 9.7169, 9.7153) * CHOOSE( CONTROL!$C$20, $D$12, 100%, $F$12)</f>
        <v>9.7169000000000008</v>
      </c>
      <c r="E300" s="10">
        <f>CHOOSE( CONTROL!$C$37, 9.7134, 9.7118) * CHOOSE( CONTROL!$C$20, $D$12, 100%, $F$12)</f>
        <v>9.7134</v>
      </c>
      <c r="F300" s="4">
        <f>CHOOSE( CONTROL!$C$37, 10.428, 10.4263) * CHOOSE(CONTROL!$C$20, $D$12, 100%, $F$12)</f>
        <v>10.428000000000001</v>
      </c>
      <c r="G300" s="7">
        <f>CHOOSE( CONTROL!$C$37, 9.6117, 9.6101) * CHOOSE( CONTROL!$C$20, $D$12, 100%, $F$12)</f>
        <v>9.6117000000000008</v>
      </c>
      <c r="H300" s="4">
        <f>CHOOSE( CONTROL!$C$37, 10.5564, 10.5547) * CHOOSE(CONTROL!$C$20, $D$12, 100%, $F$12)</f>
        <v>10.5564</v>
      </c>
      <c r="I300" s="7">
        <f>CHOOSE( CONTROL!$C$37, 9.5387, 9.5371) * CHOOSE(CONTROL!$C$20, $D$12, 100%, $F$12)</f>
        <v>9.5387000000000004</v>
      </c>
      <c r="J300" s="4">
        <f>CHOOSE( CONTROL!$C$37, 9.4097, 9.4081) * CHOOSE(CONTROL!$C$20, $D$12, 100%, $F$12)</f>
        <v>9.4097000000000008</v>
      </c>
      <c r="K300" s="4"/>
      <c r="L300" s="8">
        <v>30.7165</v>
      </c>
      <c r="M300" s="8">
        <v>12.063700000000001</v>
      </c>
      <c r="N300" s="8">
        <v>4.9444999999999997</v>
      </c>
      <c r="O300" s="8">
        <v>0.37409999999999999</v>
      </c>
      <c r="P300" s="8">
        <v>1.2927</v>
      </c>
      <c r="Q300" s="8">
        <v>30.5152</v>
      </c>
      <c r="R300" s="8"/>
    </row>
    <row r="301" spans="1:18" ht="14.25" customHeight="1">
      <c r="A301" s="12">
        <v>50253</v>
      </c>
      <c r="B301" s="7">
        <f>CHOOSE( CONTROL!$C$37, 8.9527, 8.951) * CHOOSE(CONTROL!$C$20, $D$12, 100%, $F$12)</f>
        <v>8.9527000000000001</v>
      </c>
      <c r="C301" s="7">
        <f>CHOOSE( CONTROL!$C$37, 8.9607, 8.959) * CHOOSE(CONTROL!$C$20, $D$12, 100%, $F$12)</f>
        <v>8.9606999999999992</v>
      </c>
      <c r="D301" s="7">
        <f>CHOOSE( CONTROL!$C$37, 8.967, 8.9653) * CHOOSE( CONTROL!$C$20, $D$12, 100%, $F$12)</f>
        <v>8.9670000000000005</v>
      </c>
      <c r="E301" s="10">
        <f>CHOOSE( CONTROL!$C$37, 8.9635, 8.9618) * CHOOSE( CONTROL!$C$20, $D$12, 100%, $F$12)</f>
        <v>8.9634999999999998</v>
      </c>
      <c r="F301" s="4">
        <f>CHOOSE( CONTROL!$C$37, 9.678, 9.6763) * CHOOSE(CONTROL!$C$20, $D$12, 100%, $F$12)</f>
        <v>9.6780000000000008</v>
      </c>
      <c r="G301" s="7">
        <f>CHOOSE( CONTROL!$C$37, 8.8722, 8.8706) * CHOOSE( CONTROL!$C$20, $D$12, 100%, $F$12)</f>
        <v>8.8721999999999994</v>
      </c>
      <c r="H301" s="4">
        <f>CHOOSE( CONTROL!$C$37, 9.8168, 9.8152) * CHOOSE(CONTROL!$C$20, $D$12, 100%, $F$12)</f>
        <v>9.8168000000000006</v>
      </c>
      <c r="I301" s="7">
        <f>CHOOSE( CONTROL!$C$37, 8.8124, 8.8108) * CHOOSE(CONTROL!$C$20, $D$12, 100%, $F$12)</f>
        <v>8.8124000000000002</v>
      </c>
      <c r="J301" s="4">
        <f>CHOOSE( CONTROL!$C$37, 8.6835, 8.6819) * CHOOSE(CONTROL!$C$20, $D$12, 100%, $F$12)</f>
        <v>8.6835000000000004</v>
      </c>
      <c r="K301" s="4"/>
      <c r="L301" s="8">
        <v>30.7165</v>
      </c>
      <c r="M301" s="8">
        <v>12.063700000000001</v>
      </c>
      <c r="N301" s="8">
        <v>4.9444999999999997</v>
      </c>
      <c r="O301" s="8">
        <v>0.37409999999999999</v>
      </c>
      <c r="P301" s="8">
        <v>1.2927</v>
      </c>
      <c r="Q301" s="8">
        <v>30.5152</v>
      </c>
      <c r="R301" s="8"/>
    </row>
    <row r="302" spans="1:18" ht="14.25" customHeight="1">
      <c r="A302" s="12">
        <v>50284</v>
      </c>
      <c r="B302" s="7">
        <f>CHOOSE( CONTROL!$C$37, 8.7649, 8.7632) * CHOOSE(CONTROL!$C$20, $D$12, 100%, $F$12)</f>
        <v>8.7649000000000008</v>
      </c>
      <c r="C302" s="7">
        <f>CHOOSE( CONTROL!$C$37, 8.7729, 8.7712) * CHOOSE(CONTROL!$C$20, $D$12, 100%, $F$12)</f>
        <v>8.7728999999999999</v>
      </c>
      <c r="D302" s="7">
        <f>CHOOSE( CONTROL!$C$37, 8.7791, 8.7774) * CHOOSE( CONTROL!$C$20, $D$12, 100%, $F$12)</f>
        <v>8.7790999999999997</v>
      </c>
      <c r="E302" s="10">
        <f>CHOOSE( CONTROL!$C$37, 8.7756, 8.7739) * CHOOSE( CONTROL!$C$20, $D$12, 100%, $F$12)</f>
        <v>8.7756000000000007</v>
      </c>
      <c r="F302" s="4">
        <f>CHOOSE( CONTROL!$C$37, 9.4902, 9.4885) * CHOOSE(CONTROL!$C$20, $D$12, 100%, $F$12)</f>
        <v>9.4901999999999997</v>
      </c>
      <c r="G302" s="7">
        <f>CHOOSE( CONTROL!$C$37, 8.6869, 8.6853) * CHOOSE( CONTROL!$C$20, $D$12, 100%, $F$12)</f>
        <v>8.6868999999999996</v>
      </c>
      <c r="H302" s="4">
        <f>CHOOSE( CONTROL!$C$37, 9.6316, 9.63) * CHOOSE(CONTROL!$C$20, $D$12, 100%, $F$12)</f>
        <v>9.6316000000000006</v>
      </c>
      <c r="I302" s="7">
        <f>CHOOSE( CONTROL!$C$37, 8.6301, 8.6285) * CHOOSE(CONTROL!$C$20, $D$12, 100%, $F$12)</f>
        <v>8.6301000000000005</v>
      </c>
      <c r="J302" s="4">
        <f>CHOOSE( CONTROL!$C$37, 8.5016, 8.5) * CHOOSE(CONTROL!$C$20, $D$12, 100%, $F$12)</f>
        <v>8.5015999999999998</v>
      </c>
      <c r="K302" s="4"/>
      <c r="L302" s="8">
        <v>29.7257</v>
      </c>
      <c r="M302" s="8">
        <v>11.6745</v>
      </c>
      <c r="N302" s="8">
        <v>4.7850000000000001</v>
      </c>
      <c r="O302" s="8">
        <v>0.36199999999999999</v>
      </c>
      <c r="P302" s="8">
        <v>1.2509999999999999</v>
      </c>
      <c r="Q302" s="8">
        <v>29.530799999999999</v>
      </c>
      <c r="R302" s="8"/>
    </row>
    <row r="303" spans="1:18" ht="14.25" customHeight="1">
      <c r="A303" s="12">
        <v>50314</v>
      </c>
      <c r="B303" s="7">
        <f>CHOOSE( CONTROL!$C$37, 9.1525, 9.1515) * CHOOSE(CONTROL!$C$20, $D$12, 100%, $F$12)</f>
        <v>9.1524999999999999</v>
      </c>
      <c r="C303" s="7">
        <f>CHOOSE( CONTROL!$C$37, 9.1579, 9.1568) * CHOOSE(CONTROL!$C$20, $D$12, 100%, $F$12)</f>
        <v>9.1578999999999997</v>
      </c>
      <c r="D303" s="7">
        <f>CHOOSE( CONTROL!$C$37, 9.1699, 9.1688) * CHOOSE( CONTROL!$C$20, $D$12, 100%, $F$12)</f>
        <v>9.1699000000000002</v>
      </c>
      <c r="E303" s="10">
        <f>CHOOSE( CONTROL!$C$37, 9.1654, 9.1643) * CHOOSE( CONTROL!$C$20, $D$12, 100%, $F$12)</f>
        <v>9.1654</v>
      </c>
      <c r="F303" s="4">
        <f>CHOOSE( CONTROL!$C$37, 9.8796, 9.8785) * CHOOSE(CONTROL!$C$20, $D$12, 100%, $F$12)</f>
        <v>9.8795999999999999</v>
      </c>
      <c r="G303" s="7">
        <f>CHOOSE( CONTROL!$C$37, 9.071, 9.07) * CHOOSE( CONTROL!$C$20, $D$12, 100%, $F$12)</f>
        <v>9.0709999999999997</v>
      </c>
      <c r="H303" s="4">
        <f>CHOOSE( CONTROL!$C$37, 10.0156, 10.0145) * CHOOSE(CONTROL!$C$20, $D$12, 100%, $F$12)</f>
        <v>10.015599999999999</v>
      </c>
      <c r="I303" s="7">
        <f>CHOOSE( CONTROL!$C$37, 9.008, 9.0069) * CHOOSE(CONTROL!$C$20, $D$12, 100%, $F$12)</f>
        <v>9.0079999999999991</v>
      </c>
      <c r="J303" s="4">
        <f>CHOOSE( CONTROL!$C$37, 8.8787, 8.8776) * CHOOSE(CONTROL!$C$20, $D$12, 100%, $F$12)</f>
        <v>8.8787000000000003</v>
      </c>
      <c r="K303" s="4"/>
      <c r="L303" s="8">
        <v>31.095300000000002</v>
      </c>
      <c r="M303" s="8">
        <v>12.063700000000001</v>
      </c>
      <c r="N303" s="8">
        <v>4.9444999999999997</v>
      </c>
      <c r="O303" s="8">
        <v>0.37409999999999999</v>
      </c>
      <c r="P303" s="8">
        <v>1.2927</v>
      </c>
      <c r="Q303" s="8">
        <v>30.5152</v>
      </c>
      <c r="R303" s="8"/>
    </row>
    <row r="304" spans="1:18" ht="14.25" customHeight="1">
      <c r="A304" s="12">
        <v>50345</v>
      </c>
      <c r="B304" s="7">
        <f>CHOOSE( CONTROL!$C$37, 9.8719, 9.8708) * CHOOSE(CONTROL!$C$20, $D$12, 100%, $F$12)</f>
        <v>9.8719000000000001</v>
      </c>
      <c r="C304" s="7">
        <f>CHOOSE( CONTROL!$C$37, 9.877, 9.8759) * CHOOSE(CONTROL!$C$20, $D$12, 100%, $F$12)</f>
        <v>9.8770000000000007</v>
      </c>
      <c r="D304" s="7">
        <f>CHOOSE( CONTROL!$C$37, 9.8555, 9.8544) * CHOOSE( CONTROL!$C$20, $D$12, 100%, $F$12)</f>
        <v>9.8554999999999993</v>
      </c>
      <c r="E304" s="10">
        <f>CHOOSE( CONTROL!$C$37, 9.8628, 9.8617) * CHOOSE( CONTROL!$C$20, $D$12, 100%, $F$12)</f>
        <v>9.8628</v>
      </c>
      <c r="F304" s="4">
        <f>CHOOSE( CONTROL!$C$37, 10.5245, 10.5234) * CHOOSE(CONTROL!$C$20, $D$12, 100%, $F$12)</f>
        <v>10.5245</v>
      </c>
      <c r="G304" s="7">
        <f>CHOOSE( CONTROL!$C$37, 9.7669, 9.7658) * CHOOSE( CONTROL!$C$20, $D$12, 100%, $F$12)</f>
        <v>9.7668999999999997</v>
      </c>
      <c r="H304" s="4">
        <f>CHOOSE( CONTROL!$C$37, 10.6515, 10.6504) * CHOOSE(CONTROL!$C$20, $D$12, 100%, $F$12)</f>
        <v>10.6515</v>
      </c>
      <c r="I304" s="7">
        <f>CHOOSE( CONTROL!$C$37, 9.7565, 9.7554) * CHOOSE(CONTROL!$C$20, $D$12, 100%, $F$12)</f>
        <v>9.7565000000000008</v>
      </c>
      <c r="J304" s="4">
        <f>CHOOSE( CONTROL!$C$37, 9.5757, 9.5746) * CHOOSE(CONTROL!$C$20, $D$12, 100%, $F$12)</f>
        <v>9.5756999999999994</v>
      </c>
      <c r="K304" s="4"/>
      <c r="L304" s="8">
        <v>28.360600000000002</v>
      </c>
      <c r="M304" s="8">
        <v>11.6745</v>
      </c>
      <c r="N304" s="8">
        <v>4.7850000000000001</v>
      </c>
      <c r="O304" s="8">
        <v>0.36199999999999999</v>
      </c>
      <c r="P304" s="8">
        <v>1.2509999999999999</v>
      </c>
      <c r="Q304" s="8">
        <v>29.530799999999999</v>
      </c>
      <c r="R304" s="8"/>
    </row>
    <row r="305" spans="1:18" ht="14.25" customHeight="1">
      <c r="A305" s="12">
        <v>50375</v>
      </c>
      <c r="B305" s="7">
        <f>CHOOSE( CONTROL!$C$37, 9.8539, 9.8529) * CHOOSE(CONTROL!$C$20, $D$12, 100%, $F$12)</f>
        <v>9.8538999999999994</v>
      </c>
      <c r="C305" s="7">
        <f>CHOOSE( CONTROL!$C$37, 9.859, 9.858) * CHOOSE(CONTROL!$C$20, $D$12, 100%, $F$12)</f>
        <v>9.859</v>
      </c>
      <c r="D305" s="7">
        <f>CHOOSE( CONTROL!$C$37, 9.8391, 9.838) * CHOOSE( CONTROL!$C$20, $D$12, 100%, $F$12)</f>
        <v>9.8391000000000002</v>
      </c>
      <c r="E305" s="10">
        <f>CHOOSE( CONTROL!$C$37, 9.8458, 9.8448) * CHOOSE( CONTROL!$C$20, $D$12, 100%, $F$12)</f>
        <v>9.8458000000000006</v>
      </c>
      <c r="F305" s="4">
        <f>CHOOSE( CONTROL!$C$37, 10.5065, 10.5054) * CHOOSE(CONTROL!$C$20, $D$12, 100%, $F$12)</f>
        <v>10.506500000000001</v>
      </c>
      <c r="G305" s="7">
        <f>CHOOSE( CONTROL!$C$37, 9.7503, 9.7492) * CHOOSE( CONTROL!$C$20, $D$12, 100%, $F$12)</f>
        <v>9.7502999999999993</v>
      </c>
      <c r="H305" s="4">
        <f>CHOOSE( CONTROL!$C$37, 10.6338, 10.6327) * CHOOSE(CONTROL!$C$20, $D$12, 100%, $F$12)</f>
        <v>10.633800000000001</v>
      </c>
      <c r="I305" s="7">
        <f>CHOOSE( CONTROL!$C$37, 9.7439, 9.7429) * CHOOSE(CONTROL!$C$20, $D$12, 100%, $F$12)</f>
        <v>9.7439</v>
      </c>
      <c r="J305" s="4">
        <f>CHOOSE( CONTROL!$C$37, 9.5582, 9.5572) * CHOOSE(CONTROL!$C$20, $D$12, 100%, $F$12)</f>
        <v>9.5581999999999994</v>
      </c>
      <c r="K305" s="4"/>
      <c r="L305" s="8">
        <v>29.306000000000001</v>
      </c>
      <c r="M305" s="8">
        <v>12.063700000000001</v>
      </c>
      <c r="N305" s="8">
        <v>4.9444999999999997</v>
      </c>
      <c r="O305" s="8">
        <v>0.37409999999999999</v>
      </c>
      <c r="P305" s="8">
        <v>1.2927</v>
      </c>
      <c r="Q305" s="8">
        <v>30.5152</v>
      </c>
      <c r="R305" s="8"/>
    </row>
    <row r="306" spans="1:18" ht="14.25" customHeight="1">
      <c r="A306" s="11">
        <v>50436</v>
      </c>
      <c r="B306" s="7">
        <f>CHOOSE( CONTROL!$C$37, 10.1451, 10.144) * CHOOSE(CONTROL!$C$20, $D$12, 100%, $F$12)</f>
        <v>10.145099999999999</v>
      </c>
      <c r="C306" s="7">
        <f>CHOOSE( CONTROL!$C$37, 10.1502, 10.1491) * CHOOSE(CONTROL!$C$20, $D$12, 100%, $F$12)</f>
        <v>10.1502</v>
      </c>
      <c r="D306" s="7">
        <f>CHOOSE( CONTROL!$C$37, 10.1433, 10.1422) * CHOOSE( CONTROL!$C$20, $D$12, 100%, $F$12)</f>
        <v>10.1433</v>
      </c>
      <c r="E306" s="10">
        <f>CHOOSE( CONTROL!$C$37, 10.1453, 10.1442) * CHOOSE( CONTROL!$C$20, $D$12, 100%, $F$12)</f>
        <v>10.145300000000001</v>
      </c>
      <c r="F306" s="4">
        <f>CHOOSE( CONTROL!$C$37, 10.7976, 10.7965) * CHOOSE(CONTROL!$C$20, $D$12, 100%, $F$12)</f>
        <v>10.797599999999999</v>
      </c>
      <c r="G306" s="7">
        <f>CHOOSE( CONTROL!$C$37, 10.0419, 10.0408) * CHOOSE( CONTROL!$C$20, $D$12, 100%, $F$12)</f>
        <v>10.0419</v>
      </c>
      <c r="H306" s="4">
        <f>CHOOSE( CONTROL!$C$37, 10.9208, 10.9198) * CHOOSE(CONTROL!$C$20, $D$12, 100%, $F$12)</f>
        <v>10.9208</v>
      </c>
      <c r="I306" s="7">
        <f>CHOOSE( CONTROL!$C$37, 9.9973, 9.9962) * CHOOSE(CONTROL!$C$20, $D$12, 100%, $F$12)</f>
        <v>9.9972999999999992</v>
      </c>
      <c r="J306" s="4">
        <f>CHOOSE( CONTROL!$C$37, 9.8401, 9.8391) * CHOOSE(CONTROL!$C$20, $D$12, 100%, $F$12)</f>
        <v>9.8400999999999996</v>
      </c>
      <c r="K306" s="4"/>
      <c r="L306" s="8">
        <v>29.306000000000001</v>
      </c>
      <c r="M306" s="8">
        <v>12.063700000000001</v>
      </c>
      <c r="N306" s="8">
        <v>4.9444999999999997</v>
      </c>
      <c r="O306" s="8">
        <v>0.37409999999999999</v>
      </c>
      <c r="P306" s="8">
        <v>1.2927</v>
      </c>
      <c r="Q306" s="8">
        <v>30.451899999999998</v>
      </c>
      <c r="R306" s="8"/>
    </row>
    <row r="307" spans="1:18" ht="14.25" customHeight="1">
      <c r="A307" s="11">
        <v>50464</v>
      </c>
      <c r="B307" s="7">
        <f>CHOOSE( CONTROL!$C$37, 9.4882, 9.4871) * CHOOSE(CONTROL!$C$20, $D$12, 100%, $F$12)</f>
        <v>9.4882000000000009</v>
      </c>
      <c r="C307" s="7">
        <f>CHOOSE( CONTROL!$C$37, 9.4933, 9.4922) * CHOOSE(CONTROL!$C$20, $D$12, 100%, $F$12)</f>
        <v>9.4932999999999996</v>
      </c>
      <c r="D307" s="7">
        <f>CHOOSE( CONTROL!$C$37, 9.4863, 9.4852) * CHOOSE( CONTROL!$C$20, $D$12, 100%, $F$12)</f>
        <v>9.4863</v>
      </c>
      <c r="E307" s="10">
        <f>CHOOSE( CONTROL!$C$37, 9.4883, 9.4872) * CHOOSE( CONTROL!$C$20, $D$12, 100%, $F$12)</f>
        <v>9.4883000000000006</v>
      </c>
      <c r="F307" s="4">
        <f>CHOOSE( CONTROL!$C$37, 10.1407, 10.1396) * CHOOSE(CONTROL!$C$20, $D$12, 100%, $F$12)</f>
        <v>10.140700000000001</v>
      </c>
      <c r="G307" s="7">
        <f>CHOOSE( CONTROL!$C$37, 9.3941, 9.393) * CHOOSE( CONTROL!$C$20, $D$12, 100%, $F$12)</f>
        <v>9.3940999999999999</v>
      </c>
      <c r="H307" s="4">
        <f>CHOOSE( CONTROL!$C$37, 10.2731, 10.272) * CHOOSE(CONTROL!$C$20, $D$12, 100%, $F$12)</f>
        <v>10.273099999999999</v>
      </c>
      <c r="I307" s="7">
        <f>CHOOSE( CONTROL!$C$37, 9.3606, 9.3596) * CHOOSE(CONTROL!$C$20, $D$12, 100%, $F$12)</f>
        <v>9.3605999999999998</v>
      </c>
      <c r="J307" s="4">
        <f>CHOOSE( CONTROL!$C$37, 9.2041, 9.203) * CHOOSE(CONTROL!$C$20, $D$12, 100%, $F$12)</f>
        <v>9.2041000000000004</v>
      </c>
      <c r="K307" s="4"/>
      <c r="L307" s="8">
        <v>26.469899999999999</v>
      </c>
      <c r="M307" s="8">
        <v>10.8962</v>
      </c>
      <c r="N307" s="8">
        <v>4.4660000000000002</v>
      </c>
      <c r="O307" s="8">
        <v>0.33789999999999998</v>
      </c>
      <c r="P307" s="8">
        <v>1.1676</v>
      </c>
      <c r="Q307" s="8">
        <v>27.504999999999999</v>
      </c>
      <c r="R307" s="8"/>
    </row>
    <row r="308" spans="1:18" ht="14.25" customHeight="1">
      <c r="A308" s="11">
        <v>50495</v>
      </c>
      <c r="B308" s="7">
        <f>CHOOSE( CONTROL!$C$37, 9.2859, 9.2848) * CHOOSE(CONTROL!$C$20, $D$12, 100%, $F$12)</f>
        <v>9.2858999999999998</v>
      </c>
      <c r="C308" s="7">
        <f>CHOOSE( CONTROL!$C$37, 9.291, 9.2899) * CHOOSE(CONTROL!$C$20, $D$12, 100%, $F$12)</f>
        <v>9.2910000000000004</v>
      </c>
      <c r="D308" s="7">
        <f>CHOOSE( CONTROL!$C$37, 9.2834, 9.2823) * CHOOSE( CONTROL!$C$20, $D$12, 100%, $F$12)</f>
        <v>9.2834000000000003</v>
      </c>
      <c r="E308" s="10">
        <f>CHOOSE( CONTROL!$C$37, 9.2856, 9.2845) * CHOOSE( CONTROL!$C$20, $D$12, 100%, $F$12)</f>
        <v>9.2856000000000005</v>
      </c>
      <c r="F308" s="4">
        <f>CHOOSE( CONTROL!$C$37, 9.9384, 9.9373) * CHOOSE(CONTROL!$C$20, $D$12, 100%, $F$12)</f>
        <v>9.9383999999999997</v>
      </c>
      <c r="G308" s="7">
        <f>CHOOSE( CONTROL!$C$37, 9.1941, 9.193) * CHOOSE( CONTROL!$C$20, $D$12, 100%, $F$12)</f>
        <v>9.1941000000000006</v>
      </c>
      <c r="H308" s="4">
        <f>CHOOSE( CONTROL!$C$37, 10.0736, 10.0725) * CHOOSE(CONTROL!$C$20, $D$12, 100%, $F$12)</f>
        <v>10.073600000000001</v>
      </c>
      <c r="I308" s="7">
        <f>CHOOSE( CONTROL!$C$37, 9.1627, 9.1616) * CHOOSE(CONTROL!$C$20, $D$12, 100%, $F$12)</f>
        <v>9.1626999999999992</v>
      </c>
      <c r="J308" s="4">
        <f>CHOOSE( CONTROL!$C$37, 9.0082, 9.0071) * CHOOSE(CONTROL!$C$20, $D$12, 100%, $F$12)</f>
        <v>9.0082000000000004</v>
      </c>
      <c r="K308" s="4"/>
      <c r="L308" s="8">
        <v>29.306000000000001</v>
      </c>
      <c r="M308" s="8">
        <v>12.063700000000001</v>
      </c>
      <c r="N308" s="8">
        <v>4.9444999999999997</v>
      </c>
      <c r="O308" s="8">
        <v>0.37409999999999999</v>
      </c>
      <c r="P308" s="8">
        <v>1.2927</v>
      </c>
      <c r="Q308" s="8">
        <v>30.451899999999998</v>
      </c>
      <c r="R308" s="8"/>
    </row>
    <row r="309" spans="1:18" ht="14.25" customHeight="1">
      <c r="A309" s="11">
        <v>50525</v>
      </c>
      <c r="B309" s="7">
        <f>CHOOSE( CONTROL!$C$37, 9.428, 9.4269) * CHOOSE(CONTROL!$C$20, $D$12, 100%, $F$12)</f>
        <v>9.4280000000000008</v>
      </c>
      <c r="C309" s="7">
        <f>CHOOSE( CONTROL!$C$37, 9.4325, 9.4314) * CHOOSE(CONTROL!$C$20, $D$12, 100%, $F$12)</f>
        <v>9.4324999999999992</v>
      </c>
      <c r="D309" s="7">
        <f>CHOOSE( CONTROL!$C$37, 9.4444, 9.4433) * CHOOSE( CONTROL!$C$20, $D$12, 100%, $F$12)</f>
        <v>9.4443999999999999</v>
      </c>
      <c r="E309" s="10">
        <f>CHOOSE( CONTROL!$C$37, 9.44, 9.4389) * CHOOSE( CONTROL!$C$20, $D$12, 100%, $F$12)</f>
        <v>9.44</v>
      </c>
      <c r="F309" s="4">
        <f>CHOOSE( CONTROL!$C$37, 10.1547, 10.1536) * CHOOSE(CONTROL!$C$20, $D$12, 100%, $F$12)</f>
        <v>10.1547</v>
      </c>
      <c r="G309" s="7">
        <f>CHOOSE( CONTROL!$C$37, 9.3418, 9.3407) * CHOOSE( CONTROL!$C$20, $D$12, 100%, $F$12)</f>
        <v>9.3417999999999992</v>
      </c>
      <c r="H309" s="4">
        <f>CHOOSE( CONTROL!$C$37, 10.2868, 10.2858) * CHOOSE(CONTROL!$C$20, $D$12, 100%, $F$12)</f>
        <v>10.286799999999999</v>
      </c>
      <c r="I309" s="7">
        <f>CHOOSE( CONTROL!$C$37, 9.2722, 9.2712) * CHOOSE(CONTROL!$C$20, $D$12, 100%, $F$12)</f>
        <v>9.2721999999999998</v>
      </c>
      <c r="J309" s="4">
        <f>CHOOSE( CONTROL!$C$37, 9.1451, 9.144) * CHOOSE(CONTROL!$C$20, $D$12, 100%, $F$12)</f>
        <v>9.1450999999999993</v>
      </c>
      <c r="K309" s="4"/>
      <c r="L309" s="8">
        <v>30.092199999999998</v>
      </c>
      <c r="M309" s="8">
        <v>11.6745</v>
      </c>
      <c r="N309" s="8">
        <v>4.7850000000000001</v>
      </c>
      <c r="O309" s="8">
        <v>0.36199999999999999</v>
      </c>
      <c r="P309" s="8">
        <v>1.2509999999999999</v>
      </c>
      <c r="Q309" s="8">
        <v>29.4696</v>
      </c>
      <c r="R309" s="8"/>
    </row>
    <row r="310" spans="1:18" ht="14.25" customHeight="1">
      <c r="A310" s="11">
        <v>50556</v>
      </c>
      <c r="B310" s="7">
        <f>CHOOSE( CONTROL!$C$37, 9.6816, 9.6799) * CHOOSE(CONTROL!$C$20, $D$12, 100%, $F$12)</f>
        <v>9.6815999999999995</v>
      </c>
      <c r="C310" s="7">
        <f>CHOOSE( CONTROL!$C$37, 9.6896, 9.6879) * CHOOSE(CONTROL!$C$20, $D$12, 100%, $F$12)</f>
        <v>9.6896000000000004</v>
      </c>
      <c r="D310" s="7">
        <f>CHOOSE( CONTROL!$C$37, 9.6952, 9.6936) * CHOOSE( CONTROL!$C$20, $D$12, 100%, $F$12)</f>
        <v>9.6951999999999998</v>
      </c>
      <c r="E310" s="10">
        <f>CHOOSE( CONTROL!$C$37, 9.692, 9.6903) * CHOOSE( CONTROL!$C$20, $D$12, 100%, $F$12)</f>
        <v>9.6920000000000002</v>
      </c>
      <c r="F310" s="4">
        <f>CHOOSE( CONTROL!$C$37, 10.4068, 10.4052) * CHOOSE(CONTROL!$C$20, $D$12, 100%, $F$12)</f>
        <v>10.4068</v>
      </c>
      <c r="G310" s="7">
        <f>CHOOSE( CONTROL!$C$37, 9.5904, 9.5888) * CHOOSE( CONTROL!$C$20, $D$12, 100%, $F$12)</f>
        <v>9.5904000000000007</v>
      </c>
      <c r="H310" s="4">
        <f>CHOOSE( CONTROL!$C$37, 10.5355, 10.5339) * CHOOSE(CONTROL!$C$20, $D$12, 100%, $F$12)</f>
        <v>10.535500000000001</v>
      </c>
      <c r="I310" s="7">
        <f>CHOOSE( CONTROL!$C$37, 9.5163, 9.5147) * CHOOSE(CONTROL!$C$20, $D$12, 100%, $F$12)</f>
        <v>9.5162999999999993</v>
      </c>
      <c r="J310" s="4">
        <f>CHOOSE( CONTROL!$C$37, 9.3893, 9.3876) * CHOOSE(CONTROL!$C$20, $D$12, 100%, $F$12)</f>
        <v>9.3893000000000004</v>
      </c>
      <c r="K310" s="4"/>
      <c r="L310" s="8">
        <v>30.7165</v>
      </c>
      <c r="M310" s="8">
        <v>12.063700000000001</v>
      </c>
      <c r="N310" s="8">
        <v>4.9444999999999997</v>
      </c>
      <c r="O310" s="8">
        <v>0.37409999999999999</v>
      </c>
      <c r="P310" s="8">
        <v>1.2927</v>
      </c>
      <c r="Q310" s="8">
        <v>30.451899999999998</v>
      </c>
      <c r="R310" s="8"/>
    </row>
    <row r="311" spans="1:18" ht="14.25" customHeight="1">
      <c r="A311" s="11">
        <v>50586</v>
      </c>
      <c r="B311" s="7">
        <f>CHOOSE( CONTROL!$C$37, 9.5257, 9.524) * CHOOSE(CONTROL!$C$20, $D$12, 100%, $F$12)</f>
        <v>9.5257000000000005</v>
      </c>
      <c r="C311" s="7">
        <f>CHOOSE( CONTROL!$C$37, 9.5337, 9.532) * CHOOSE(CONTROL!$C$20, $D$12, 100%, $F$12)</f>
        <v>9.5336999999999996</v>
      </c>
      <c r="D311" s="7">
        <f>CHOOSE( CONTROL!$C$37, 9.5396, 9.538) * CHOOSE( CONTROL!$C$20, $D$12, 100%, $F$12)</f>
        <v>9.5396000000000001</v>
      </c>
      <c r="E311" s="10">
        <f>CHOOSE( CONTROL!$C$37, 9.5362, 9.5346) * CHOOSE( CONTROL!$C$20, $D$12, 100%, $F$12)</f>
        <v>9.5361999999999991</v>
      </c>
      <c r="F311" s="4">
        <f>CHOOSE( CONTROL!$C$37, 10.251, 10.2493) * CHOOSE(CONTROL!$C$20, $D$12, 100%, $F$12)</f>
        <v>10.250999999999999</v>
      </c>
      <c r="G311" s="7">
        <f>CHOOSE( CONTROL!$C$37, 9.4369, 9.4353) * CHOOSE( CONTROL!$C$20, $D$12, 100%, $F$12)</f>
        <v>9.4368999999999996</v>
      </c>
      <c r="H311" s="4">
        <f>CHOOSE( CONTROL!$C$37, 10.3818, 10.3802) * CHOOSE(CONTROL!$C$20, $D$12, 100%, $F$12)</f>
        <v>10.3818</v>
      </c>
      <c r="I311" s="7">
        <f>CHOOSE( CONTROL!$C$37, 9.3662, 9.3646) * CHOOSE(CONTROL!$C$20, $D$12, 100%, $F$12)</f>
        <v>9.3661999999999992</v>
      </c>
      <c r="J311" s="4">
        <f>CHOOSE( CONTROL!$C$37, 9.2383, 9.2367) * CHOOSE(CONTROL!$C$20, $D$12, 100%, $F$12)</f>
        <v>9.2383000000000006</v>
      </c>
      <c r="K311" s="4"/>
      <c r="L311" s="8">
        <v>29.7257</v>
      </c>
      <c r="M311" s="8">
        <v>11.6745</v>
      </c>
      <c r="N311" s="8">
        <v>4.7850000000000001</v>
      </c>
      <c r="O311" s="8">
        <v>0.36199999999999999</v>
      </c>
      <c r="P311" s="8">
        <v>1.2509999999999999</v>
      </c>
      <c r="Q311" s="8">
        <v>29.4696</v>
      </c>
      <c r="R311" s="8"/>
    </row>
    <row r="312" spans="1:18" ht="14.25" customHeight="1">
      <c r="A312" s="11">
        <v>50617</v>
      </c>
      <c r="B312" s="7">
        <f>CHOOSE( CONTROL!$C$37, 9.9362, 9.9345) * CHOOSE(CONTROL!$C$20, $D$12, 100%, $F$12)</f>
        <v>9.9361999999999995</v>
      </c>
      <c r="C312" s="7">
        <f>CHOOSE( CONTROL!$C$37, 9.9442, 9.9425) * CHOOSE(CONTROL!$C$20, $D$12, 100%, $F$12)</f>
        <v>9.9442000000000004</v>
      </c>
      <c r="D312" s="7">
        <f>CHOOSE( CONTROL!$C$37, 9.9504, 9.9487) * CHOOSE( CONTROL!$C$20, $D$12, 100%, $F$12)</f>
        <v>9.9504000000000001</v>
      </c>
      <c r="E312" s="10">
        <f>CHOOSE( CONTROL!$C$37, 9.9469, 9.9452) * CHOOSE( CONTROL!$C$20, $D$12, 100%, $F$12)</f>
        <v>9.9468999999999994</v>
      </c>
      <c r="F312" s="4">
        <f>CHOOSE( CONTROL!$C$37, 10.6614, 10.6598) * CHOOSE(CONTROL!$C$20, $D$12, 100%, $F$12)</f>
        <v>10.6614</v>
      </c>
      <c r="G312" s="7">
        <f>CHOOSE( CONTROL!$C$37, 9.8419, 9.8403) * CHOOSE( CONTROL!$C$20, $D$12, 100%, $F$12)</f>
        <v>9.8419000000000008</v>
      </c>
      <c r="H312" s="4">
        <f>CHOOSE( CONTROL!$C$37, 10.7866, 10.7849) * CHOOSE(CONTROL!$C$20, $D$12, 100%, $F$12)</f>
        <v>10.7866</v>
      </c>
      <c r="I312" s="7">
        <f>CHOOSE( CONTROL!$C$37, 9.7649, 9.7633) * CHOOSE(CONTROL!$C$20, $D$12, 100%, $F$12)</f>
        <v>9.7649000000000008</v>
      </c>
      <c r="J312" s="4">
        <f>CHOOSE( CONTROL!$C$37, 9.6358, 9.6342) * CHOOSE(CONTROL!$C$20, $D$12, 100%, $F$12)</f>
        <v>9.6357999999999997</v>
      </c>
      <c r="K312" s="4"/>
      <c r="L312" s="8">
        <v>30.7165</v>
      </c>
      <c r="M312" s="8">
        <v>12.063700000000001</v>
      </c>
      <c r="N312" s="8">
        <v>4.9444999999999997</v>
      </c>
      <c r="O312" s="8">
        <v>0.37409999999999999</v>
      </c>
      <c r="P312" s="8">
        <v>1.2927</v>
      </c>
      <c r="Q312" s="8">
        <v>30.451899999999998</v>
      </c>
      <c r="R312" s="8"/>
    </row>
    <row r="313" spans="1:18" ht="14.25" customHeight="1">
      <c r="A313" s="11">
        <v>50648</v>
      </c>
      <c r="B313" s="7">
        <f>CHOOSE( CONTROL!$C$37, 9.1681, 9.1665) * CHOOSE(CONTROL!$C$20, $D$12, 100%, $F$12)</f>
        <v>9.1681000000000008</v>
      </c>
      <c r="C313" s="7">
        <f>CHOOSE( CONTROL!$C$37, 9.1761, 9.1745) * CHOOSE(CONTROL!$C$20, $D$12, 100%, $F$12)</f>
        <v>9.1760999999999999</v>
      </c>
      <c r="D313" s="7">
        <f>CHOOSE( CONTROL!$C$37, 9.1824, 9.1808) * CHOOSE( CONTROL!$C$20, $D$12, 100%, $F$12)</f>
        <v>9.1823999999999995</v>
      </c>
      <c r="E313" s="10">
        <f>CHOOSE( CONTROL!$C$37, 9.1789, 9.1773) * CHOOSE( CONTROL!$C$20, $D$12, 100%, $F$12)</f>
        <v>9.1789000000000005</v>
      </c>
      <c r="F313" s="4">
        <f>CHOOSE( CONTROL!$C$37, 9.8934, 9.8918) * CHOOSE(CONTROL!$C$20, $D$12, 100%, $F$12)</f>
        <v>9.8933999999999997</v>
      </c>
      <c r="G313" s="7">
        <f>CHOOSE( CONTROL!$C$37, 9.0847, 9.083) * CHOOSE( CONTROL!$C$20, $D$12, 100%, $F$12)</f>
        <v>9.0846999999999998</v>
      </c>
      <c r="H313" s="4">
        <f>CHOOSE( CONTROL!$C$37, 10.0292, 10.0276) * CHOOSE(CONTROL!$C$20, $D$12, 100%, $F$12)</f>
        <v>10.029199999999999</v>
      </c>
      <c r="I313" s="7">
        <f>CHOOSE( CONTROL!$C$37, 9.0211, 9.0195) * CHOOSE(CONTROL!$C$20, $D$12, 100%, $F$12)</f>
        <v>9.0211000000000006</v>
      </c>
      <c r="J313" s="4">
        <f>CHOOSE( CONTROL!$C$37, 8.8921, 8.8905) * CHOOSE(CONTROL!$C$20, $D$12, 100%, $F$12)</f>
        <v>8.8920999999999992</v>
      </c>
      <c r="K313" s="4"/>
      <c r="L313" s="8">
        <v>30.7165</v>
      </c>
      <c r="M313" s="8">
        <v>12.063700000000001</v>
      </c>
      <c r="N313" s="8">
        <v>4.9444999999999997</v>
      </c>
      <c r="O313" s="8">
        <v>0.37409999999999999</v>
      </c>
      <c r="P313" s="8">
        <v>1.2927</v>
      </c>
      <c r="Q313" s="8">
        <v>30.451899999999998</v>
      </c>
      <c r="R313" s="8"/>
    </row>
    <row r="314" spans="1:18" ht="14.25" customHeight="1">
      <c r="A314" s="11">
        <v>50678</v>
      </c>
      <c r="B314" s="7">
        <f>CHOOSE( CONTROL!$C$37, 8.9758, 8.9741) * CHOOSE(CONTROL!$C$20, $D$12, 100%, $F$12)</f>
        <v>8.9757999999999996</v>
      </c>
      <c r="C314" s="7">
        <f>CHOOSE( CONTROL!$C$37, 8.9838, 8.9821) * CHOOSE(CONTROL!$C$20, $D$12, 100%, $F$12)</f>
        <v>8.9838000000000005</v>
      </c>
      <c r="D314" s="7">
        <f>CHOOSE( CONTROL!$C$37, 8.99, 8.9883) * CHOOSE( CONTROL!$C$20, $D$12, 100%, $F$12)</f>
        <v>8.99</v>
      </c>
      <c r="E314" s="10">
        <f>CHOOSE( CONTROL!$C$37, 8.9865, 8.9848) * CHOOSE( CONTROL!$C$20, $D$12, 100%, $F$12)</f>
        <v>8.9864999999999995</v>
      </c>
      <c r="F314" s="4">
        <f>CHOOSE( CONTROL!$C$37, 9.7011, 9.6994) * CHOOSE(CONTROL!$C$20, $D$12, 100%, $F$12)</f>
        <v>9.7011000000000003</v>
      </c>
      <c r="G314" s="7">
        <f>CHOOSE( CONTROL!$C$37, 8.8949, 8.8933) * CHOOSE( CONTROL!$C$20, $D$12, 100%, $F$12)</f>
        <v>8.8948999999999998</v>
      </c>
      <c r="H314" s="4">
        <f>CHOOSE( CONTROL!$C$37, 9.8396, 9.838) * CHOOSE(CONTROL!$C$20, $D$12, 100%, $F$12)</f>
        <v>9.8396000000000008</v>
      </c>
      <c r="I314" s="7">
        <f>CHOOSE( CONTROL!$C$37, 8.8344, 8.8328) * CHOOSE(CONTROL!$C$20, $D$12, 100%, $F$12)</f>
        <v>8.8344000000000005</v>
      </c>
      <c r="J314" s="4">
        <f>CHOOSE( CONTROL!$C$37, 8.7059, 8.7043) * CHOOSE(CONTROL!$C$20, $D$12, 100%, $F$12)</f>
        <v>8.7058999999999997</v>
      </c>
      <c r="K314" s="4"/>
      <c r="L314" s="8">
        <v>29.7257</v>
      </c>
      <c r="M314" s="8">
        <v>11.6745</v>
      </c>
      <c r="N314" s="8">
        <v>4.7850000000000001</v>
      </c>
      <c r="O314" s="8">
        <v>0.36199999999999999</v>
      </c>
      <c r="P314" s="8">
        <v>1.2509999999999999</v>
      </c>
      <c r="Q314" s="8">
        <v>29.4696</v>
      </c>
      <c r="R314" s="8"/>
    </row>
    <row r="315" spans="1:18" ht="14.25" customHeight="1">
      <c r="A315" s="11">
        <v>50709</v>
      </c>
      <c r="B315" s="7">
        <f>CHOOSE( CONTROL!$C$37, 9.3728, 9.3718) * CHOOSE(CONTROL!$C$20, $D$12, 100%, $F$12)</f>
        <v>9.3727999999999998</v>
      </c>
      <c r="C315" s="7">
        <f>CHOOSE( CONTROL!$C$37, 9.3782, 9.3771) * CHOOSE(CONTROL!$C$20, $D$12, 100%, $F$12)</f>
        <v>9.3781999999999996</v>
      </c>
      <c r="D315" s="7">
        <f>CHOOSE( CONTROL!$C$37, 9.3902, 9.3891) * CHOOSE( CONTROL!$C$20, $D$12, 100%, $F$12)</f>
        <v>9.3902000000000001</v>
      </c>
      <c r="E315" s="10">
        <f>CHOOSE( CONTROL!$C$37, 9.3857, 9.3846) * CHOOSE( CONTROL!$C$20, $D$12, 100%, $F$12)</f>
        <v>9.3856999999999999</v>
      </c>
      <c r="F315" s="4">
        <f>CHOOSE( CONTROL!$C$37, 10.0998, 10.0988) * CHOOSE(CONTROL!$C$20, $D$12, 100%, $F$12)</f>
        <v>10.0998</v>
      </c>
      <c r="G315" s="7">
        <f>CHOOSE( CONTROL!$C$37, 9.2882, 9.2872) * CHOOSE( CONTROL!$C$20, $D$12, 100%, $F$12)</f>
        <v>9.2881999999999998</v>
      </c>
      <c r="H315" s="4">
        <f>CHOOSE( CONTROL!$C$37, 10.2328, 10.2317) * CHOOSE(CONTROL!$C$20, $D$12, 100%, $F$12)</f>
        <v>10.232799999999999</v>
      </c>
      <c r="I315" s="7">
        <f>CHOOSE( CONTROL!$C$37, 9.2214, 9.2204) * CHOOSE(CONTROL!$C$20, $D$12, 100%, $F$12)</f>
        <v>9.2213999999999992</v>
      </c>
      <c r="J315" s="4">
        <f>CHOOSE( CONTROL!$C$37, 9.092, 9.0909) * CHOOSE(CONTROL!$C$20, $D$12, 100%, $F$12)</f>
        <v>9.0920000000000005</v>
      </c>
      <c r="K315" s="4"/>
      <c r="L315" s="8">
        <v>31.095300000000002</v>
      </c>
      <c r="M315" s="8">
        <v>12.063700000000001</v>
      </c>
      <c r="N315" s="8">
        <v>4.9444999999999997</v>
      </c>
      <c r="O315" s="8">
        <v>0.37409999999999999</v>
      </c>
      <c r="P315" s="8">
        <v>1.2927</v>
      </c>
      <c r="Q315" s="8">
        <v>30.451899999999998</v>
      </c>
      <c r="R315" s="8"/>
    </row>
    <row r="316" spans="1:18" ht="14.25" customHeight="1">
      <c r="A316" s="11">
        <v>50739</v>
      </c>
      <c r="B316" s="7">
        <f>CHOOSE( CONTROL!$C$37, 10.1095, 10.1084) * CHOOSE(CONTROL!$C$20, $D$12, 100%, $F$12)</f>
        <v>10.109500000000001</v>
      </c>
      <c r="C316" s="7">
        <f>CHOOSE( CONTROL!$C$37, 10.1146, 10.1135) * CHOOSE(CONTROL!$C$20, $D$12, 100%, $F$12)</f>
        <v>10.114599999999999</v>
      </c>
      <c r="D316" s="7">
        <f>CHOOSE( CONTROL!$C$37, 10.0931, 10.092) * CHOOSE( CONTROL!$C$20, $D$12, 100%, $F$12)</f>
        <v>10.0931</v>
      </c>
      <c r="E316" s="10">
        <f>CHOOSE( CONTROL!$C$37, 10.1004, 10.0993) * CHOOSE( CONTROL!$C$20, $D$12, 100%, $F$12)</f>
        <v>10.1004</v>
      </c>
      <c r="F316" s="4">
        <f>CHOOSE( CONTROL!$C$37, 10.7621, 10.761) * CHOOSE(CONTROL!$C$20, $D$12, 100%, $F$12)</f>
        <v>10.7621</v>
      </c>
      <c r="G316" s="7">
        <f>CHOOSE( CONTROL!$C$37, 10.0011, 10.0001) * CHOOSE( CONTROL!$C$20, $D$12, 100%, $F$12)</f>
        <v>10.001099999999999</v>
      </c>
      <c r="H316" s="4">
        <f>CHOOSE( CONTROL!$C$37, 10.8858, 10.8847) * CHOOSE(CONTROL!$C$20, $D$12, 100%, $F$12)</f>
        <v>10.8858</v>
      </c>
      <c r="I316" s="7">
        <f>CHOOSE( CONTROL!$C$37, 9.9867, 9.9856) * CHOOSE(CONTROL!$C$20, $D$12, 100%, $F$12)</f>
        <v>9.9867000000000008</v>
      </c>
      <c r="J316" s="4">
        <f>CHOOSE( CONTROL!$C$37, 9.8057, 9.8047) * CHOOSE(CONTROL!$C$20, $D$12, 100%, $F$12)</f>
        <v>9.8056999999999999</v>
      </c>
      <c r="K316" s="4"/>
      <c r="L316" s="8">
        <v>28.360600000000002</v>
      </c>
      <c r="M316" s="8">
        <v>11.6745</v>
      </c>
      <c r="N316" s="8">
        <v>4.7850000000000001</v>
      </c>
      <c r="O316" s="8">
        <v>0.36199999999999999</v>
      </c>
      <c r="P316" s="8">
        <v>1.2509999999999999</v>
      </c>
      <c r="Q316" s="8">
        <v>29.4696</v>
      </c>
      <c r="R316" s="8"/>
    </row>
    <row r="317" spans="1:18" ht="14.25" customHeight="1">
      <c r="A317" s="11">
        <v>50770</v>
      </c>
      <c r="B317" s="7">
        <f>CHOOSE( CONTROL!$C$37, 10.0911, 10.09) * CHOOSE(CONTROL!$C$20, $D$12, 100%, $F$12)</f>
        <v>10.091100000000001</v>
      </c>
      <c r="C317" s="7">
        <f>CHOOSE( CONTROL!$C$37, 10.0962, 10.0951) * CHOOSE(CONTROL!$C$20, $D$12, 100%, $F$12)</f>
        <v>10.0962</v>
      </c>
      <c r="D317" s="7">
        <f>CHOOSE( CONTROL!$C$37, 10.0762, 10.0751) * CHOOSE( CONTROL!$C$20, $D$12, 100%, $F$12)</f>
        <v>10.0762</v>
      </c>
      <c r="E317" s="10">
        <f>CHOOSE( CONTROL!$C$37, 10.083, 10.0819) * CHOOSE( CONTROL!$C$20, $D$12, 100%, $F$12)</f>
        <v>10.083</v>
      </c>
      <c r="F317" s="4">
        <f>CHOOSE( CONTROL!$C$37, 10.7436, 10.7426) * CHOOSE(CONTROL!$C$20, $D$12, 100%, $F$12)</f>
        <v>10.743600000000001</v>
      </c>
      <c r="G317" s="7">
        <f>CHOOSE( CONTROL!$C$37, 9.9841, 9.983) * CHOOSE( CONTROL!$C$20, $D$12, 100%, $F$12)</f>
        <v>9.9840999999999998</v>
      </c>
      <c r="H317" s="4">
        <f>CHOOSE( CONTROL!$C$37, 10.8676, 10.8665) * CHOOSE(CONTROL!$C$20, $D$12, 100%, $F$12)</f>
        <v>10.867599999999999</v>
      </c>
      <c r="I317" s="7">
        <f>CHOOSE( CONTROL!$C$37, 9.9737, 9.9726) * CHOOSE(CONTROL!$C$20, $D$12, 100%, $F$12)</f>
        <v>9.9736999999999991</v>
      </c>
      <c r="J317" s="4">
        <f>CHOOSE( CONTROL!$C$37, 9.7879, 9.7868) * CHOOSE(CONTROL!$C$20, $D$12, 100%, $F$12)</f>
        <v>9.7879000000000005</v>
      </c>
      <c r="K317" s="4"/>
      <c r="L317" s="8">
        <v>29.306000000000001</v>
      </c>
      <c r="M317" s="8">
        <v>12.063700000000001</v>
      </c>
      <c r="N317" s="8">
        <v>4.9444999999999997</v>
      </c>
      <c r="O317" s="8">
        <v>0.37409999999999999</v>
      </c>
      <c r="P317" s="8">
        <v>1.2927</v>
      </c>
      <c r="Q317" s="8">
        <v>30.451899999999998</v>
      </c>
      <c r="R317" s="8"/>
    </row>
    <row r="318" spans="1:18" ht="14.25" customHeight="1">
      <c r="A318" s="11">
        <v>50801</v>
      </c>
      <c r="B318" s="7">
        <f>CHOOSE( CONTROL!$C$37, 10.3892, 10.3881) * CHOOSE(CONTROL!$C$20, $D$12, 100%, $F$12)</f>
        <v>10.389200000000001</v>
      </c>
      <c r="C318" s="7">
        <f>CHOOSE( CONTROL!$C$37, 10.3943, 10.3932) * CHOOSE(CONTROL!$C$20, $D$12, 100%, $F$12)</f>
        <v>10.394299999999999</v>
      </c>
      <c r="D318" s="7">
        <f>CHOOSE( CONTROL!$C$37, 10.3874, 10.3863) * CHOOSE( CONTROL!$C$20, $D$12, 100%, $F$12)</f>
        <v>10.3874</v>
      </c>
      <c r="E318" s="10">
        <f>CHOOSE( CONTROL!$C$37, 10.3894, 10.3883) * CHOOSE( CONTROL!$C$20, $D$12, 100%, $F$12)</f>
        <v>10.3894</v>
      </c>
      <c r="F318" s="4">
        <f>CHOOSE( CONTROL!$C$37, 11.0418, 11.0407) * CHOOSE(CONTROL!$C$20, $D$12, 100%, $F$12)</f>
        <v>11.0418</v>
      </c>
      <c r="G318" s="7">
        <f>CHOOSE( CONTROL!$C$37, 10.2826, 10.2815) * CHOOSE( CONTROL!$C$20, $D$12, 100%, $F$12)</f>
        <v>10.2826</v>
      </c>
      <c r="H318" s="4">
        <f>CHOOSE( CONTROL!$C$37, 11.1616, 11.1605) * CHOOSE(CONTROL!$C$20, $D$12, 100%, $F$12)</f>
        <v>11.1616</v>
      </c>
      <c r="I318" s="7">
        <f>CHOOSE( CONTROL!$C$37, 10.2338, 10.2327) * CHOOSE(CONTROL!$C$20, $D$12, 100%, $F$12)</f>
        <v>10.2338</v>
      </c>
      <c r="J318" s="4">
        <f>CHOOSE( CONTROL!$C$37, 10.0766, 10.0755) * CHOOSE(CONTROL!$C$20, $D$12, 100%, $F$12)</f>
        <v>10.076599999999999</v>
      </c>
      <c r="K318" s="4"/>
      <c r="L318" s="8">
        <v>29.306000000000001</v>
      </c>
      <c r="M318" s="8">
        <v>12.063700000000001</v>
      </c>
      <c r="N318" s="8">
        <v>4.9444999999999997</v>
      </c>
      <c r="O318" s="8">
        <v>0.37409999999999999</v>
      </c>
      <c r="P318" s="8">
        <v>1.2927</v>
      </c>
      <c r="Q318" s="8">
        <v>30.386800000000001</v>
      </c>
      <c r="R318" s="8"/>
    </row>
    <row r="319" spans="1:18" ht="14.25" customHeight="1">
      <c r="A319" s="11">
        <v>50829</v>
      </c>
      <c r="B319" s="7">
        <f>CHOOSE( CONTROL!$C$37, 9.7165, 9.7155) * CHOOSE(CONTROL!$C$20, $D$12, 100%, $F$12)</f>
        <v>9.7164999999999999</v>
      </c>
      <c r="C319" s="7">
        <f>CHOOSE( CONTROL!$C$37, 9.7216, 9.7206) * CHOOSE(CONTROL!$C$20, $D$12, 100%, $F$12)</f>
        <v>9.7216000000000005</v>
      </c>
      <c r="D319" s="7">
        <f>CHOOSE( CONTROL!$C$37, 9.7147, 9.7136) * CHOOSE( CONTROL!$C$20, $D$12, 100%, $F$12)</f>
        <v>9.7147000000000006</v>
      </c>
      <c r="E319" s="10">
        <f>CHOOSE( CONTROL!$C$37, 9.7167, 9.7156) * CHOOSE( CONTROL!$C$20, $D$12, 100%, $F$12)</f>
        <v>9.7166999999999994</v>
      </c>
      <c r="F319" s="4">
        <f>CHOOSE( CONTROL!$C$37, 10.3691, 10.368) * CHOOSE(CONTROL!$C$20, $D$12, 100%, $F$12)</f>
        <v>10.3691</v>
      </c>
      <c r="G319" s="7">
        <f>CHOOSE( CONTROL!$C$37, 9.6192, 9.6182) * CHOOSE( CONTROL!$C$20, $D$12, 100%, $F$12)</f>
        <v>9.6191999999999993</v>
      </c>
      <c r="H319" s="4">
        <f>CHOOSE( CONTROL!$C$37, 10.4983, 10.4972) * CHOOSE(CONTROL!$C$20, $D$12, 100%, $F$12)</f>
        <v>10.4983</v>
      </c>
      <c r="I319" s="7">
        <f>CHOOSE( CONTROL!$C$37, 9.5819, 9.5808) * CHOOSE(CONTROL!$C$20, $D$12, 100%, $F$12)</f>
        <v>9.5818999999999992</v>
      </c>
      <c r="J319" s="4">
        <f>CHOOSE( CONTROL!$C$37, 9.4252, 9.4241) * CHOOSE(CONTROL!$C$20, $D$12, 100%, $F$12)</f>
        <v>9.4252000000000002</v>
      </c>
      <c r="K319" s="4"/>
      <c r="L319" s="8">
        <v>26.469899999999999</v>
      </c>
      <c r="M319" s="8">
        <v>10.8962</v>
      </c>
      <c r="N319" s="8">
        <v>4.4660000000000002</v>
      </c>
      <c r="O319" s="8">
        <v>0.33789999999999998</v>
      </c>
      <c r="P319" s="8">
        <v>1.1676</v>
      </c>
      <c r="Q319" s="8">
        <v>27.446200000000001</v>
      </c>
      <c r="R319" s="8"/>
    </row>
    <row r="320" spans="1:18" ht="14.25" customHeight="1">
      <c r="A320" s="11">
        <v>50860</v>
      </c>
      <c r="B320" s="7">
        <f>CHOOSE( CONTROL!$C$37, 9.5094, 9.5083) * CHOOSE(CONTROL!$C$20, $D$12, 100%, $F$12)</f>
        <v>9.5093999999999994</v>
      </c>
      <c r="C320" s="7">
        <f>CHOOSE( CONTROL!$C$37, 9.5145, 9.5134) * CHOOSE(CONTROL!$C$20, $D$12, 100%, $F$12)</f>
        <v>9.5145</v>
      </c>
      <c r="D320" s="7">
        <f>CHOOSE( CONTROL!$C$37, 9.5069, 9.5058) * CHOOSE( CONTROL!$C$20, $D$12, 100%, $F$12)</f>
        <v>9.5068999999999999</v>
      </c>
      <c r="E320" s="10">
        <f>CHOOSE( CONTROL!$C$37, 9.5091, 9.508) * CHOOSE( CONTROL!$C$20, $D$12, 100%, $F$12)</f>
        <v>9.5091000000000001</v>
      </c>
      <c r="F320" s="4">
        <f>CHOOSE( CONTROL!$C$37, 10.1619, 10.1608) * CHOOSE(CONTROL!$C$20, $D$12, 100%, $F$12)</f>
        <v>10.161899999999999</v>
      </c>
      <c r="G320" s="7">
        <f>CHOOSE( CONTROL!$C$37, 9.4145, 9.4134) * CHOOSE( CONTROL!$C$20, $D$12, 100%, $F$12)</f>
        <v>9.4145000000000003</v>
      </c>
      <c r="H320" s="4">
        <f>CHOOSE( CONTROL!$C$37, 10.294, 10.2929) * CHOOSE(CONTROL!$C$20, $D$12, 100%, $F$12)</f>
        <v>10.294</v>
      </c>
      <c r="I320" s="7">
        <f>CHOOSE( CONTROL!$C$37, 9.3792, 9.3782) * CHOOSE(CONTROL!$C$20, $D$12, 100%, $F$12)</f>
        <v>9.3792000000000009</v>
      </c>
      <c r="J320" s="4">
        <f>CHOOSE( CONTROL!$C$37, 9.2246, 9.2235) * CHOOSE(CONTROL!$C$20, $D$12, 100%, $F$12)</f>
        <v>9.2246000000000006</v>
      </c>
      <c r="K320" s="4"/>
      <c r="L320" s="8">
        <v>29.306000000000001</v>
      </c>
      <c r="M320" s="8">
        <v>12.063700000000001</v>
      </c>
      <c r="N320" s="8">
        <v>4.9444999999999997</v>
      </c>
      <c r="O320" s="8">
        <v>0.37409999999999999</v>
      </c>
      <c r="P320" s="8">
        <v>1.2927</v>
      </c>
      <c r="Q320" s="8">
        <v>30.386800000000001</v>
      </c>
      <c r="R320" s="8"/>
    </row>
    <row r="321" spans="1:18" ht="14.25" customHeight="1">
      <c r="A321" s="11">
        <v>50890</v>
      </c>
      <c r="B321" s="7">
        <f>CHOOSE( CONTROL!$C$37, 9.6549, 9.6538) * CHOOSE(CONTROL!$C$20, $D$12, 100%, $F$12)</f>
        <v>9.6548999999999996</v>
      </c>
      <c r="C321" s="7">
        <f>CHOOSE( CONTROL!$C$37, 9.6594, 9.6583) * CHOOSE(CONTROL!$C$20, $D$12, 100%, $F$12)</f>
        <v>9.6593999999999998</v>
      </c>
      <c r="D321" s="7">
        <f>CHOOSE( CONTROL!$C$37, 9.6713, 9.6702) * CHOOSE( CONTROL!$C$20, $D$12, 100%, $F$12)</f>
        <v>9.6713000000000005</v>
      </c>
      <c r="E321" s="10">
        <f>CHOOSE( CONTROL!$C$37, 9.6669, 9.6658) * CHOOSE( CONTROL!$C$20, $D$12, 100%, $F$12)</f>
        <v>9.6669</v>
      </c>
      <c r="F321" s="4">
        <f>CHOOSE( CONTROL!$C$37, 10.3815, 10.3805) * CHOOSE(CONTROL!$C$20, $D$12, 100%, $F$12)</f>
        <v>10.381500000000001</v>
      </c>
      <c r="G321" s="7">
        <f>CHOOSE( CONTROL!$C$37, 9.5655, 9.5644) * CHOOSE( CONTROL!$C$20, $D$12, 100%, $F$12)</f>
        <v>9.5655000000000001</v>
      </c>
      <c r="H321" s="4">
        <f>CHOOSE( CONTROL!$C$37, 10.5106, 10.5095) * CHOOSE(CONTROL!$C$20, $D$12, 100%, $F$12)</f>
        <v>10.5106</v>
      </c>
      <c r="I321" s="7">
        <f>CHOOSE( CONTROL!$C$37, 9.492, 9.491) * CHOOSE(CONTROL!$C$20, $D$12, 100%, $F$12)</f>
        <v>9.4920000000000009</v>
      </c>
      <c r="J321" s="4">
        <f>CHOOSE( CONTROL!$C$37, 9.3648, 9.3637) * CHOOSE(CONTROL!$C$20, $D$12, 100%, $F$12)</f>
        <v>9.3648000000000007</v>
      </c>
      <c r="K321" s="4"/>
      <c r="L321" s="8">
        <v>30.092199999999998</v>
      </c>
      <c r="M321" s="8">
        <v>11.6745</v>
      </c>
      <c r="N321" s="8">
        <v>4.7850000000000001</v>
      </c>
      <c r="O321" s="8">
        <v>0.36199999999999999</v>
      </c>
      <c r="P321" s="8">
        <v>1.2509999999999999</v>
      </c>
      <c r="Q321" s="8">
        <v>29.406600000000001</v>
      </c>
      <c r="R321" s="8"/>
    </row>
    <row r="322" spans="1:18" ht="14.25" customHeight="1">
      <c r="A322" s="11">
        <v>50921</v>
      </c>
      <c r="B322" s="7">
        <f>CHOOSE( CONTROL!$C$37, 9.9145, 9.9128) * CHOOSE(CONTROL!$C$20, $D$12, 100%, $F$12)</f>
        <v>9.9145000000000003</v>
      </c>
      <c r="C322" s="7">
        <f>CHOOSE( CONTROL!$C$37, 9.9225, 9.9208) * CHOOSE(CONTROL!$C$20, $D$12, 100%, $F$12)</f>
        <v>9.9224999999999994</v>
      </c>
      <c r="D322" s="7">
        <f>CHOOSE( CONTROL!$C$37, 9.9282, 9.9265) * CHOOSE( CONTROL!$C$20, $D$12, 100%, $F$12)</f>
        <v>9.9282000000000004</v>
      </c>
      <c r="E322" s="10">
        <f>CHOOSE( CONTROL!$C$37, 9.9249, 9.9232) * CHOOSE( CONTROL!$C$20, $D$12, 100%, $F$12)</f>
        <v>9.9248999999999992</v>
      </c>
      <c r="F322" s="4">
        <f>CHOOSE( CONTROL!$C$37, 10.6398, 10.6381) * CHOOSE(CONTROL!$C$20, $D$12, 100%, $F$12)</f>
        <v>10.639799999999999</v>
      </c>
      <c r="G322" s="7">
        <f>CHOOSE( CONTROL!$C$37, 9.8201, 9.8185) * CHOOSE( CONTROL!$C$20, $D$12, 100%, $F$12)</f>
        <v>9.8201000000000001</v>
      </c>
      <c r="H322" s="4">
        <f>CHOOSE( CONTROL!$C$37, 10.7652, 10.7636) * CHOOSE(CONTROL!$C$20, $D$12, 100%, $F$12)</f>
        <v>10.7652</v>
      </c>
      <c r="I322" s="7">
        <f>CHOOSE( CONTROL!$C$37, 9.7419, 9.7403) * CHOOSE(CONTROL!$C$20, $D$12, 100%, $F$12)</f>
        <v>9.7418999999999993</v>
      </c>
      <c r="J322" s="4">
        <f>CHOOSE( CONTROL!$C$37, 9.6148, 9.6132) * CHOOSE(CONTROL!$C$20, $D$12, 100%, $F$12)</f>
        <v>9.6148000000000007</v>
      </c>
      <c r="K322" s="4"/>
      <c r="L322" s="8">
        <v>30.7165</v>
      </c>
      <c r="M322" s="8">
        <v>12.063700000000001</v>
      </c>
      <c r="N322" s="8">
        <v>4.9444999999999997</v>
      </c>
      <c r="O322" s="8">
        <v>0.37409999999999999</v>
      </c>
      <c r="P322" s="8">
        <v>1.2927</v>
      </c>
      <c r="Q322" s="8">
        <v>30.386800000000001</v>
      </c>
      <c r="R322" s="8"/>
    </row>
    <row r="323" spans="1:18" ht="14.25" customHeight="1">
      <c r="A323" s="11">
        <v>50951</v>
      </c>
      <c r="B323" s="7">
        <f>CHOOSE( CONTROL!$C$37, 9.7549, 9.7532) * CHOOSE(CONTROL!$C$20, $D$12, 100%, $F$12)</f>
        <v>9.7548999999999992</v>
      </c>
      <c r="C323" s="7">
        <f>CHOOSE( CONTROL!$C$37, 9.7629, 9.7612) * CHOOSE(CONTROL!$C$20, $D$12, 100%, $F$12)</f>
        <v>9.7629000000000001</v>
      </c>
      <c r="D323" s="7">
        <f>CHOOSE( CONTROL!$C$37, 9.7688, 9.7672) * CHOOSE( CONTROL!$C$20, $D$12, 100%, $F$12)</f>
        <v>9.7688000000000006</v>
      </c>
      <c r="E323" s="10">
        <f>CHOOSE( CONTROL!$C$37, 9.7654, 9.7638) * CHOOSE( CONTROL!$C$20, $D$12, 100%, $F$12)</f>
        <v>9.7653999999999996</v>
      </c>
      <c r="F323" s="4">
        <f>CHOOSE( CONTROL!$C$37, 10.4802, 10.4785) * CHOOSE(CONTROL!$C$20, $D$12, 100%, $F$12)</f>
        <v>10.4802</v>
      </c>
      <c r="G323" s="7">
        <f>CHOOSE( CONTROL!$C$37, 9.6629, 9.6613) * CHOOSE( CONTROL!$C$20, $D$12, 100%, $F$12)</f>
        <v>9.6629000000000005</v>
      </c>
      <c r="H323" s="4">
        <f>CHOOSE( CONTROL!$C$37, 10.6078, 10.6062) * CHOOSE(CONTROL!$C$20, $D$12, 100%, $F$12)</f>
        <v>10.607799999999999</v>
      </c>
      <c r="I323" s="7">
        <f>CHOOSE( CONTROL!$C$37, 9.5883, 9.5866) * CHOOSE(CONTROL!$C$20, $D$12, 100%, $F$12)</f>
        <v>9.5883000000000003</v>
      </c>
      <c r="J323" s="4">
        <f>CHOOSE( CONTROL!$C$37, 9.4603, 9.4586) * CHOOSE(CONTROL!$C$20, $D$12, 100%, $F$12)</f>
        <v>9.4603000000000002</v>
      </c>
      <c r="K323" s="4"/>
      <c r="L323" s="8">
        <v>29.7257</v>
      </c>
      <c r="M323" s="8">
        <v>11.6745</v>
      </c>
      <c r="N323" s="8">
        <v>4.7850000000000001</v>
      </c>
      <c r="O323" s="8">
        <v>0.36199999999999999</v>
      </c>
      <c r="P323" s="8">
        <v>1.2509999999999999</v>
      </c>
      <c r="Q323" s="8">
        <v>29.406600000000001</v>
      </c>
      <c r="R323" s="8"/>
    </row>
    <row r="324" spans="1:18" ht="14.25" customHeight="1">
      <c r="A324" s="11">
        <v>50982</v>
      </c>
      <c r="B324" s="7">
        <f>CHOOSE( CONTROL!$C$37, 10.1752, 10.1736) * CHOOSE(CONTROL!$C$20, $D$12, 100%, $F$12)</f>
        <v>10.1752</v>
      </c>
      <c r="C324" s="7">
        <f>CHOOSE( CONTROL!$C$37, 10.1832, 10.1816) * CHOOSE(CONTROL!$C$20, $D$12, 100%, $F$12)</f>
        <v>10.183199999999999</v>
      </c>
      <c r="D324" s="7">
        <f>CHOOSE( CONTROL!$C$37, 10.1895, 10.1878) * CHOOSE( CONTROL!$C$20, $D$12, 100%, $F$12)</f>
        <v>10.189500000000001</v>
      </c>
      <c r="E324" s="10">
        <f>CHOOSE( CONTROL!$C$37, 10.186, 10.1843) * CHOOSE( CONTROL!$C$20, $D$12, 100%, $F$12)</f>
        <v>10.186</v>
      </c>
      <c r="F324" s="4">
        <f>CHOOSE( CONTROL!$C$37, 10.9005, 10.8988) * CHOOSE(CONTROL!$C$20, $D$12, 100%, $F$12)</f>
        <v>10.900499999999999</v>
      </c>
      <c r="G324" s="7">
        <f>CHOOSE( CONTROL!$C$37, 10.0776, 10.076) * CHOOSE( CONTROL!$C$20, $D$12, 100%, $F$12)</f>
        <v>10.0776</v>
      </c>
      <c r="H324" s="4">
        <f>CHOOSE( CONTROL!$C$37, 11.0223, 11.0206) * CHOOSE(CONTROL!$C$20, $D$12, 100%, $F$12)</f>
        <v>11.0223</v>
      </c>
      <c r="I324" s="7">
        <f>CHOOSE( CONTROL!$C$37, 9.9965, 9.9949) * CHOOSE(CONTROL!$C$20, $D$12, 100%, $F$12)</f>
        <v>9.9964999999999993</v>
      </c>
      <c r="J324" s="4">
        <f>CHOOSE( CONTROL!$C$37, 9.8673, 9.8657) * CHOOSE(CONTROL!$C$20, $D$12, 100%, $F$12)</f>
        <v>9.8673000000000002</v>
      </c>
      <c r="K324" s="4"/>
      <c r="L324" s="8">
        <v>30.7165</v>
      </c>
      <c r="M324" s="8">
        <v>12.063700000000001</v>
      </c>
      <c r="N324" s="8">
        <v>4.9444999999999997</v>
      </c>
      <c r="O324" s="8">
        <v>0.37409999999999999</v>
      </c>
      <c r="P324" s="8">
        <v>1.2927</v>
      </c>
      <c r="Q324" s="8">
        <v>30.386800000000001</v>
      </c>
      <c r="R324" s="8"/>
    </row>
    <row r="325" spans="1:18" ht="14.25" customHeight="1">
      <c r="A325" s="11">
        <v>51013</v>
      </c>
      <c r="B325" s="7">
        <f>CHOOSE( CONTROL!$C$37, 9.3887, 9.3871) * CHOOSE(CONTROL!$C$20, $D$12, 100%, $F$12)</f>
        <v>9.3887</v>
      </c>
      <c r="C325" s="7">
        <f>CHOOSE( CONTROL!$C$37, 9.3967, 9.3951) * CHOOSE(CONTROL!$C$20, $D$12, 100%, $F$12)</f>
        <v>9.3966999999999992</v>
      </c>
      <c r="D325" s="7">
        <f>CHOOSE( CONTROL!$C$37, 9.403, 9.4014) * CHOOSE( CONTROL!$C$20, $D$12, 100%, $F$12)</f>
        <v>9.4030000000000005</v>
      </c>
      <c r="E325" s="10">
        <f>CHOOSE( CONTROL!$C$37, 9.3995, 9.3979) * CHOOSE( CONTROL!$C$20, $D$12, 100%, $F$12)</f>
        <v>9.3994999999999997</v>
      </c>
      <c r="F325" s="4">
        <f>CHOOSE( CONTROL!$C$37, 10.114, 10.1124) * CHOOSE(CONTROL!$C$20, $D$12, 100%, $F$12)</f>
        <v>10.114000000000001</v>
      </c>
      <c r="G325" s="7">
        <f>CHOOSE( CONTROL!$C$37, 9.3022, 9.3005) * CHOOSE( CONTROL!$C$20, $D$12, 100%, $F$12)</f>
        <v>9.3021999999999991</v>
      </c>
      <c r="H325" s="4">
        <f>CHOOSE( CONTROL!$C$37, 10.2468, 10.2451) * CHOOSE(CONTROL!$C$20, $D$12, 100%, $F$12)</f>
        <v>10.2468</v>
      </c>
      <c r="I325" s="7">
        <f>CHOOSE( CONTROL!$C$37, 9.2349, 9.2332) * CHOOSE(CONTROL!$C$20, $D$12, 100%, $F$12)</f>
        <v>9.2348999999999997</v>
      </c>
      <c r="J325" s="4">
        <f>CHOOSE( CONTROL!$C$37, 9.1057, 9.1041) * CHOOSE(CONTROL!$C$20, $D$12, 100%, $F$12)</f>
        <v>9.1057000000000006</v>
      </c>
      <c r="K325" s="4"/>
      <c r="L325" s="8">
        <v>30.7165</v>
      </c>
      <c r="M325" s="8">
        <v>12.063700000000001</v>
      </c>
      <c r="N325" s="8">
        <v>4.9444999999999997</v>
      </c>
      <c r="O325" s="8">
        <v>0.37409999999999999</v>
      </c>
      <c r="P325" s="8">
        <v>1.2927</v>
      </c>
      <c r="Q325" s="8">
        <v>30.386800000000001</v>
      </c>
      <c r="R325" s="8"/>
    </row>
    <row r="326" spans="1:18" ht="14.25" customHeight="1">
      <c r="A326" s="11">
        <v>51043</v>
      </c>
      <c r="B326" s="7">
        <f>CHOOSE( CONTROL!$C$37, 9.1918, 9.1901) * CHOOSE(CONTROL!$C$20, $D$12, 100%, $F$12)</f>
        <v>9.1918000000000006</v>
      </c>
      <c r="C326" s="7">
        <f>CHOOSE( CONTROL!$C$37, 9.1998, 9.1981) * CHOOSE(CONTROL!$C$20, $D$12, 100%, $F$12)</f>
        <v>9.1997999999999998</v>
      </c>
      <c r="D326" s="7">
        <f>CHOOSE( CONTROL!$C$37, 9.206, 9.2043) * CHOOSE( CONTROL!$C$20, $D$12, 100%, $F$12)</f>
        <v>9.2059999999999995</v>
      </c>
      <c r="E326" s="10">
        <f>CHOOSE( CONTROL!$C$37, 9.2025, 9.2008) * CHOOSE( CONTROL!$C$20, $D$12, 100%, $F$12)</f>
        <v>9.2025000000000006</v>
      </c>
      <c r="F326" s="4">
        <f>CHOOSE( CONTROL!$C$37, 9.9171, 9.9154) * CHOOSE(CONTROL!$C$20, $D$12, 100%, $F$12)</f>
        <v>9.9170999999999996</v>
      </c>
      <c r="G326" s="7">
        <f>CHOOSE( CONTROL!$C$37, 9.1079, 9.1063) * CHOOSE( CONTROL!$C$20, $D$12, 100%, $F$12)</f>
        <v>9.1079000000000008</v>
      </c>
      <c r="H326" s="4">
        <f>CHOOSE( CONTROL!$C$37, 10.0526, 10.0509) * CHOOSE(CONTROL!$C$20, $D$12, 100%, $F$12)</f>
        <v>10.0526</v>
      </c>
      <c r="I326" s="7">
        <f>CHOOSE( CONTROL!$C$37, 9.0437, 9.0421) * CHOOSE(CONTROL!$C$20, $D$12, 100%, $F$12)</f>
        <v>9.0436999999999994</v>
      </c>
      <c r="J326" s="4">
        <f>CHOOSE( CONTROL!$C$37, 8.915, 8.9134) * CHOOSE(CONTROL!$C$20, $D$12, 100%, $F$12)</f>
        <v>8.9149999999999991</v>
      </c>
      <c r="K326" s="4"/>
      <c r="L326" s="8">
        <v>29.7257</v>
      </c>
      <c r="M326" s="8">
        <v>11.6745</v>
      </c>
      <c r="N326" s="8">
        <v>4.7850000000000001</v>
      </c>
      <c r="O326" s="8">
        <v>0.36199999999999999</v>
      </c>
      <c r="P326" s="8">
        <v>1.2509999999999999</v>
      </c>
      <c r="Q326" s="8">
        <v>29.406600000000001</v>
      </c>
      <c r="R326" s="8"/>
    </row>
    <row r="327" spans="1:18" ht="14.25" customHeight="1">
      <c r="A327" s="11">
        <v>51074</v>
      </c>
      <c r="B327" s="7">
        <f>CHOOSE( CONTROL!$C$37, 9.5984, 9.5973) * CHOOSE(CONTROL!$C$20, $D$12, 100%, $F$12)</f>
        <v>9.5983999999999998</v>
      </c>
      <c r="C327" s="7">
        <f>CHOOSE( CONTROL!$C$37, 9.6038, 9.6027) * CHOOSE(CONTROL!$C$20, $D$12, 100%, $F$12)</f>
        <v>9.6037999999999997</v>
      </c>
      <c r="D327" s="7">
        <f>CHOOSE( CONTROL!$C$37, 9.6158, 9.6147) * CHOOSE( CONTROL!$C$20, $D$12, 100%, $F$12)</f>
        <v>9.6158000000000001</v>
      </c>
      <c r="E327" s="10">
        <f>CHOOSE( CONTROL!$C$37, 9.6113, 9.6102) * CHOOSE( CONTROL!$C$20, $D$12, 100%, $F$12)</f>
        <v>9.6113</v>
      </c>
      <c r="F327" s="4">
        <f>CHOOSE( CONTROL!$C$37, 10.3254, 10.3243) * CHOOSE(CONTROL!$C$20, $D$12, 100%, $F$12)</f>
        <v>10.3254</v>
      </c>
      <c r="G327" s="7">
        <f>CHOOSE( CONTROL!$C$37, 9.5107, 9.5096) * CHOOSE( CONTROL!$C$20, $D$12, 100%, $F$12)</f>
        <v>9.5106999999999999</v>
      </c>
      <c r="H327" s="4">
        <f>CHOOSE( CONTROL!$C$37, 10.4552, 10.4541) * CHOOSE(CONTROL!$C$20, $D$12, 100%, $F$12)</f>
        <v>10.4552</v>
      </c>
      <c r="I327" s="7">
        <f>CHOOSE( CONTROL!$C$37, 9.4399, 9.4389) * CHOOSE(CONTROL!$C$20, $D$12, 100%, $F$12)</f>
        <v>9.4398999999999997</v>
      </c>
      <c r="J327" s="4">
        <f>CHOOSE( CONTROL!$C$37, 9.3104, 9.3094) * CHOOSE(CONTROL!$C$20, $D$12, 100%, $F$12)</f>
        <v>9.3103999999999996</v>
      </c>
      <c r="K327" s="4"/>
      <c r="L327" s="8">
        <v>31.095300000000002</v>
      </c>
      <c r="M327" s="8">
        <v>12.063700000000001</v>
      </c>
      <c r="N327" s="8">
        <v>4.9444999999999997</v>
      </c>
      <c r="O327" s="8">
        <v>0.37409999999999999</v>
      </c>
      <c r="P327" s="8">
        <v>1.2927</v>
      </c>
      <c r="Q327" s="8">
        <v>30.386800000000001</v>
      </c>
      <c r="R327" s="8"/>
    </row>
    <row r="328" spans="1:18" ht="14.25" customHeight="1">
      <c r="A328" s="11">
        <v>51104</v>
      </c>
      <c r="B328" s="7">
        <f>CHOOSE( CONTROL!$C$37, 10.3528, 10.3517) * CHOOSE(CONTROL!$C$20, $D$12, 100%, $F$12)</f>
        <v>10.3528</v>
      </c>
      <c r="C328" s="7">
        <f>CHOOSE( CONTROL!$C$37, 10.3579, 10.3568) * CHOOSE(CONTROL!$C$20, $D$12, 100%, $F$12)</f>
        <v>10.357900000000001</v>
      </c>
      <c r="D328" s="7">
        <f>CHOOSE( CONTROL!$C$37, 10.3364, 10.3353) * CHOOSE( CONTROL!$C$20, $D$12, 100%, $F$12)</f>
        <v>10.336399999999999</v>
      </c>
      <c r="E328" s="10">
        <f>CHOOSE( CONTROL!$C$37, 10.3437, 10.3426) * CHOOSE( CONTROL!$C$20, $D$12, 100%, $F$12)</f>
        <v>10.3437</v>
      </c>
      <c r="F328" s="4">
        <f>CHOOSE( CONTROL!$C$37, 11.0054, 11.0043) * CHOOSE(CONTROL!$C$20, $D$12, 100%, $F$12)</f>
        <v>11.0054</v>
      </c>
      <c r="G328" s="7">
        <f>CHOOSE( CONTROL!$C$37, 10.241, 10.24) * CHOOSE( CONTROL!$C$20, $D$12, 100%, $F$12)</f>
        <v>10.241</v>
      </c>
      <c r="H328" s="4">
        <f>CHOOSE( CONTROL!$C$37, 11.1257, 11.1246) * CHOOSE(CONTROL!$C$20, $D$12, 100%, $F$12)</f>
        <v>11.1257</v>
      </c>
      <c r="I328" s="7">
        <f>CHOOSE( CONTROL!$C$37, 10.2224, 10.2213) * CHOOSE(CONTROL!$C$20, $D$12, 100%, $F$12)</f>
        <v>10.2224</v>
      </c>
      <c r="J328" s="4">
        <f>CHOOSE( CONTROL!$C$37, 10.0413, 10.0402) * CHOOSE(CONTROL!$C$20, $D$12, 100%, $F$12)</f>
        <v>10.0413</v>
      </c>
      <c r="K328" s="4"/>
      <c r="L328" s="8">
        <v>28.360600000000002</v>
      </c>
      <c r="M328" s="8">
        <v>11.6745</v>
      </c>
      <c r="N328" s="8">
        <v>4.7850000000000001</v>
      </c>
      <c r="O328" s="8">
        <v>0.36199999999999999</v>
      </c>
      <c r="P328" s="8">
        <v>1.2509999999999999</v>
      </c>
      <c r="Q328" s="8">
        <v>29.406600000000001</v>
      </c>
      <c r="R328" s="8"/>
    </row>
    <row r="329" spans="1:18" ht="14.25" customHeight="1">
      <c r="A329" s="11">
        <v>51135</v>
      </c>
      <c r="B329" s="7">
        <f>CHOOSE( CONTROL!$C$37, 10.334, 10.3329) * CHOOSE(CONTROL!$C$20, $D$12, 100%, $F$12)</f>
        <v>10.334</v>
      </c>
      <c r="C329" s="7">
        <f>CHOOSE( CONTROL!$C$37, 10.3391, 10.338) * CHOOSE(CONTROL!$C$20, $D$12, 100%, $F$12)</f>
        <v>10.3391</v>
      </c>
      <c r="D329" s="7">
        <f>CHOOSE( CONTROL!$C$37, 10.3191, 10.318) * CHOOSE( CONTROL!$C$20, $D$12, 100%, $F$12)</f>
        <v>10.319100000000001</v>
      </c>
      <c r="E329" s="10">
        <f>CHOOSE( CONTROL!$C$37, 10.3259, 10.3248) * CHOOSE( CONTROL!$C$20, $D$12, 100%, $F$12)</f>
        <v>10.325900000000001</v>
      </c>
      <c r="F329" s="4">
        <f>CHOOSE( CONTROL!$C$37, 10.9865, 10.9854) * CHOOSE(CONTROL!$C$20, $D$12, 100%, $F$12)</f>
        <v>10.986499999999999</v>
      </c>
      <c r="G329" s="7">
        <f>CHOOSE( CONTROL!$C$37, 10.2236, 10.2225) * CHOOSE( CONTROL!$C$20, $D$12, 100%, $F$12)</f>
        <v>10.223599999999999</v>
      </c>
      <c r="H329" s="4">
        <f>CHOOSE( CONTROL!$C$37, 11.1071, 11.106) * CHOOSE(CONTROL!$C$20, $D$12, 100%, $F$12)</f>
        <v>11.107100000000001</v>
      </c>
      <c r="I329" s="7">
        <f>CHOOSE( CONTROL!$C$37, 10.209, 10.2079) * CHOOSE(CONTROL!$C$20, $D$12, 100%, $F$12)</f>
        <v>10.209</v>
      </c>
      <c r="J329" s="4">
        <f>CHOOSE( CONTROL!$C$37, 10.023, 10.022) * CHOOSE(CONTROL!$C$20, $D$12, 100%, $F$12)</f>
        <v>10.023</v>
      </c>
      <c r="K329" s="4"/>
      <c r="L329" s="8">
        <v>29.306000000000001</v>
      </c>
      <c r="M329" s="8">
        <v>12.063700000000001</v>
      </c>
      <c r="N329" s="8">
        <v>4.9444999999999997</v>
      </c>
      <c r="O329" s="8">
        <v>0.37409999999999999</v>
      </c>
      <c r="P329" s="8">
        <v>1.2927</v>
      </c>
      <c r="Q329" s="8">
        <v>30.386800000000001</v>
      </c>
      <c r="R329" s="8"/>
    </row>
    <row r="330" spans="1:18" ht="14.25" customHeight="1">
      <c r="A330" s="11">
        <v>51166</v>
      </c>
      <c r="B330" s="7">
        <f>CHOOSE( CONTROL!$C$37, 10.6392, 10.6382) * CHOOSE(CONTROL!$C$20, $D$12, 100%, $F$12)</f>
        <v>10.639200000000001</v>
      </c>
      <c r="C330" s="7">
        <f>CHOOSE( CONTROL!$C$37, 10.6443, 10.6433) * CHOOSE(CONTROL!$C$20, $D$12, 100%, $F$12)</f>
        <v>10.644299999999999</v>
      </c>
      <c r="D330" s="7">
        <f>CHOOSE( CONTROL!$C$37, 10.6374, 10.6364) * CHOOSE( CONTROL!$C$20, $D$12, 100%, $F$12)</f>
        <v>10.6374</v>
      </c>
      <c r="E330" s="10">
        <f>CHOOSE( CONTROL!$C$37, 10.6394, 10.6384) * CHOOSE( CONTROL!$C$20, $D$12, 100%, $F$12)</f>
        <v>10.6394</v>
      </c>
      <c r="F330" s="4">
        <f>CHOOSE( CONTROL!$C$37, 11.2918, 11.2907) * CHOOSE(CONTROL!$C$20, $D$12, 100%, $F$12)</f>
        <v>11.2918</v>
      </c>
      <c r="G330" s="7">
        <f>CHOOSE( CONTROL!$C$37, 10.5291, 10.528) * CHOOSE( CONTROL!$C$20, $D$12, 100%, $F$12)</f>
        <v>10.5291</v>
      </c>
      <c r="H330" s="4">
        <f>CHOOSE( CONTROL!$C$37, 11.4081, 11.407) * CHOOSE(CONTROL!$C$20, $D$12, 100%, $F$12)</f>
        <v>11.408099999999999</v>
      </c>
      <c r="I330" s="7">
        <f>CHOOSE( CONTROL!$C$37, 10.476, 10.475) * CHOOSE(CONTROL!$C$20, $D$12, 100%, $F$12)</f>
        <v>10.476000000000001</v>
      </c>
      <c r="J330" s="4">
        <f>CHOOSE( CONTROL!$C$37, 10.3186, 10.3176) * CHOOSE(CONTROL!$C$20, $D$12, 100%, $F$12)</f>
        <v>10.3186</v>
      </c>
      <c r="K330" s="4"/>
      <c r="L330" s="8">
        <v>29.306000000000001</v>
      </c>
      <c r="M330" s="8">
        <v>12.063700000000001</v>
      </c>
      <c r="N330" s="8">
        <v>4.9444999999999997</v>
      </c>
      <c r="O330" s="8">
        <v>0.37409999999999999</v>
      </c>
      <c r="P330" s="8">
        <v>1.2927</v>
      </c>
      <c r="Q330" s="8">
        <v>30.3217</v>
      </c>
      <c r="R330" s="8"/>
    </row>
    <row r="331" spans="1:18" ht="14.25" customHeight="1">
      <c r="A331" s="11">
        <v>51194</v>
      </c>
      <c r="B331" s="7">
        <f>CHOOSE( CONTROL!$C$37, 9.9504, 9.9493) * CHOOSE(CONTROL!$C$20, $D$12, 100%, $F$12)</f>
        <v>9.9504000000000001</v>
      </c>
      <c r="C331" s="7">
        <f>CHOOSE( CONTROL!$C$37, 9.9555, 9.9544) * CHOOSE(CONTROL!$C$20, $D$12, 100%, $F$12)</f>
        <v>9.9555000000000007</v>
      </c>
      <c r="D331" s="7">
        <f>CHOOSE( CONTROL!$C$37, 9.9485, 9.9474) * CHOOSE( CONTROL!$C$20, $D$12, 100%, $F$12)</f>
        <v>9.9484999999999992</v>
      </c>
      <c r="E331" s="10">
        <f>CHOOSE( CONTROL!$C$37, 9.9505, 9.9494) * CHOOSE( CONTROL!$C$20, $D$12, 100%, $F$12)</f>
        <v>9.9504999999999999</v>
      </c>
      <c r="F331" s="4">
        <f>CHOOSE( CONTROL!$C$37, 10.6029, 10.6018) * CHOOSE(CONTROL!$C$20, $D$12, 100%, $F$12)</f>
        <v>10.6029</v>
      </c>
      <c r="G331" s="7">
        <f>CHOOSE( CONTROL!$C$37, 9.8498, 9.8487) * CHOOSE( CONTROL!$C$20, $D$12, 100%, $F$12)</f>
        <v>9.8498000000000001</v>
      </c>
      <c r="H331" s="4">
        <f>CHOOSE( CONTROL!$C$37, 10.7289, 10.7278) * CHOOSE(CONTROL!$C$20, $D$12, 100%, $F$12)</f>
        <v>10.728899999999999</v>
      </c>
      <c r="I331" s="7">
        <f>CHOOSE( CONTROL!$C$37, 9.8084, 9.8074) * CHOOSE(CONTROL!$C$20, $D$12, 100%, $F$12)</f>
        <v>9.8084000000000007</v>
      </c>
      <c r="J331" s="4">
        <f>CHOOSE( CONTROL!$C$37, 9.6516, 9.6506) * CHOOSE(CONTROL!$C$20, $D$12, 100%, $F$12)</f>
        <v>9.6516000000000002</v>
      </c>
      <c r="K331" s="4"/>
      <c r="L331" s="8">
        <v>27.415299999999998</v>
      </c>
      <c r="M331" s="8">
        <v>11.285299999999999</v>
      </c>
      <c r="N331" s="8">
        <v>4.6254999999999997</v>
      </c>
      <c r="O331" s="8">
        <v>0.34989999999999999</v>
      </c>
      <c r="P331" s="8">
        <v>1.2093</v>
      </c>
      <c r="Q331" s="8">
        <v>28.365500000000001</v>
      </c>
      <c r="R331" s="8"/>
    </row>
    <row r="332" spans="1:18" ht="14.25" customHeight="1">
      <c r="A332" s="11">
        <v>51226</v>
      </c>
      <c r="B332" s="7">
        <f>CHOOSE( CONTROL!$C$37, 9.7382, 9.7371) * CHOOSE(CONTROL!$C$20, $D$12, 100%, $F$12)</f>
        <v>9.7382000000000009</v>
      </c>
      <c r="C332" s="7">
        <f>CHOOSE( CONTROL!$C$37, 9.7433, 9.7422) * CHOOSE(CONTROL!$C$20, $D$12, 100%, $F$12)</f>
        <v>9.7432999999999996</v>
      </c>
      <c r="D332" s="7">
        <f>CHOOSE( CONTROL!$C$37, 9.7357, 9.7346) * CHOOSE( CONTROL!$C$20, $D$12, 100%, $F$12)</f>
        <v>9.7356999999999996</v>
      </c>
      <c r="E332" s="10">
        <f>CHOOSE( CONTROL!$C$37, 9.7379, 9.7368) * CHOOSE( CONTROL!$C$20, $D$12, 100%, $F$12)</f>
        <v>9.7378999999999998</v>
      </c>
      <c r="F332" s="4">
        <f>CHOOSE( CONTROL!$C$37, 10.3908, 10.3897) * CHOOSE(CONTROL!$C$20, $D$12, 100%, $F$12)</f>
        <v>10.3908</v>
      </c>
      <c r="G332" s="7">
        <f>CHOOSE( CONTROL!$C$37, 9.6402, 9.6391) * CHOOSE( CONTROL!$C$20, $D$12, 100%, $F$12)</f>
        <v>9.6402000000000001</v>
      </c>
      <c r="H332" s="4">
        <f>CHOOSE( CONTROL!$C$37, 10.5197, 10.5186) * CHOOSE(CONTROL!$C$20, $D$12, 100%, $F$12)</f>
        <v>10.5197</v>
      </c>
      <c r="I332" s="7">
        <f>CHOOSE( CONTROL!$C$37, 9.6009, 9.5999) * CHOOSE(CONTROL!$C$20, $D$12, 100%, $F$12)</f>
        <v>9.6008999999999993</v>
      </c>
      <c r="J332" s="4">
        <f>CHOOSE( CONTROL!$C$37, 9.4462, 9.4451) * CHOOSE(CONTROL!$C$20, $D$12, 100%, $F$12)</f>
        <v>9.4461999999999993</v>
      </c>
      <c r="K332" s="4"/>
      <c r="L332" s="8">
        <v>29.306000000000001</v>
      </c>
      <c r="M332" s="8">
        <v>12.063700000000001</v>
      </c>
      <c r="N332" s="8">
        <v>4.9444999999999997</v>
      </c>
      <c r="O332" s="8">
        <v>0.37409999999999999</v>
      </c>
      <c r="P332" s="8">
        <v>1.2927</v>
      </c>
      <c r="Q332" s="8">
        <v>30.3217</v>
      </c>
      <c r="R332" s="8"/>
    </row>
    <row r="333" spans="1:18" ht="14.25" customHeight="1">
      <c r="A333" s="11">
        <v>51256</v>
      </c>
      <c r="B333" s="7">
        <f>CHOOSE( CONTROL!$C$37, 9.8873, 9.8862) * CHOOSE(CONTROL!$C$20, $D$12, 100%, $F$12)</f>
        <v>9.8872999999999998</v>
      </c>
      <c r="C333" s="7">
        <f>CHOOSE( CONTROL!$C$37, 9.8918, 9.8907) * CHOOSE(CONTROL!$C$20, $D$12, 100%, $F$12)</f>
        <v>9.8917999999999999</v>
      </c>
      <c r="D333" s="7">
        <f>CHOOSE( CONTROL!$C$37, 9.9036, 9.9025) * CHOOSE( CONTROL!$C$20, $D$12, 100%, $F$12)</f>
        <v>9.9036000000000008</v>
      </c>
      <c r="E333" s="10">
        <f>CHOOSE( CONTROL!$C$37, 9.8992, 9.8981) * CHOOSE( CONTROL!$C$20, $D$12, 100%, $F$12)</f>
        <v>9.8992000000000004</v>
      </c>
      <c r="F333" s="4">
        <f>CHOOSE( CONTROL!$C$37, 10.6139, 10.6128) * CHOOSE(CONTROL!$C$20, $D$12, 100%, $F$12)</f>
        <v>10.613899999999999</v>
      </c>
      <c r="G333" s="7">
        <f>CHOOSE( CONTROL!$C$37, 9.7946, 9.7935) * CHOOSE( CONTROL!$C$20, $D$12, 100%, $F$12)</f>
        <v>9.7946000000000009</v>
      </c>
      <c r="H333" s="4">
        <f>CHOOSE( CONTROL!$C$37, 10.7397, 10.7386) * CHOOSE(CONTROL!$C$20, $D$12, 100%, $F$12)</f>
        <v>10.739699999999999</v>
      </c>
      <c r="I333" s="7">
        <f>CHOOSE( CONTROL!$C$37, 9.7171, 9.7161) * CHOOSE(CONTROL!$C$20, $D$12, 100%, $F$12)</f>
        <v>9.7171000000000003</v>
      </c>
      <c r="J333" s="4">
        <f>CHOOSE( CONTROL!$C$37, 9.5897, 9.5887) * CHOOSE(CONTROL!$C$20, $D$12, 100%, $F$12)</f>
        <v>9.5897000000000006</v>
      </c>
      <c r="K333" s="4"/>
      <c r="L333" s="8">
        <v>30.092199999999998</v>
      </c>
      <c r="M333" s="8">
        <v>11.6745</v>
      </c>
      <c r="N333" s="8">
        <v>4.7850000000000001</v>
      </c>
      <c r="O333" s="8">
        <v>0.36199999999999999</v>
      </c>
      <c r="P333" s="8">
        <v>1.2509999999999999</v>
      </c>
      <c r="Q333" s="8">
        <v>29.343599999999999</v>
      </c>
      <c r="R333" s="8"/>
    </row>
    <row r="334" spans="1:18" ht="14.25" customHeight="1">
      <c r="A334" s="11">
        <v>51287</v>
      </c>
      <c r="B334" s="7">
        <f>CHOOSE( CONTROL!$C$37, 10.1531, 10.1514) * CHOOSE(CONTROL!$C$20, $D$12, 100%, $F$12)</f>
        <v>10.1531</v>
      </c>
      <c r="C334" s="7">
        <f>CHOOSE( CONTROL!$C$37, 10.1611, 10.1594) * CHOOSE(CONTROL!$C$20, $D$12, 100%, $F$12)</f>
        <v>10.161099999999999</v>
      </c>
      <c r="D334" s="7">
        <f>CHOOSE( CONTROL!$C$37, 10.1667, 10.165) * CHOOSE( CONTROL!$C$20, $D$12, 100%, $F$12)</f>
        <v>10.166700000000001</v>
      </c>
      <c r="E334" s="10">
        <f>CHOOSE( CONTROL!$C$37, 10.1635, 10.1618) * CHOOSE( CONTROL!$C$20, $D$12, 100%, $F$12)</f>
        <v>10.163500000000001</v>
      </c>
      <c r="F334" s="4">
        <f>CHOOSE( CONTROL!$C$37, 10.8783, 10.8767) * CHOOSE(CONTROL!$C$20, $D$12, 100%, $F$12)</f>
        <v>10.878299999999999</v>
      </c>
      <c r="G334" s="7">
        <f>CHOOSE( CONTROL!$C$37, 10.0553, 10.0537) * CHOOSE( CONTROL!$C$20, $D$12, 100%, $F$12)</f>
        <v>10.055300000000001</v>
      </c>
      <c r="H334" s="4">
        <f>CHOOSE( CONTROL!$C$37, 11.0004, 10.9988) * CHOOSE(CONTROL!$C$20, $D$12, 100%, $F$12)</f>
        <v>11.000400000000001</v>
      </c>
      <c r="I334" s="7">
        <f>CHOOSE( CONTROL!$C$37, 9.973, 9.9714) * CHOOSE(CONTROL!$C$20, $D$12, 100%, $F$12)</f>
        <v>9.9730000000000008</v>
      </c>
      <c r="J334" s="4">
        <f>CHOOSE( CONTROL!$C$37, 9.8458, 9.8442) * CHOOSE(CONTROL!$C$20, $D$12, 100%, $F$12)</f>
        <v>9.8458000000000006</v>
      </c>
      <c r="K334" s="4"/>
      <c r="L334" s="8">
        <v>30.7165</v>
      </c>
      <c r="M334" s="8">
        <v>12.063700000000001</v>
      </c>
      <c r="N334" s="8">
        <v>4.9444999999999997</v>
      </c>
      <c r="O334" s="8">
        <v>0.37409999999999999</v>
      </c>
      <c r="P334" s="8">
        <v>1.2927</v>
      </c>
      <c r="Q334" s="8">
        <v>30.3217</v>
      </c>
      <c r="R334" s="8"/>
    </row>
    <row r="335" spans="1:18" ht="14.25" customHeight="1">
      <c r="A335" s="11">
        <v>51317</v>
      </c>
      <c r="B335" s="7">
        <f>CHOOSE( CONTROL!$C$37, 9.9896, 9.9879) * CHOOSE(CONTROL!$C$20, $D$12, 100%, $F$12)</f>
        <v>9.9895999999999994</v>
      </c>
      <c r="C335" s="7">
        <f>CHOOSE( CONTROL!$C$37, 9.9976, 9.9959) * CHOOSE(CONTROL!$C$20, $D$12, 100%, $F$12)</f>
        <v>9.9976000000000003</v>
      </c>
      <c r="D335" s="7">
        <f>CHOOSE( CONTROL!$C$37, 10.0035, 10.0019) * CHOOSE( CONTROL!$C$20, $D$12, 100%, $F$12)</f>
        <v>10.003500000000001</v>
      </c>
      <c r="E335" s="10">
        <f>CHOOSE( CONTROL!$C$37, 10.0001, 9.9985) * CHOOSE( CONTROL!$C$20, $D$12, 100%, $F$12)</f>
        <v>10.0001</v>
      </c>
      <c r="F335" s="4">
        <f>CHOOSE( CONTROL!$C$37, 10.7149, 10.7132) * CHOOSE(CONTROL!$C$20, $D$12, 100%, $F$12)</f>
        <v>10.7149</v>
      </c>
      <c r="G335" s="7">
        <f>CHOOSE( CONTROL!$C$37, 9.8944, 9.8927) * CHOOSE( CONTROL!$C$20, $D$12, 100%, $F$12)</f>
        <v>9.8943999999999992</v>
      </c>
      <c r="H335" s="4">
        <f>CHOOSE( CONTROL!$C$37, 10.8392, 10.8376) * CHOOSE(CONTROL!$C$20, $D$12, 100%, $F$12)</f>
        <v>10.8392</v>
      </c>
      <c r="I335" s="7">
        <f>CHOOSE( CONTROL!$C$37, 9.8156, 9.814) * CHOOSE(CONTROL!$C$20, $D$12, 100%, $F$12)</f>
        <v>9.8155999999999999</v>
      </c>
      <c r="J335" s="4">
        <f>CHOOSE( CONTROL!$C$37, 9.6875, 9.6859) * CHOOSE(CONTROL!$C$20, $D$12, 100%, $F$12)</f>
        <v>9.6875</v>
      </c>
      <c r="K335" s="4"/>
      <c r="L335" s="8">
        <v>29.7257</v>
      </c>
      <c r="M335" s="8">
        <v>11.6745</v>
      </c>
      <c r="N335" s="8">
        <v>4.7850000000000001</v>
      </c>
      <c r="O335" s="8">
        <v>0.36199999999999999</v>
      </c>
      <c r="P335" s="8">
        <v>1.2509999999999999</v>
      </c>
      <c r="Q335" s="8">
        <v>29.343599999999999</v>
      </c>
      <c r="R335" s="8"/>
    </row>
    <row r="336" spans="1:18" ht="14.25" customHeight="1">
      <c r="A336" s="11">
        <v>51348</v>
      </c>
      <c r="B336" s="7">
        <f>CHOOSE( CONTROL!$C$37, 10.42, 10.4184) * CHOOSE(CONTROL!$C$20, $D$12, 100%, $F$12)</f>
        <v>10.42</v>
      </c>
      <c r="C336" s="7">
        <f>CHOOSE( CONTROL!$C$37, 10.428, 10.4264) * CHOOSE(CONTROL!$C$20, $D$12, 100%, $F$12)</f>
        <v>10.428000000000001</v>
      </c>
      <c r="D336" s="7">
        <f>CHOOSE( CONTROL!$C$37, 10.4343, 10.4326) * CHOOSE( CONTROL!$C$20, $D$12, 100%, $F$12)</f>
        <v>10.4343</v>
      </c>
      <c r="E336" s="10">
        <f>CHOOSE( CONTROL!$C$37, 10.4308, 10.4291) * CHOOSE( CONTROL!$C$20, $D$12, 100%, $F$12)</f>
        <v>10.4308</v>
      </c>
      <c r="F336" s="4">
        <f>CHOOSE( CONTROL!$C$37, 11.1453, 11.1437) * CHOOSE(CONTROL!$C$20, $D$12, 100%, $F$12)</f>
        <v>11.145300000000001</v>
      </c>
      <c r="G336" s="7">
        <f>CHOOSE( CONTROL!$C$37, 10.319, 10.3174) * CHOOSE( CONTROL!$C$20, $D$12, 100%, $F$12)</f>
        <v>10.319000000000001</v>
      </c>
      <c r="H336" s="4">
        <f>CHOOSE( CONTROL!$C$37, 11.2637, 11.262) * CHOOSE(CONTROL!$C$20, $D$12, 100%, $F$12)</f>
        <v>11.2637</v>
      </c>
      <c r="I336" s="7">
        <f>CHOOSE( CONTROL!$C$37, 10.2337, 10.2321) * CHOOSE(CONTROL!$C$20, $D$12, 100%, $F$12)</f>
        <v>10.233700000000001</v>
      </c>
      <c r="J336" s="4">
        <f>CHOOSE( CONTROL!$C$37, 10.1043, 10.1027) * CHOOSE(CONTROL!$C$20, $D$12, 100%, $F$12)</f>
        <v>10.1043</v>
      </c>
      <c r="K336" s="4"/>
      <c r="L336" s="8">
        <v>30.7165</v>
      </c>
      <c r="M336" s="8">
        <v>12.063700000000001</v>
      </c>
      <c r="N336" s="8">
        <v>4.9444999999999997</v>
      </c>
      <c r="O336" s="8">
        <v>0.37409999999999999</v>
      </c>
      <c r="P336" s="8">
        <v>1.2927</v>
      </c>
      <c r="Q336" s="8">
        <v>30.3217</v>
      </c>
      <c r="R336" s="8"/>
    </row>
    <row r="337" spans="1:18" ht="14.25" customHeight="1">
      <c r="A337" s="11">
        <v>51379</v>
      </c>
      <c r="B337" s="7">
        <f>CHOOSE( CONTROL!$C$37, 9.6146, 9.613) * CHOOSE(CONTROL!$C$20, $D$12, 100%, $F$12)</f>
        <v>9.6145999999999994</v>
      </c>
      <c r="C337" s="7">
        <f>CHOOSE( CONTROL!$C$37, 9.6226, 9.621) * CHOOSE(CONTROL!$C$20, $D$12, 100%, $F$12)</f>
        <v>9.6226000000000003</v>
      </c>
      <c r="D337" s="7">
        <f>CHOOSE( CONTROL!$C$37, 9.629, 9.6273) * CHOOSE( CONTROL!$C$20, $D$12, 100%, $F$12)</f>
        <v>9.6289999999999996</v>
      </c>
      <c r="E337" s="10">
        <f>CHOOSE( CONTROL!$C$37, 9.6255, 9.6238) * CHOOSE( CONTROL!$C$20, $D$12, 100%, $F$12)</f>
        <v>9.6255000000000006</v>
      </c>
      <c r="F337" s="4">
        <f>CHOOSE( CONTROL!$C$37, 10.3399, 10.3383) * CHOOSE(CONTROL!$C$20, $D$12, 100%, $F$12)</f>
        <v>10.3399</v>
      </c>
      <c r="G337" s="7">
        <f>CHOOSE( CONTROL!$C$37, 9.5249, 9.5233) * CHOOSE( CONTROL!$C$20, $D$12, 100%, $F$12)</f>
        <v>9.5249000000000006</v>
      </c>
      <c r="H337" s="4">
        <f>CHOOSE( CONTROL!$C$37, 10.4695, 10.4679) * CHOOSE(CONTROL!$C$20, $D$12, 100%, $F$12)</f>
        <v>10.4695</v>
      </c>
      <c r="I337" s="7">
        <f>CHOOSE( CONTROL!$C$37, 9.4537, 9.4521) * CHOOSE(CONTROL!$C$20, $D$12, 100%, $F$12)</f>
        <v>9.4536999999999995</v>
      </c>
      <c r="J337" s="4">
        <f>CHOOSE( CONTROL!$C$37, 9.3245, 9.3229) * CHOOSE(CONTROL!$C$20, $D$12, 100%, $F$12)</f>
        <v>9.3245000000000005</v>
      </c>
      <c r="K337" s="4"/>
      <c r="L337" s="8">
        <v>30.7165</v>
      </c>
      <c r="M337" s="8">
        <v>12.063700000000001</v>
      </c>
      <c r="N337" s="8">
        <v>4.9444999999999997</v>
      </c>
      <c r="O337" s="8">
        <v>0.37409999999999999</v>
      </c>
      <c r="P337" s="8">
        <v>1.2927</v>
      </c>
      <c r="Q337" s="8">
        <v>30.3217</v>
      </c>
      <c r="R337" s="8"/>
    </row>
    <row r="338" spans="1:18" ht="14.25" customHeight="1">
      <c r="A338" s="11">
        <v>51409</v>
      </c>
      <c r="B338" s="7">
        <f>CHOOSE( CONTROL!$C$37, 9.413, 9.4113) * CHOOSE(CONTROL!$C$20, $D$12, 100%, $F$12)</f>
        <v>9.4130000000000003</v>
      </c>
      <c r="C338" s="7">
        <f>CHOOSE( CONTROL!$C$37, 9.421, 9.4193) * CHOOSE(CONTROL!$C$20, $D$12, 100%, $F$12)</f>
        <v>9.4209999999999994</v>
      </c>
      <c r="D338" s="7">
        <f>CHOOSE( CONTROL!$C$37, 9.4272, 9.4255) * CHOOSE( CONTROL!$C$20, $D$12, 100%, $F$12)</f>
        <v>9.4271999999999991</v>
      </c>
      <c r="E338" s="10">
        <f>CHOOSE( CONTROL!$C$37, 9.4237, 9.422) * CHOOSE( CONTROL!$C$20, $D$12, 100%, $F$12)</f>
        <v>9.4237000000000002</v>
      </c>
      <c r="F338" s="4">
        <f>CHOOSE( CONTROL!$C$37, 10.1383, 10.1366) * CHOOSE(CONTROL!$C$20, $D$12, 100%, $F$12)</f>
        <v>10.138299999999999</v>
      </c>
      <c r="G338" s="7">
        <f>CHOOSE( CONTROL!$C$37, 9.326, 9.3244) * CHOOSE( CONTROL!$C$20, $D$12, 100%, $F$12)</f>
        <v>9.3260000000000005</v>
      </c>
      <c r="H338" s="4">
        <f>CHOOSE( CONTROL!$C$37, 10.2707, 10.269) * CHOOSE(CONTROL!$C$20, $D$12, 100%, $F$12)</f>
        <v>10.2707</v>
      </c>
      <c r="I338" s="7">
        <f>CHOOSE( CONTROL!$C$37, 9.258, 9.2563) * CHOOSE(CONTROL!$C$20, $D$12, 100%, $F$12)</f>
        <v>9.2579999999999991</v>
      </c>
      <c r="J338" s="4">
        <f>CHOOSE( CONTROL!$C$37, 9.1292, 9.1276) * CHOOSE(CONTROL!$C$20, $D$12, 100%, $F$12)</f>
        <v>9.1292000000000009</v>
      </c>
      <c r="K338" s="4"/>
      <c r="L338" s="8">
        <v>29.7257</v>
      </c>
      <c r="M338" s="8">
        <v>11.6745</v>
      </c>
      <c r="N338" s="8">
        <v>4.7850000000000001</v>
      </c>
      <c r="O338" s="8">
        <v>0.36199999999999999</v>
      </c>
      <c r="P338" s="8">
        <v>1.2509999999999999</v>
      </c>
      <c r="Q338" s="8">
        <v>29.343599999999999</v>
      </c>
      <c r="R338" s="8"/>
    </row>
    <row r="339" spans="1:18" ht="14.25" customHeight="1">
      <c r="A339" s="11">
        <v>51440</v>
      </c>
      <c r="B339" s="7">
        <f>CHOOSE( CONTROL!$C$37, 9.8294, 9.8283) * CHOOSE(CONTROL!$C$20, $D$12, 100%, $F$12)</f>
        <v>9.8293999999999997</v>
      </c>
      <c r="C339" s="7">
        <f>CHOOSE( CONTROL!$C$37, 9.8348, 9.8337) * CHOOSE(CONTROL!$C$20, $D$12, 100%, $F$12)</f>
        <v>9.8347999999999995</v>
      </c>
      <c r="D339" s="7">
        <f>CHOOSE( CONTROL!$C$37, 9.8468, 9.8457) * CHOOSE( CONTROL!$C$20, $D$12, 100%, $F$12)</f>
        <v>9.8468</v>
      </c>
      <c r="E339" s="10">
        <f>CHOOSE( CONTROL!$C$37, 9.8423, 9.8412) * CHOOSE( CONTROL!$C$20, $D$12, 100%, $F$12)</f>
        <v>9.8422999999999998</v>
      </c>
      <c r="F339" s="4">
        <f>CHOOSE( CONTROL!$C$37, 10.5564, 10.5553) * CHOOSE(CONTROL!$C$20, $D$12, 100%, $F$12)</f>
        <v>10.5564</v>
      </c>
      <c r="G339" s="7">
        <f>CHOOSE( CONTROL!$C$37, 9.7385, 9.7374) * CHOOSE( CONTROL!$C$20, $D$12, 100%, $F$12)</f>
        <v>9.7385000000000002</v>
      </c>
      <c r="H339" s="4">
        <f>CHOOSE( CONTROL!$C$37, 10.683, 10.6819) * CHOOSE(CONTROL!$C$20, $D$12, 100%, $F$12)</f>
        <v>10.683</v>
      </c>
      <c r="I339" s="7">
        <f>CHOOSE( CONTROL!$C$37, 9.6637, 9.6627) * CHOOSE(CONTROL!$C$20, $D$12, 100%, $F$12)</f>
        <v>9.6637000000000004</v>
      </c>
      <c r="J339" s="4">
        <f>CHOOSE( CONTROL!$C$37, 9.5341, 9.533) * CHOOSE(CONTROL!$C$20, $D$12, 100%, $F$12)</f>
        <v>9.5341000000000005</v>
      </c>
      <c r="K339" s="4"/>
      <c r="L339" s="8">
        <v>31.095300000000002</v>
      </c>
      <c r="M339" s="8">
        <v>12.063700000000001</v>
      </c>
      <c r="N339" s="8">
        <v>4.9444999999999997</v>
      </c>
      <c r="O339" s="8">
        <v>0.37409999999999999</v>
      </c>
      <c r="P339" s="8">
        <v>1.2927</v>
      </c>
      <c r="Q339" s="8">
        <v>30.3217</v>
      </c>
      <c r="R339" s="8"/>
    </row>
    <row r="340" spans="1:18" ht="14.25" customHeight="1">
      <c r="A340" s="11">
        <v>51470</v>
      </c>
      <c r="B340" s="7">
        <f>CHOOSE( CONTROL!$C$37, 10.6019, 10.6009) * CHOOSE(CONTROL!$C$20, $D$12, 100%, $F$12)</f>
        <v>10.601900000000001</v>
      </c>
      <c r="C340" s="7">
        <f>CHOOSE( CONTROL!$C$37, 10.607, 10.606) * CHOOSE(CONTROL!$C$20, $D$12, 100%, $F$12)</f>
        <v>10.606999999999999</v>
      </c>
      <c r="D340" s="7">
        <f>CHOOSE( CONTROL!$C$37, 10.5855, 10.5844) * CHOOSE( CONTROL!$C$20, $D$12, 100%, $F$12)</f>
        <v>10.5855</v>
      </c>
      <c r="E340" s="10">
        <f>CHOOSE( CONTROL!$C$37, 10.5928, 10.5918) * CHOOSE( CONTROL!$C$20, $D$12, 100%, $F$12)</f>
        <v>10.5928</v>
      </c>
      <c r="F340" s="4">
        <f>CHOOSE( CONTROL!$C$37, 11.2545, 11.2534) * CHOOSE(CONTROL!$C$20, $D$12, 100%, $F$12)</f>
        <v>11.2545</v>
      </c>
      <c r="G340" s="7">
        <f>CHOOSE( CONTROL!$C$37, 10.4867, 10.4856) * CHOOSE( CONTROL!$C$20, $D$12, 100%, $F$12)</f>
        <v>10.486700000000001</v>
      </c>
      <c r="H340" s="4">
        <f>CHOOSE( CONTROL!$C$37, 11.3713, 11.3703) * CHOOSE(CONTROL!$C$20, $D$12, 100%, $F$12)</f>
        <v>11.3713</v>
      </c>
      <c r="I340" s="7">
        <f>CHOOSE( CONTROL!$C$37, 10.4637, 10.4627) * CHOOSE(CONTROL!$C$20, $D$12, 100%, $F$12)</f>
        <v>10.463699999999999</v>
      </c>
      <c r="J340" s="4">
        <f>CHOOSE( CONTROL!$C$37, 10.2825, 10.2815) * CHOOSE(CONTROL!$C$20, $D$12, 100%, $F$12)</f>
        <v>10.282500000000001</v>
      </c>
      <c r="K340" s="4"/>
      <c r="L340" s="8">
        <v>28.360600000000002</v>
      </c>
      <c r="M340" s="8">
        <v>11.6745</v>
      </c>
      <c r="N340" s="8">
        <v>4.7850000000000001</v>
      </c>
      <c r="O340" s="8">
        <v>0.36199999999999999</v>
      </c>
      <c r="P340" s="8">
        <v>1.2509999999999999</v>
      </c>
      <c r="Q340" s="8">
        <v>29.343599999999999</v>
      </c>
      <c r="R340" s="8"/>
    </row>
    <row r="341" spans="1:18" ht="14.25" customHeight="1">
      <c r="A341" s="11">
        <v>51501</v>
      </c>
      <c r="B341" s="7">
        <f>CHOOSE( CONTROL!$C$37, 10.5826, 10.5816) * CHOOSE(CONTROL!$C$20, $D$12, 100%, $F$12)</f>
        <v>10.582599999999999</v>
      </c>
      <c r="C341" s="7">
        <f>CHOOSE( CONTROL!$C$37, 10.5877, 10.5867) * CHOOSE(CONTROL!$C$20, $D$12, 100%, $F$12)</f>
        <v>10.5877</v>
      </c>
      <c r="D341" s="7">
        <f>CHOOSE( CONTROL!$C$37, 10.5678, 10.5667) * CHOOSE( CONTROL!$C$20, $D$12, 100%, $F$12)</f>
        <v>10.5678</v>
      </c>
      <c r="E341" s="10">
        <f>CHOOSE( CONTROL!$C$37, 10.5745, 10.5735) * CHOOSE( CONTROL!$C$20, $D$12, 100%, $F$12)</f>
        <v>10.5745</v>
      </c>
      <c r="F341" s="4">
        <f>CHOOSE( CONTROL!$C$37, 11.2352, 11.2341) * CHOOSE(CONTROL!$C$20, $D$12, 100%, $F$12)</f>
        <v>11.235200000000001</v>
      </c>
      <c r="G341" s="7">
        <f>CHOOSE( CONTROL!$C$37, 10.4688, 10.4677) * CHOOSE( CONTROL!$C$20, $D$12, 100%, $F$12)</f>
        <v>10.4688</v>
      </c>
      <c r="H341" s="4">
        <f>CHOOSE( CONTROL!$C$37, 11.3523, 11.3512) * CHOOSE(CONTROL!$C$20, $D$12, 100%, $F$12)</f>
        <v>11.3523</v>
      </c>
      <c r="I341" s="7">
        <f>CHOOSE( CONTROL!$C$37, 10.4499, 10.4488) * CHOOSE(CONTROL!$C$20, $D$12, 100%, $F$12)</f>
        <v>10.4499</v>
      </c>
      <c r="J341" s="4">
        <f>CHOOSE( CONTROL!$C$37, 10.2638, 10.2628) * CHOOSE(CONTROL!$C$20, $D$12, 100%, $F$12)</f>
        <v>10.2638</v>
      </c>
      <c r="K341" s="4"/>
      <c r="L341" s="8">
        <v>29.306000000000001</v>
      </c>
      <c r="M341" s="8">
        <v>12.063700000000001</v>
      </c>
      <c r="N341" s="8">
        <v>4.9444999999999997</v>
      </c>
      <c r="O341" s="8">
        <v>0.37409999999999999</v>
      </c>
      <c r="P341" s="8">
        <v>1.2927</v>
      </c>
      <c r="Q341" s="8">
        <v>30.3217</v>
      </c>
      <c r="R341" s="8"/>
    </row>
    <row r="342" spans="1:18" ht="14.25" customHeight="1">
      <c r="A342" s="11">
        <v>51532</v>
      </c>
      <c r="B342" s="7">
        <f>CHOOSE( CONTROL!$C$37, 10.8953, 10.8942) * CHOOSE(CONTROL!$C$20, $D$12, 100%, $F$12)</f>
        <v>10.895300000000001</v>
      </c>
      <c r="C342" s="7">
        <f>CHOOSE( CONTROL!$C$37, 10.9004, 10.8993) * CHOOSE(CONTROL!$C$20, $D$12, 100%, $F$12)</f>
        <v>10.900399999999999</v>
      </c>
      <c r="D342" s="7">
        <f>CHOOSE( CONTROL!$C$37, 10.8935, 10.8924) * CHOOSE( CONTROL!$C$20, $D$12, 100%, $F$12)</f>
        <v>10.8935</v>
      </c>
      <c r="E342" s="10">
        <f>CHOOSE( CONTROL!$C$37, 10.8955, 10.8944) * CHOOSE( CONTROL!$C$20, $D$12, 100%, $F$12)</f>
        <v>10.8955</v>
      </c>
      <c r="F342" s="4">
        <f>CHOOSE( CONTROL!$C$37, 11.5478, 11.5467) * CHOOSE(CONTROL!$C$20, $D$12, 100%, $F$12)</f>
        <v>11.547800000000001</v>
      </c>
      <c r="G342" s="7">
        <f>CHOOSE( CONTROL!$C$37, 10.7816, 10.7805) * CHOOSE( CONTROL!$C$20, $D$12, 100%, $F$12)</f>
        <v>10.781599999999999</v>
      </c>
      <c r="H342" s="4">
        <f>CHOOSE( CONTROL!$C$37, 11.6605, 11.6595) * CHOOSE(CONTROL!$C$20, $D$12, 100%, $F$12)</f>
        <v>11.660500000000001</v>
      </c>
      <c r="I342" s="7">
        <f>CHOOSE( CONTROL!$C$37, 10.724, 10.723) * CHOOSE(CONTROL!$C$20, $D$12, 100%, $F$12)</f>
        <v>10.724</v>
      </c>
      <c r="J342" s="4">
        <f>CHOOSE( CONTROL!$C$37, 10.5665, 10.5655) * CHOOSE(CONTROL!$C$20, $D$12, 100%, $F$12)</f>
        <v>10.5665</v>
      </c>
      <c r="K342" s="4"/>
      <c r="L342" s="8">
        <v>29.306000000000001</v>
      </c>
      <c r="M342" s="8">
        <v>12.063700000000001</v>
      </c>
      <c r="N342" s="8">
        <v>4.9444999999999997</v>
      </c>
      <c r="O342" s="8">
        <v>0.37409999999999999</v>
      </c>
      <c r="P342" s="8">
        <v>1.2927</v>
      </c>
      <c r="Q342" s="8">
        <v>30.258500000000002</v>
      </c>
      <c r="R342" s="8"/>
    </row>
    <row r="343" spans="1:18" ht="14.25" customHeight="1">
      <c r="A343" s="11">
        <v>51560</v>
      </c>
      <c r="B343" s="7">
        <f>CHOOSE( CONTROL!$C$37, 10.1899, 10.1888) * CHOOSE(CONTROL!$C$20, $D$12, 100%, $F$12)</f>
        <v>10.1899</v>
      </c>
      <c r="C343" s="7">
        <f>CHOOSE( CONTROL!$C$37, 10.195, 10.1939) * CHOOSE(CONTROL!$C$20, $D$12, 100%, $F$12)</f>
        <v>10.195</v>
      </c>
      <c r="D343" s="7">
        <f>CHOOSE( CONTROL!$C$37, 10.188, 10.1869) * CHOOSE( CONTROL!$C$20, $D$12, 100%, $F$12)</f>
        <v>10.188000000000001</v>
      </c>
      <c r="E343" s="10">
        <f>CHOOSE( CONTROL!$C$37, 10.19, 10.1889) * CHOOSE( CONTROL!$C$20, $D$12, 100%, $F$12)</f>
        <v>10.19</v>
      </c>
      <c r="F343" s="4">
        <f>CHOOSE( CONTROL!$C$37, 10.8424, 10.8413) * CHOOSE(CONTROL!$C$20, $D$12, 100%, $F$12)</f>
        <v>10.8424</v>
      </c>
      <c r="G343" s="7">
        <f>CHOOSE( CONTROL!$C$37, 10.0859, 10.0849) * CHOOSE( CONTROL!$C$20, $D$12, 100%, $F$12)</f>
        <v>10.085900000000001</v>
      </c>
      <c r="H343" s="4">
        <f>CHOOSE( CONTROL!$C$37, 10.965, 10.9639) * CHOOSE(CONTROL!$C$20, $D$12, 100%, $F$12)</f>
        <v>10.965</v>
      </c>
      <c r="I343" s="7">
        <f>CHOOSE( CONTROL!$C$37, 10.0404, 10.0393) * CHOOSE(CONTROL!$C$20, $D$12, 100%, $F$12)</f>
        <v>10.0404</v>
      </c>
      <c r="J343" s="4">
        <f>CHOOSE( CONTROL!$C$37, 9.8835, 9.8825) * CHOOSE(CONTROL!$C$20, $D$12, 100%, $F$12)</f>
        <v>9.8834999999999997</v>
      </c>
      <c r="K343" s="4"/>
      <c r="L343" s="8">
        <v>26.469899999999999</v>
      </c>
      <c r="M343" s="8">
        <v>10.8962</v>
      </c>
      <c r="N343" s="8">
        <v>4.4660000000000002</v>
      </c>
      <c r="O343" s="8">
        <v>0.33789999999999998</v>
      </c>
      <c r="P343" s="8">
        <v>1.1676</v>
      </c>
      <c r="Q343" s="8">
        <v>27.330200000000001</v>
      </c>
      <c r="R343" s="8"/>
    </row>
    <row r="344" spans="1:18" ht="14.25" customHeight="1">
      <c r="A344" s="11">
        <v>51591</v>
      </c>
      <c r="B344" s="7">
        <f>CHOOSE( CONTROL!$C$37, 9.9726, 9.9715) * CHOOSE(CONTROL!$C$20, $D$12, 100%, $F$12)</f>
        <v>9.9725999999999999</v>
      </c>
      <c r="C344" s="7">
        <f>CHOOSE( CONTROL!$C$37, 9.9777, 9.9766) * CHOOSE(CONTROL!$C$20, $D$12, 100%, $F$12)</f>
        <v>9.9777000000000005</v>
      </c>
      <c r="D344" s="7">
        <f>CHOOSE( CONTROL!$C$37, 9.9701, 9.969) * CHOOSE( CONTROL!$C$20, $D$12, 100%, $F$12)</f>
        <v>9.9701000000000004</v>
      </c>
      <c r="E344" s="10">
        <f>CHOOSE( CONTROL!$C$37, 9.9723, 9.9712) * CHOOSE( CONTROL!$C$20, $D$12, 100%, $F$12)</f>
        <v>9.9723000000000006</v>
      </c>
      <c r="F344" s="4">
        <f>CHOOSE( CONTROL!$C$37, 10.6251, 10.6241) * CHOOSE(CONTROL!$C$20, $D$12, 100%, $F$12)</f>
        <v>10.6251</v>
      </c>
      <c r="G344" s="7">
        <f>CHOOSE( CONTROL!$C$37, 9.8713, 9.8702) * CHOOSE( CONTROL!$C$20, $D$12, 100%, $F$12)</f>
        <v>9.8712999999999997</v>
      </c>
      <c r="H344" s="4">
        <f>CHOOSE( CONTROL!$C$37, 10.7508, 10.7497) * CHOOSE(CONTROL!$C$20, $D$12, 100%, $F$12)</f>
        <v>10.7508</v>
      </c>
      <c r="I344" s="7">
        <f>CHOOSE( CONTROL!$C$37, 9.828, 9.8269) * CHOOSE(CONTROL!$C$20, $D$12, 100%, $F$12)</f>
        <v>9.8279999999999994</v>
      </c>
      <c r="J344" s="4">
        <f>CHOOSE( CONTROL!$C$37, 9.6731, 9.6721) * CHOOSE(CONTROL!$C$20, $D$12, 100%, $F$12)</f>
        <v>9.6730999999999998</v>
      </c>
      <c r="K344" s="4"/>
      <c r="L344" s="8">
        <v>29.306000000000001</v>
      </c>
      <c r="M344" s="8">
        <v>12.063700000000001</v>
      </c>
      <c r="N344" s="8">
        <v>4.9444999999999997</v>
      </c>
      <c r="O344" s="8">
        <v>0.37409999999999999</v>
      </c>
      <c r="P344" s="8">
        <v>1.2927</v>
      </c>
      <c r="Q344" s="8">
        <v>30.258500000000002</v>
      </c>
      <c r="R344" s="8"/>
    </row>
    <row r="345" spans="1:18" ht="14.25" customHeight="1">
      <c r="A345" s="11">
        <v>51621</v>
      </c>
      <c r="B345" s="7">
        <f>CHOOSE( CONTROL!$C$37, 10.1252, 10.1241) * CHOOSE(CONTROL!$C$20, $D$12, 100%, $F$12)</f>
        <v>10.1252</v>
      </c>
      <c r="C345" s="7">
        <f>CHOOSE( CONTROL!$C$37, 10.1297, 10.1286) * CHOOSE(CONTROL!$C$20, $D$12, 100%, $F$12)</f>
        <v>10.1297</v>
      </c>
      <c r="D345" s="7">
        <f>CHOOSE( CONTROL!$C$37, 10.1415, 10.1405) * CHOOSE( CONTROL!$C$20, $D$12, 100%, $F$12)</f>
        <v>10.141500000000001</v>
      </c>
      <c r="E345" s="10">
        <f>CHOOSE( CONTROL!$C$37, 10.1371, 10.1361) * CHOOSE( CONTROL!$C$20, $D$12, 100%, $F$12)</f>
        <v>10.1371</v>
      </c>
      <c r="F345" s="4">
        <f>CHOOSE( CONTROL!$C$37, 10.8518, 10.8507) * CHOOSE(CONTROL!$C$20, $D$12, 100%, $F$12)</f>
        <v>10.851800000000001</v>
      </c>
      <c r="G345" s="7">
        <f>CHOOSE( CONTROL!$C$37, 10.0292, 10.0281) * CHOOSE( CONTROL!$C$20, $D$12, 100%, $F$12)</f>
        <v>10.029199999999999</v>
      </c>
      <c r="H345" s="4">
        <f>CHOOSE( CONTROL!$C$37, 10.9743, 10.9732) * CHOOSE(CONTROL!$C$20, $D$12, 100%, $F$12)</f>
        <v>10.974299999999999</v>
      </c>
      <c r="I345" s="7">
        <f>CHOOSE( CONTROL!$C$37, 9.9476, 9.9466) * CHOOSE(CONTROL!$C$20, $D$12, 100%, $F$12)</f>
        <v>9.9475999999999996</v>
      </c>
      <c r="J345" s="4">
        <f>CHOOSE( CONTROL!$C$37, 9.8201, 9.8191) * CHOOSE(CONTROL!$C$20, $D$12, 100%, $F$12)</f>
        <v>9.8201000000000001</v>
      </c>
      <c r="K345" s="4"/>
      <c r="L345" s="8">
        <v>30.092199999999998</v>
      </c>
      <c r="M345" s="8">
        <v>11.6745</v>
      </c>
      <c r="N345" s="8">
        <v>4.7850000000000001</v>
      </c>
      <c r="O345" s="8">
        <v>0.36199999999999999</v>
      </c>
      <c r="P345" s="8">
        <v>1.2509999999999999</v>
      </c>
      <c r="Q345" s="8">
        <v>29.282399999999999</v>
      </c>
      <c r="R345" s="8"/>
    </row>
    <row r="346" spans="1:18" ht="14.25" customHeight="1">
      <c r="A346" s="11">
        <v>51652</v>
      </c>
      <c r="B346" s="7">
        <f>CHOOSE( CONTROL!$C$37, 10.3973, 10.3957) * CHOOSE(CONTROL!$C$20, $D$12, 100%, $F$12)</f>
        <v>10.3973</v>
      </c>
      <c r="C346" s="7">
        <f>CHOOSE( CONTROL!$C$37, 10.4053, 10.4037) * CHOOSE(CONTROL!$C$20, $D$12, 100%, $F$12)</f>
        <v>10.4053</v>
      </c>
      <c r="D346" s="7">
        <f>CHOOSE( CONTROL!$C$37, 10.411, 10.4093) * CHOOSE( CONTROL!$C$20, $D$12, 100%, $F$12)</f>
        <v>10.411</v>
      </c>
      <c r="E346" s="10">
        <f>CHOOSE( CONTROL!$C$37, 10.4077, 10.4061) * CHOOSE( CONTROL!$C$20, $D$12, 100%, $F$12)</f>
        <v>10.4077</v>
      </c>
      <c r="F346" s="4">
        <f>CHOOSE( CONTROL!$C$37, 11.1226, 11.121) * CHOOSE(CONTROL!$C$20, $D$12, 100%, $F$12)</f>
        <v>11.1226</v>
      </c>
      <c r="G346" s="7">
        <f>CHOOSE( CONTROL!$C$37, 10.2962, 10.2945) * CHOOSE( CONTROL!$C$20, $D$12, 100%, $F$12)</f>
        <v>10.296200000000001</v>
      </c>
      <c r="H346" s="4">
        <f>CHOOSE( CONTROL!$C$37, 11.2413, 11.2396) * CHOOSE(CONTROL!$C$20, $D$12, 100%, $F$12)</f>
        <v>11.241300000000001</v>
      </c>
      <c r="I346" s="7">
        <f>CHOOSE( CONTROL!$C$37, 10.2097, 10.2081) * CHOOSE(CONTROL!$C$20, $D$12, 100%, $F$12)</f>
        <v>10.2097</v>
      </c>
      <c r="J346" s="4">
        <f>CHOOSE( CONTROL!$C$37, 10.0823, 10.0807) * CHOOSE(CONTROL!$C$20, $D$12, 100%, $F$12)</f>
        <v>10.0823</v>
      </c>
      <c r="K346" s="4"/>
      <c r="L346" s="8">
        <v>30.7165</v>
      </c>
      <c r="M346" s="8">
        <v>12.063700000000001</v>
      </c>
      <c r="N346" s="8">
        <v>4.9444999999999997</v>
      </c>
      <c r="O346" s="8">
        <v>0.37409999999999999</v>
      </c>
      <c r="P346" s="8">
        <v>1.2927</v>
      </c>
      <c r="Q346" s="8">
        <v>30.258500000000002</v>
      </c>
      <c r="R346" s="8"/>
    </row>
    <row r="347" spans="1:18" ht="14.25" customHeight="1">
      <c r="A347" s="11">
        <v>51682</v>
      </c>
      <c r="B347" s="7">
        <f>CHOOSE( CONTROL!$C$37, 10.2299, 10.2283) * CHOOSE(CONTROL!$C$20, $D$12, 100%, $F$12)</f>
        <v>10.229900000000001</v>
      </c>
      <c r="C347" s="7">
        <f>CHOOSE( CONTROL!$C$37, 10.2379, 10.2363) * CHOOSE(CONTROL!$C$20, $D$12, 100%, $F$12)</f>
        <v>10.2379</v>
      </c>
      <c r="D347" s="7">
        <f>CHOOSE( CONTROL!$C$37, 10.2439, 10.2422) * CHOOSE( CONTROL!$C$20, $D$12, 100%, $F$12)</f>
        <v>10.2439</v>
      </c>
      <c r="E347" s="10">
        <f>CHOOSE( CONTROL!$C$37, 10.2405, 10.2388) * CHOOSE( CONTROL!$C$20, $D$12, 100%, $F$12)</f>
        <v>10.240500000000001</v>
      </c>
      <c r="F347" s="4">
        <f>CHOOSE( CONTROL!$C$37, 10.9552, 10.9536) * CHOOSE(CONTROL!$C$20, $D$12, 100%, $F$12)</f>
        <v>10.9552</v>
      </c>
      <c r="G347" s="7">
        <f>CHOOSE( CONTROL!$C$37, 10.1314, 10.1297) * CHOOSE( CONTROL!$C$20, $D$12, 100%, $F$12)</f>
        <v>10.131399999999999</v>
      </c>
      <c r="H347" s="4">
        <f>CHOOSE( CONTROL!$C$37, 11.0762, 11.0746) * CHOOSE(CONTROL!$C$20, $D$12, 100%, $F$12)</f>
        <v>11.0762</v>
      </c>
      <c r="I347" s="7">
        <f>CHOOSE( CONTROL!$C$37, 10.0485, 10.0469) * CHOOSE(CONTROL!$C$20, $D$12, 100%, $F$12)</f>
        <v>10.048500000000001</v>
      </c>
      <c r="J347" s="4">
        <f>CHOOSE( CONTROL!$C$37, 9.9203, 9.9186) * CHOOSE(CONTROL!$C$20, $D$12, 100%, $F$12)</f>
        <v>9.9202999999999992</v>
      </c>
      <c r="K347" s="4"/>
      <c r="L347" s="8">
        <v>29.7257</v>
      </c>
      <c r="M347" s="8">
        <v>11.6745</v>
      </c>
      <c r="N347" s="8">
        <v>4.7850000000000001</v>
      </c>
      <c r="O347" s="8">
        <v>0.36199999999999999</v>
      </c>
      <c r="P347" s="8">
        <v>1.2509999999999999</v>
      </c>
      <c r="Q347" s="8">
        <v>29.282399999999999</v>
      </c>
      <c r="R347" s="8"/>
    </row>
    <row r="348" spans="1:18" ht="14.25" customHeight="1">
      <c r="A348" s="11">
        <v>51713</v>
      </c>
      <c r="B348" s="7">
        <f>CHOOSE( CONTROL!$C$37, 10.6707, 10.6691) * CHOOSE(CONTROL!$C$20, $D$12, 100%, $F$12)</f>
        <v>10.6707</v>
      </c>
      <c r="C348" s="7">
        <f>CHOOSE( CONTROL!$C$37, 10.6787, 10.6771) * CHOOSE(CONTROL!$C$20, $D$12, 100%, $F$12)</f>
        <v>10.678699999999999</v>
      </c>
      <c r="D348" s="7">
        <f>CHOOSE( CONTROL!$C$37, 10.6849, 10.6833) * CHOOSE( CONTROL!$C$20, $D$12, 100%, $F$12)</f>
        <v>10.684900000000001</v>
      </c>
      <c r="E348" s="10">
        <f>CHOOSE( CONTROL!$C$37, 10.6814, 10.6798) * CHOOSE( CONTROL!$C$20, $D$12, 100%, $F$12)</f>
        <v>10.6814</v>
      </c>
      <c r="F348" s="4">
        <f>CHOOSE( CONTROL!$C$37, 11.396, 11.3943) * CHOOSE(CONTROL!$C$20, $D$12, 100%, $F$12)</f>
        <v>11.396000000000001</v>
      </c>
      <c r="G348" s="7">
        <f>CHOOSE( CONTROL!$C$37, 10.5662, 10.5646) * CHOOSE( CONTROL!$C$20, $D$12, 100%, $F$12)</f>
        <v>10.5662</v>
      </c>
      <c r="H348" s="4">
        <f>CHOOSE( CONTROL!$C$37, 11.5109, 11.5092) * CHOOSE(CONTROL!$C$20, $D$12, 100%, $F$12)</f>
        <v>11.510899999999999</v>
      </c>
      <c r="I348" s="7">
        <f>CHOOSE( CONTROL!$C$37, 10.4765, 10.4749) * CHOOSE(CONTROL!$C$20, $D$12, 100%, $F$12)</f>
        <v>10.4765</v>
      </c>
      <c r="J348" s="4">
        <f>CHOOSE( CONTROL!$C$37, 10.3471, 10.3454) * CHOOSE(CONTROL!$C$20, $D$12, 100%, $F$12)</f>
        <v>10.347099999999999</v>
      </c>
      <c r="K348" s="4"/>
      <c r="L348" s="8">
        <v>30.7165</v>
      </c>
      <c r="M348" s="8">
        <v>12.063700000000001</v>
      </c>
      <c r="N348" s="8">
        <v>4.9444999999999997</v>
      </c>
      <c r="O348" s="8">
        <v>0.37409999999999999</v>
      </c>
      <c r="P348" s="8">
        <v>1.2927</v>
      </c>
      <c r="Q348" s="8">
        <v>30.258500000000002</v>
      </c>
      <c r="R348" s="8"/>
    </row>
    <row r="349" spans="1:18" ht="14.25" customHeight="1">
      <c r="A349" s="11">
        <v>51744</v>
      </c>
      <c r="B349" s="7">
        <f>CHOOSE( CONTROL!$C$37, 9.846, 9.8443) * CHOOSE(CONTROL!$C$20, $D$12, 100%, $F$12)</f>
        <v>9.8460000000000001</v>
      </c>
      <c r="C349" s="7">
        <f>CHOOSE( CONTROL!$C$37, 9.854, 9.8523) * CHOOSE(CONTROL!$C$20, $D$12, 100%, $F$12)</f>
        <v>9.8539999999999992</v>
      </c>
      <c r="D349" s="7">
        <f>CHOOSE( CONTROL!$C$37, 9.8603, 9.8586) * CHOOSE( CONTROL!$C$20, $D$12, 100%, $F$12)</f>
        <v>9.8603000000000005</v>
      </c>
      <c r="E349" s="10">
        <f>CHOOSE( CONTROL!$C$37, 9.8568, 9.8551) * CHOOSE( CONTROL!$C$20, $D$12, 100%, $F$12)</f>
        <v>9.8567999999999998</v>
      </c>
      <c r="F349" s="4">
        <f>CHOOSE( CONTROL!$C$37, 10.5713, 10.5696) * CHOOSE(CONTROL!$C$20, $D$12, 100%, $F$12)</f>
        <v>10.571300000000001</v>
      </c>
      <c r="G349" s="7">
        <f>CHOOSE( CONTROL!$C$37, 9.7531, 9.7514) * CHOOSE( CONTROL!$C$20, $D$12, 100%, $F$12)</f>
        <v>9.7530999999999999</v>
      </c>
      <c r="H349" s="4">
        <f>CHOOSE( CONTROL!$C$37, 10.6976, 10.696) * CHOOSE(CONTROL!$C$20, $D$12, 100%, $F$12)</f>
        <v>10.6976</v>
      </c>
      <c r="I349" s="7">
        <f>CHOOSE( CONTROL!$C$37, 9.6778, 9.6762) * CHOOSE(CONTROL!$C$20, $D$12, 100%, $F$12)</f>
        <v>9.6777999999999995</v>
      </c>
      <c r="J349" s="4">
        <f>CHOOSE( CONTROL!$C$37, 9.5485, 9.5469) * CHOOSE(CONTROL!$C$20, $D$12, 100%, $F$12)</f>
        <v>9.5485000000000007</v>
      </c>
      <c r="K349" s="4"/>
      <c r="L349" s="8">
        <v>30.7165</v>
      </c>
      <c r="M349" s="8">
        <v>12.063700000000001</v>
      </c>
      <c r="N349" s="8">
        <v>4.9444999999999997</v>
      </c>
      <c r="O349" s="8">
        <v>0.37409999999999999</v>
      </c>
      <c r="P349" s="8">
        <v>1.2927</v>
      </c>
      <c r="Q349" s="8">
        <v>30.258500000000002</v>
      </c>
      <c r="R349" s="8"/>
    </row>
    <row r="350" spans="1:18" ht="14.25" customHeight="1">
      <c r="A350" s="11">
        <v>51774</v>
      </c>
      <c r="B350" s="7">
        <f>CHOOSE( CONTROL!$C$37, 9.6395, 9.6378) * CHOOSE(CONTROL!$C$20, $D$12, 100%, $F$12)</f>
        <v>9.6395</v>
      </c>
      <c r="C350" s="7">
        <f>CHOOSE( CONTROL!$C$37, 9.6475, 9.6458) * CHOOSE(CONTROL!$C$20, $D$12, 100%, $F$12)</f>
        <v>9.6475000000000009</v>
      </c>
      <c r="D350" s="7">
        <f>CHOOSE( CONTROL!$C$37, 9.6537, 9.652) * CHOOSE( CONTROL!$C$20, $D$12, 100%, $F$12)</f>
        <v>9.6537000000000006</v>
      </c>
      <c r="E350" s="10">
        <f>CHOOSE( CONTROL!$C$37, 9.6502, 9.6485) * CHOOSE( CONTROL!$C$20, $D$12, 100%, $F$12)</f>
        <v>9.6501999999999999</v>
      </c>
      <c r="F350" s="4">
        <f>CHOOSE( CONTROL!$C$37, 10.3647, 10.3631) * CHOOSE(CONTROL!$C$20, $D$12, 100%, $F$12)</f>
        <v>10.364699999999999</v>
      </c>
      <c r="G350" s="7">
        <f>CHOOSE( CONTROL!$C$37, 9.5493, 9.5477) * CHOOSE( CONTROL!$C$20, $D$12, 100%, $F$12)</f>
        <v>9.5493000000000006</v>
      </c>
      <c r="H350" s="4">
        <f>CHOOSE( CONTROL!$C$37, 10.494, 10.4924) * CHOOSE(CONTROL!$C$20, $D$12, 100%, $F$12)</f>
        <v>10.494</v>
      </c>
      <c r="I350" s="7">
        <f>CHOOSE( CONTROL!$C$37, 9.4774, 9.4758) * CHOOSE(CONTROL!$C$20, $D$12, 100%, $F$12)</f>
        <v>9.4773999999999994</v>
      </c>
      <c r="J350" s="4">
        <f>CHOOSE( CONTROL!$C$37, 9.3485, 9.3469) * CHOOSE(CONTROL!$C$20, $D$12, 100%, $F$12)</f>
        <v>9.3484999999999996</v>
      </c>
      <c r="K350" s="4"/>
      <c r="L350" s="8">
        <v>29.7257</v>
      </c>
      <c r="M350" s="8">
        <v>11.6745</v>
      </c>
      <c r="N350" s="8">
        <v>4.7850000000000001</v>
      </c>
      <c r="O350" s="8">
        <v>0.36199999999999999</v>
      </c>
      <c r="P350" s="8">
        <v>1.2509999999999999</v>
      </c>
      <c r="Q350" s="8">
        <v>29.282399999999999</v>
      </c>
      <c r="R350" s="8"/>
    </row>
    <row r="351" spans="1:18" ht="14.25" customHeight="1">
      <c r="A351" s="11">
        <v>51805</v>
      </c>
      <c r="B351" s="7">
        <f>CHOOSE( CONTROL!$C$37, 10.066, 10.0649) * CHOOSE(CONTROL!$C$20, $D$12, 100%, $F$12)</f>
        <v>10.066000000000001</v>
      </c>
      <c r="C351" s="7">
        <f>CHOOSE( CONTROL!$C$37, 10.0713, 10.0702) * CHOOSE(CONTROL!$C$20, $D$12, 100%, $F$12)</f>
        <v>10.071300000000001</v>
      </c>
      <c r="D351" s="7">
        <f>CHOOSE( CONTROL!$C$37, 10.0833, 10.0823) * CHOOSE( CONTROL!$C$20, $D$12, 100%, $F$12)</f>
        <v>10.083299999999999</v>
      </c>
      <c r="E351" s="10">
        <f>CHOOSE( CONTROL!$C$37, 10.0788, 10.0777) * CHOOSE( CONTROL!$C$20, $D$12, 100%, $F$12)</f>
        <v>10.078799999999999</v>
      </c>
      <c r="F351" s="4">
        <f>CHOOSE( CONTROL!$C$37, 10.793, 10.7919) * CHOOSE(CONTROL!$C$20, $D$12, 100%, $F$12)</f>
        <v>10.792999999999999</v>
      </c>
      <c r="G351" s="7">
        <f>CHOOSE( CONTROL!$C$37, 9.9717, 9.9706) * CHOOSE( CONTROL!$C$20, $D$12, 100%, $F$12)</f>
        <v>9.9717000000000002</v>
      </c>
      <c r="H351" s="4">
        <f>CHOOSE( CONTROL!$C$37, 10.9163, 10.9152) * CHOOSE(CONTROL!$C$20, $D$12, 100%, $F$12)</f>
        <v>10.9163</v>
      </c>
      <c r="I351" s="7">
        <f>CHOOSE( CONTROL!$C$37, 9.8929, 9.8919) * CHOOSE(CONTROL!$C$20, $D$12, 100%, $F$12)</f>
        <v>9.8928999999999991</v>
      </c>
      <c r="J351" s="4">
        <f>CHOOSE( CONTROL!$C$37, 9.7632, 9.7621) * CHOOSE(CONTROL!$C$20, $D$12, 100%, $F$12)</f>
        <v>9.7631999999999994</v>
      </c>
      <c r="K351" s="4"/>
      <c r="L351" s="8">
        <v>31.095300000000002</v>
      </c>
      <c r="M351" s="8">
        <v>12.063700000000001</v>
      </c>
      <c r="N351" s="8">
        <v>4.9444999999999997</v>
      </c>
      <c r="O351" s="8">
        <v>0.37409999999999999</v>
      </c>
      <c r="P351" s="8">
        <v>1.2927</v>
      </c>
      <c r="Q351" s="8">
        <v>30.258500000000002</v>
      </c>
      <c r="R351" s="8"/>
    </row>
    <row r="352" spans="1:18" ht="14.25" customHeight="1">
      <c r="A352" s="11">
        <v>51835</v>
      </c>
      <c r="B352" s="7">
        <f>CHOOSE( CONTROL!$C$37, 10.8571, 10.856) * CHOOSE(CONTROL!$C$20, $D$12, 100%, $F$12)</f>
        <v>10.857100000000001</v>
      </c>
      <c r="C352" s="7">
        <f>CHOOSE( CONTROL!$C$37, 10.8622, 10.8611) * CHOOSE(CONTROL!$C$20, $D$12, 100%, $F$12)</f>
        <v>10.8622</v>
      </c>
      <c r="D352" s="7">
        <f>CHOOSE( CONTROL!$C$37, 10.8406, 10.8395) * CHOOSE( CONTROL!$C$20, $D$12, 100%, $F$12)</f>
        <v>10.8406</v>
      </c>
      <c r="E352" s="10">
        <f>CHOOSE( CONTROL!$C$37, 10.848, 10.8469) * CHOOSE( CONTROL!$C$20, $D$12, 100%, $F$12)</f>
        <v>10.848000000000001</v>
      </c>
      <c r="F352" s="4">
        <f>CHOOSE( CONTROL!$C$37, 11.5096, 11.5085) * CHOOSE(CONTROL!$C$20, $D$12, 100%, $F$12)</f>
        <v>11.509600000000001</v>
      </c>
      <c r="G352" s="7">
        <f>CHOOSE( CONTROL!$C$37, 10.7383, 10.7372) * CHOOSE( CONTROL!$C$20, $D$12, 100%, $F$12)</f>
        <v>10.738300000000001</v>
      </c>
      <c r="H352" s="4">
        <f>CHOOSE( CONTROL!$C$37, 11.6229, 11.6218) * CHOOSE(CONTROL!$C$20, $D$12, 100%, $F$12)</f>
        <v>11.6229</v>
      </c>
      <c r="I352" s="7">
        <f>CHOOSE( CONTROL!$C$37, 10.7109, 10.7098) * CHOOSE(CONTROL!$C$20, $D$12, 100%, $F$12)</f>
        <v>10.710900000000001</v>
      </c>
      <c r="J352" s="4">
        <f>CHOOSE( CONTROL!$C$37, 10.5296, 10.5285) * CHOOSE(CONTROL!$C$20, $D$12, 100%, $F$12)</f>
        <v>10.5296</v>
      </c>
      <c r="K352" s="4"/>
      <c r="L352" s="8">
        <v>28.360600000000002</v>
      </c>
      <c r="M352" s="8">
        <v>11.6745</v>
      </c>
      <c r="N352" s="8">
        <v>4.7850000000000001</v>
      </c>
      <c r="O352" s="8">
        <v>0.36199999999999999</v>
      </c>
      <c r="P352" s="8">
        <v>1.2509999999999999</v>
      </c>
      <c r="Q352" s="8">
        <v>29.282399999999999</v>
      </c>
      <c r="R352" s="8"/>
    </row>
    <row r="353" spans="1:18" ht="14.25" customHeight="1">
      <c r="A353" s="11">
        <v>51866</v>
      </c>
      <c r="B353" s="7">
        <f>CHOOSE( CONTROL!$C$37, 10.8373, 10.8362) * CHOOSE(CONTROL!$C$20, $D$12, 100%, $F$12)</f>
        <v>10.837300000000001</v>
      </c>
      <c r="C353" s="7">
        <f>CHOOSE( CONTROL!$C$37, 10.8424, 10.8413) * CHOOSE(CONTROL!$C$20, $D$12, 100%, $F$12)</f>
        <v>10.8424</v>
      </c>
      <c r="D353" s="7">
        <f>CHOOSE( CONTROL!$C$37, 10.8224, 10.8213) * CHOOSE( CONTROL!$C$20, $D$12, 100%, $F$12)</f>
        <v>10.8224</v>
      </c>
      <c r="E353" s="10">
        <f>CHOOSE( CONTROL!$C$37, 10.8292, 10.8281) * CHOOSE( CONTROL!$C$20, $D$12, 100%, $F$12)</f>
        <v>10.8292</v>
      </c>
      <c r="F353" s="4">
        <f>CHOOSE( CONTROL!$C$37, 11.4898, 11.4888) * CHOOSE(CONTROL!$C$20, $D$12, 100%, $F$12)</f>
        <v>11.489800000000001</v>
      </c>
      <c r="G353" s="7">
        <f>CHOOSE( CONTROL!$C$37, 10.7199, 10.7188) * CHOOSE( CONTROL!$C$20, $D$12, 100%, $F$12)</f>
        <v>10.719900000000001</v>
      </c>
      <c r="H353" s="4">
        <f>CHOOSE( CONTROL!$C$37, 11.6034, 11.6023) * CHOOSE(CONTROL!$C$20, $D$12, 100%, $F$12)</f>
        <v>11.603400000000001</v>
      </c>
      <c r="I353" s="7">
        <f>CHOOSE( CONTROL!$C$37, 10.6966, 10.6955) * CHOOSE(CONTROL!$C$20, $D$12, 100%, $F$12)</f>
        <v>10.6966</v>
      </c>
      <c r="J353" s="4">
        <f>CHOOSE( CONTROL!$C$37, 10.5104, 10.5094) * CHOOSE(CONTROL!$C$20, $D$12, 100%, $F$12)</f>
        <v>10.510400000000001</v>
      </c>
      <c r="K353" s="4"/>
      <c r="L353" s="8">
        <v>29.306000000000001</v>
      </c>
      <c r="M353" s="8">
        <v>12.063700000000001</v>
      </c>
      <c r="N353" s="8">
        <v>4.9444999999999997</v>
      </c>
      <c r="O353" s="8">
        <v>0.37409999999999999</v>
      </c>
      <c r="P353" s="8">
        <v>1.2927</v>
      </c>
      <c r="Q353" s="8">
        <v>30.258500000000002</v>
      </c>
      <c r="R353" s="8"/>
    </row>
    <row r="354" spans="1:18" ht="14.25" customHeight="1">
      <c r="A354" s="11">
        <v>51897</v>
      </c>
      <c r="B354" s="7">
        <f>CHOOSE( CONTROL!$C$37, 11.1574, 11.1564) * CHOOSE(CONTROL!$C$20, $D$12, 100%, $F$12)</f>
        <v>11.157400000000001</v>
      </c>
      <c r="C354" s="7">
        <f>CHOOSE( CONTROL!$C$37, 11.1625, 11.1615) * CHOOSE(CONTROL!$C$20, $D$12, 100%, $F$12)</f>
        <v>11.1625</v>
      </c>
      <c r="D354" s="7">
        <f>CHOOSE( CONTROL!$C$37, 11.1556, 11.1546) * CHOOSE( CONTROL!$C$20, $D$12, 100%, $F$12)</f>
        <v>11.1556</v>
      </c>
      <c r="E354" s="10">
        <f>CHOOSE( CONTROL!$C$37, 11.1576, 11.1566) * CHOOSE( CONTROL!$C$20, $D$12, 100%, $F$12)</f>
        <v>11.1576</v>
      </c>
      <c r="F354" s="4">
        <f>CHOOSE( CONTROL!$C$37, 11.81, 11.8089) * CHOOSE(CONTROL!$C$20, $D$12, 100%, $F$12)</f>
        <v>11.81</v>
      </c>
      <c r="G354" s="7">
        <f>CHOOSE( CONTROL!$C$37, 11.0401, 11.039) * CHOOSE( CONTROL!$C$20, $D$12, 100%, $F$12)</f>
        <v>11.040100000000001</v>
      </c>
      <c r="H354" s="4">
        <f>CHOOSE( CONTROL!$C$37, 11.9191, 11.918) * CHOOSE(CONTROL!$C$20, $D$12, 100%, $F$12)</f>
        <v>11.9191</v>
      </c>
      <c r="I354" s="7">
        <f>CHOOSE( CONTROL!$C$37, 10.978, 10.977) * CHOOSE(CONTROL!$C$20, $D$12, 100%, $F$12)</f>
        <v>10.978</v>
      </c>
      <c r="J354" s="4">
        <f>CHOOSE( CONTROL!$C$37, 10.8204, 10.8194) * CHOOSE(CONTROL!$C$20, $D$12, 100%, $F$12)</f>
        <v>10.820399999999999</v>
      </c>
      <c r="K354" s="4"/>
      <c r="L354" s="8">
        <v>29.306000000000001</v>
      </c>
      <c r="M354" s="8">
        <v>12.063700000000001</v>
      </c>
      <c r="N354" s="8">
        <v>4.9444999999999997</v>
      </c>
      <c r="O354" s="8">
        <v>0.37409999999999999</v>
      </c>
      <c r="P354" s="8">
        <v>1.2927</v>
      </c>
      <c r="Q354" s="8">
        <v>20.593900000000001</v>
      </c>
      <c r="R354" s="8"/>
    </row>
    <row r="355" spans="1:18" ht="14.25" customHeight="1">
      <c r="A355" s="11">
        <v>51925</v>
      </c>
      <c r="B355" s="7">
        <f>CHOOSE( CONTROL!$C$37, 10.4351, 10.434) * CHOOSE(CONTROL!$C$20, $D$12, 100%, $F$12)</f>
        <v>10.4351</v>
      </c>
      <c r="C355" s="7">
        <f>CHOOSE( CONTROL!$C$37, 10.4402, 10.4391) * CHOOSE(CONTROL!$C$20, $D$12, 100%, $F$12)</f>
        <v>10.440200000000001</v>
      </c>
      <c r="D355" s="7">
        <f>CHOOSE( CONTROL!$C$37, 10.4332, 10.4321) * CHOOSE( CONTROL!$C$20, $D$12, 100%, $F$12)</f>
        <v>10.433199999999999</v>
      </c>
      <c r="E355" s="10">
        <f>CHOOSE( CONTROL!$C$37, 10.4352, 10.4341) * CHOOSE( CONTROL!$C$20, $D$12, 100%, $F$12)</f>
        <v>10.4352</v>
      </c>
      <c r="F355" s="4">
        <f>CHOOSE( CONTROL!$C$37, 11.0876, 11.0865) * CHOOSE(CONTROL!$C$20, $D$12, 100%, $F$12)</f>
        <v>11.0876</v>
      </c>
      <c r="G355" s="7">
        <f>CHOOSE( CONTROL!$C$37, 10.3278, 10.3267) * CHOOSE( CONTROL!$C$20, $D$12, 100%, $F$12)</f>
        <v>10.3278</v>
      </c>
      <c r="H355" s="4">
        <f>CHOOSE( CONTROL!$C$37, 11.2068, 11.2057) * CHOOSE(CONTROL!$C$20, $D$12, 100%, $F$12)</f>
        <v>11.206799999999999</v>
      </c>
      <c r="I355" s="7">
        <f>CHOOSE( CONTROL!$C$37, 10.278, 10.2769) * CHOOSE(CONTROL!$C$20, $D$12, 100%, $F$12)</f>
        <v>10.278</v>
      </c>
      <c r="J355" s="4">
        <f>CHOOSE( CONTROL!$C$37, 10.121, 10.1199) * CHOOSE(CONTROL!$C$20, $D$12, 100%, $F$12)</f>
        <v>10.121</v>
      </c>
      <c r="K355" s="4"/>
      <c r="L355" s="8">
        <v>26.469899999999999</v>
      </c>
      <c r="M355" s="8">
        <v>10.8962</v>
      </c>
      <c r="N355" s="8">
        <v>4.4660000000000002</v>
      </c>
      <c r="O355" s="8">
        <v>0.33789999999999998</v>
      </c>
      <c r="P355" s="8">
        <v>1.1676</v>
      </c>
      <c r="Q355" s="8">
        <v>18.600999999999999</v>
      </c>
      <c r="R355" s="8"/>
    </row>
    <row r="356" spans="1:18" ht="14.25" customHeight="1">
      <c r="A356" s="11">
        <v>51956</v>
      </c>
      <c r="B356" s="7">
        <f>CHOOSE( CONTROL!$C$37, 10.2126, 10.2115) * CHOOSE(CONTROL!$C$20, $D$12, 100%, $F$12)</f>
        <v>10.2126</v>
      </c>
      <c r="C356" s="7">
        <f>CHOOSE( CONTROL!$C$37, 10.2177, 10.2166) * CHOOSE(CONTROL!$C$20, $D$12, 100%, $F$12)</f>
        <v>10.217700000000001</v>
      </c>
      <c r="D356" s="7">
        <f>CHOOSE( CONTROL!$C$37, 10.2101, 10.209) * CHOOSE( CONTROL!$C$20, $D$12, 100%, $F$12)</f>
        <v>10.210100000000001</v>
      </c>
      <c r="E356" s="10">
        <f>CHOOSE( CONTROL!$C$37, 10.2123, 10.2112) * CHOOSE( CONTROL!$C$20, $D$12, 100%, $F$12)</f>
        <v>10.212300000000001</v>
      </c>
      <c r="F356" s="4">
        <f>CHOOSE( CONTROL!$C$37, 10.8651, 10.8641) * CHOOSE(CONTROL!$C$20, $D$12, 100%, $F$12)</f>
        <v>10.8651</v>
      </c>
      <c r="G356" s="7">
        <f>CHOOSE( CONTROL!$C$37, 10.1079, 10.1069) * CHOOSE( CONTROL!$C$20, $D$12, 100%, $F$12)</f>
        <v>10.107900000000001</v>
      </c>
      <c r="H356" s="4">
        <f>CHOOSE( CONTROL!$C$37, 10.9874, 10.9863) * CHOOSE(CONTROL!$C$20, $D$12, 100%, $F$12)</f>
        <v>10.987399999999999</v>
      </c>
      <c r="I356" s="7">
        <f>CHOOSE( CONTROL!$C$37, 10.0605, 10.0594) * CHOOSE(CONTROL!$C$20, $D$12, 100%, $F$12)</f>
        <v>10.060499999999999</v>
      </c>
      <c r="J356" s="4">
        <f>CHOOSE( CONTROL!$C$37, 9.9055, 9.9045) * CHOOSE(CONTROL!$C$20, $D$12, 100%, $F$12)</f>
        <v>9.9055</v>
      </c>
      <c r="K356" s="4"/>
      <c r="L356" s="8">
        <v>29.306000000000001</v>
      </c>
      <c r="M356" s="8">
        <v>12.063700000000001</v>
      </c>
      <c r="N356" s="8">
        <v>4.9444999999999997</v>
      </c>
      <c r="O356" s="8">
        <v>0.37409999999999999</v>
      </c>
      <c r="P356" s="8">
        <v>1.2927</v>
      </c>
      <c r="Q356" s="8">
        <v>20.593900000000001</v>
      </c>
      <c r="R356" s="8"/>
    </row>
    <row r="357" spans="1:18" ht="14.25" customHeight="1">
      <c r="A357" s="11">
        <v>51986</v>
      </c>
      <c r="B357" s="7">
        <f>CHOOSE( CONTROL!$C$37, 10.3688, 10.3678) * CHOOSE(CONTROL!$C$20, $D$12, 100%, $F$12)</f>
        <v>10.3688</v>
      </c>
      <c r="C357" s="7">
        <f>CHOOSE( CONTROL!$C$37, 10.3734, 10.3723) * CHOOSE(CONTROL!$C$20, $D$12, 100%, $F$12)</f>
        <v>10.3734</v>
      </c>
      <c r="D357" s="7">
        <f>CHOOSE( CONTROL!$C$37, 10.3852, 10.3841) * CHOOSE( CONTROL!$C$20, $D$12, 100%, $F$12)</f>
        <v>10.385199999999999</v>
      </c>
      <c r="E357" s="10">
        <f>CHOOSE( CONTROL!$C$37, 10.3808, 10.3797) * CHOOSE( CONTROL!$C$20, $D$12, 100%, $F$12)</f>
        <v>10.380800000000001</v>
      </c>
      <c r="F357" s="4">
        <f>CHOOSE( CONTROL!$C$37, 11.0955, 11.0944) * CHOOSE(CONTROL!$C$20, $D$12, 100%, $F$12)</f>
        <v>11.095499999999999</v>
      </c>
      <c r="G357" s="7">
        <f>CHOOSE( CONTROL!$C$37, 10.2695, 10.2684) * CHOOSE( CONTROL!$C$20, $D$12, 100%, $F$12)</f>
        <v>10.269500000000001</v>
      </c>
      <c r="H357" s="4">
        <f>CHOOSE( CONTROL!$C$37, 11.2145, 11.2135) * CHOOSE(CONTROL!$C$20, $D$12, 100%, $F$12)</f>
        <v>11.214499999999999</v>
      </c>
      <c r="I357" s="7">
        <f>CHOOSE( CONTROL!$C$37, 10.1837, 10.1826) * CHOOSE(CONTROL!$C$20, $D$12, 100%, $F$12)</f>
        <v>10.1837</v>
      </c>
      <c r="J357" s="4">
        <f>CHOOSE( CONTROL!$C$37, 10.0561, 10.055) * CHOOSE(CONTROL!$C$20, $D$12, 100%, $F$12)</f>
        <v>10.056100000000001</v>
      </c>
      <c r="K357" s="4"/>
      <c r="L357" s="8">
        <v>30.092199999999998</v>
      </c>
      <c r="M357" s="8">
        <v>11.6745</v>
      </c>
      <c r="N357" s="8">
        <v>4.7850000000000001</v>
      </c>
      <c r="O357" s="8">
        <v>0.36199999999999999</v>
      </c>
      <c r="P357" s="8">
        <v>1.2509999999999999</v>
      </c>
      <c r="Q357" s="8">
        <v>19.929600000000001</v>
      </c>
      <c r="R357" s="8"/>
    </row>
    <row r="358" spans="1:18" ht="14.25" customHeight="1">
      <c r="A358" s="11">
        <v>52017</v>
      </c>
      <c r="B358" s="7">
        <f>CHOOSE( CONTROL!$C$37, 10.6475, 10.6458) * CHOOSE(CONTROL!$C$20, $D$12, 100%, $F$12)</f>
        <v>10.647500000000001</v>
      </c>
      <c r="C358" s="7">
        <f>CHOOSE( CONTROL!$C$37, 10.6555, 10.6538) * CHOOSE(CONTROL!$C$20, $D$12, 100%, $F$12)</f>
        <v>10.6555</v>
      </c>
      <c r="D358" s="7">
        <f>CHOOSE( CONTROL!$C$37, 10.6611, 10.6595) * CHOOSE( CONTROL!$C$20, $D$12, 100%, $F$12)</f>
        <v>10.661099999999999</v>
      </c>
      <c r="E358" s="10">
        <f>CHOOSE( CONTROL!$C$37, 10.6579, 10.6562) * CHOOSE( CONTROL!$C$20, $D$12, 100%, $F$12)</f>
        <v>10.6579</v>
      </c>
      <c r="F358" s="4">
        <f>CHOOSE( CONTROL!$C$37, 11.3728, 11.3711) * CHOOSE(CONTROL!$C$20, $D$12, 100%, $F$12)</f>
        <v>11.3728</v>
      </c>
      <c r="G358" s="7">
        <f>CHOOSE( CONTROL!$C$37, 10.5428, 10.5412) * CHOOSE( CONTROL!$C$20, $D$12, 100%, $F$12)</f>
        <v>10.5428</v>
      </c>
      <c r="H358" s="4">
        <f>CHOOSE( CONTROL!$C$37, 11.4879, 11.4863) * CHOOSE(CONTROL!$C$20, $D$12, 100%, $F$12)</f>
        <v>11.4879</v>
      </c>
      <c r="I358" s="7">
        <f>CHOOSE( CONTROL!$C$37, 10.452, 10.4504) * CHOOSE(CONTROL!$C$20, $D$12, 100%, $F$12)</f>
        <v>10.452</v>
      </c>
      <c r="J358" s="4">
        <f>CHOOSE( CONTROL!$C$37, 10.3245, 10.3229) * CHOOSE(CONTROL!$C$20, $D$12, 100%, $F$12)</f>
        <v>10.3245</v>
      </c>
      <c r="K358" s="4"/>
      <c r="L358" s="8">
        <v>30.7165</v>
      </c>
      <c r="M358" s="8">
        <v>12.063700000000001</v>
      </c>
      <c r="N358" s="8">
        <v>4.9444999999999997</v>
      </c>
      <c r="O358" s="8">
        <v>0.37409999999999999</v>
      </c>
      <c r="P358" s="8">
        <v>1.2927</v>
      </c>
      <c r="Q358" s="8">
        <v>20.593900000000001</v>
      </c>
      <c r="R358" s="8"/>
    </row>
    <row r="359" spans="1:18" ht="14.25" customHeight="1">
      <c r="A359" s="11">
        <v>52047</v>
      </c>
      <c r="B359" s="7">
        <f>CHOOSE( CONTROL!$C$37, 10.4761, 10.4744) * CHOOSE(CONTROL!$C$20, $D$12, 100%, $F$12)</f>
        <v>10.476100000000001</v>
      </c>
      <c r="C359" s="7">
        <f>CHOOSE( CONTROL!$C$37, 10.4841, 10.4824) * CHOOSE(CONTROL!$C$20, $D$12, 100%, $F$12)</f>
        <v>10.4841</v>
      </c>
      <c r="D359" s="7">
        <f>CHOOSE( CONTROL!$C$37, 10.49, 10.4883) * CHOOSE( CONTROL!$C$20, $D$12, 100%, $F$12)</f>
        <v>10.49</v>
      </c>
      <c r="E359" s="10">
        <f>CHOOSE( CONTROL!$C$37, 10.4866, 10.4849) * CHOOSE( CONTROL!$C$20, $D$12, 100%, $F$12)</f>
        <v>10.486599999999999</v>
      </c>
      <c r="F359" s="4">
        <f>CHOOSE( CONTROL!$C$37, 11.2014, 11.1997) * CHOOSE(CONTROL!$C$20, $D$12, 100%, $F$12)</f>
        <v>11.2014</v>
      </c>
      <c r="G359" s="7">
        <f>CHOOSE( CONTROL!$C$37, 10.374, 10.3724) * CHOOSE( CONTROL!$C$20, $D$12, 100%, $F$12)</f>
        <v>10.374000000000001</v>
      </c>
      <c r="H359" s="4">
        <f>CHOOSE( CONTROL!$C$37, 11.3189, 11.3173) * CHOOSE(CONTROL!$C$20, $D$12, 100%, $F$12)</f>
        <v>11.318899999999999</v>
      </c>
      <c r="I359" s="7">
        <f>CHOOSE( CONTROL!$C$37, 10.2869, 10.2853) * CHOOSE(CONTROL!$C$20, $D$12, 100%, $F$12)</f>
        <v>10.286899999999999</v>
      </c>
      <c r="J359" s="4">
        <f>CHOOSE( CONTROL!$C$37, 10.1586, 10.157) * CHOOSE(CONTROL!$C$20, $D$12, 100%, $F$12)</f>
        <v>10.1586</v>
      </c>
      <c r="K359" s="4"/>
      <c r="L359" s="8">
        <v>29.7257</v>
      </c>
      <c r="M359" s="8">
        <v>11.6745</v>
      </c>
      <c r="N359" s="8">
        <v>4.7850000000000001</v>
      </c>
      <c r="O359" s="8">
        <v>0.36199999999999999</v>
      </c>
      <c r="P359" s="8">
        <v>1.2509999999999999</v>
      </c>
      <c r="Q359" s="8">
        <v>19.929600000000001</v>
      </c>
      <c r="R359" s="8"/>
    </row>
    <row r="360" spans="1:18" ht="14.25" customHeight="1">
      <c r="A360" s="11">
        <v>52078</v>
      </c>
      <c r="B360" s="7">
        <f>CHOOSE( CONTROL!$C$37, 10.9274, 10.9258) * CHOOSE(CONTROL!$C$20, $D$12, 100%, $F$12)</f>
        <v>10.9274</v>
      </c>
      <c r="C360" s="7">
        <f>CHOOSE( CONTROL!$C$37, 10.9354, 10.9338) * CHOOSE(CONTROL!$C$20, $D$12, 100%, $F$12)</f>
        <v>10.9354</v>
      </c>
      <c r="D360" s="7">
        <f>CHOOSE( CONTROL!$C$37, 10.9417, 10.94) * CHOOSE( CONTROL!$C$20, $D$12, 100%, $F$12)</f>
        <v>10.941700000000001</v>
      </c>
      <c r="E360" s="10">
        <f>CHOOSE( CONTROL!$C$37, 10.9382, 10.9365) * CHOOSE( CONTROL!$C$20, $D$12, 100%, $F$12)</f>
        <v>10.9382</v>
      </c>
      <c r="F360" s="4">
        <f>CHOOSE( CONTROL!$C$37, 11.6527, 11.6511) * CHOOSE(CONTROL!$C$20, $D$12, 100%, $F$12)</f>
        <v>11.652699999999999</v>
      </c>
      <c r="G360" s="7">
        <f>CHOOSE( CONTROL!$C$37, 10.8193, 10.8177) * CHOOSE( CONTROL!$C$20, $D$12, 100%, $F$12)</f>
        <v>10.8193</v>
      </c>
      <c r="H360" s="4">
        <f>CHOOSE( CONTROL!$C$37, 11.764, 11.7624) * CHOOSE(CONTROL!$C$20, $D$12, 100%, $F$12)</f>
        <v>11.763999999999999</v>
      </c>
      <c r="I360" s="7">
        <f>CHOOSE( CONTROL!$C$37, 10.7252, 10.7236) * CHOOSE(CONTROL!$C$20, $D$12, 100%, $F$12)</f>
        <v>10.725199999999999</v>
      </c>
      <c r="J360" s="4">
        <f>CHOOSE( CONTROL!$C$37, 10.5956, 10.594) * CHOOSE(CONTROL!$C$20, $D$12, 100%, $F$12)</f>
        <v>10.595599999999999</v>
      </c>
      <c r="K360" s="4"/>
      <c r="L360" s="8">
        <v>30.7165</v>
      </c>
      <c r="M360" s="8">
        <v>12.063700000000001</v>
      </c>
      <c r="N360" s="8">
        <v>4.9444999999999997</v>
      </c>
      <c r="O360" s="8">
        <v>0.37409999999999999</v>
      </c>
      <c r="P360" s="8">
        <v>1.2927</v>
      </c>
      <c r="Q360" s="8">
        <v>20.593900000000001</v>
      </c>
      <c r="R360" s="8"/>
    </row>
    <row r="361" spans="1:18" ht="14.25" customHeight="1">
      <c r="A361" s="11">
        <v>52109</v>
      </c>
      <c r="B361" s="7">
        <f>CHOOSE( CONTROL!$C$37, 10.0829, 10.0812) * CHOOSE(CONTROL!$C$20, $D$12, 100%, $F$12)</f>
        <v>10.0829</v>
      </c>
      <c r="C361" s="7">
        <f>CHOOSE( CONTROL!$C$37, 10.0909, 10.0892) * CHOOSE(CONTROL!$C$20, $D$12, 100%, $F$12)</f>
        <v>10.0909</v>
      </c>
      <c r="D361" s="7">
        <f>CHOOSE( CONTROL!$C$37, 10.0972, 10.0955) * CHOOSE( CONTROL!$C$20, $D$12, 100%, $F$12)</f>
        <v>10.097200000000001</v>
      </c>
      <c r="E361" s="10">
        <f>CHOOSE( CONTROL!$C$37, 10.0937, 10.092) * CHOOSE( CONTROL!$C$20, $D$12, 100%, $F$12)</f>
        <v>10.0937</v>
      </c>
      <c r="F361" s="4">
        <f>CHOOSE( CONTROL!$C$37, 10.8082, 10.8065) * CHOOSE(CONTROL!$C$20, $D$12, 100%, $F$12)</f>
        <v>10.808199999999999</v>
      </c>
      <c r="G361" s="7">
        <f>CHOOSE( CONTROL!$C$37, 9.9866, 9.985) * CHOOSE( CONTROL!$C$20, $D$12, 100%, $F$12)</f>
        <v>9.9865999999999993</v>
      </c>
      <c r="H361" s="4">
        <f>CHOOSE( CONTROL!$C$37, 10.9312, 10.9296) * CHOOSE(CONTROL!$C$20, $D$12, 100%, $F$12)</f>
        <v>10.9312</v>
      </c>
      <c r="I361" s="7">
        <f>CHOOSE( CONTROL!$C$37, 9.9073, 9.9057) * CHOOSE(CONTROL!$C$20, $D$12, 100%, $F$12)</f>
        <v>9.9072999999999993</v>
      </c>
      <c r="J361" s="4">
        <f>CHOOSE( CONTROL!$C$37, 9.7778, 9.7762) * CHOOSE(CONTROL!$C$20, $D$12, 100%, $F$12)</f>
        <v>9.7777999999999992</v>
      </c>
      <c r="K361" s="4"/>
      <c r="L361" s="8">
        <v>30.7165</v>
      </c>
      <c r="M361" s="8">
        <v>12.063700000000001</v>
      </c>
      <c r="N361" s="8">
        <v>4.9444999999999997</v>
      </c>
      <c r="O361" s="8">
        <v>0.37409999999999999</v>
      </c>
      <c r="P361" s="8">
        <v>1.2927</v>
      </c>
      <c r="Q361" s="8">
        <v>20.593900000000001</v>
      </c>
      <c r="R361" s="8"/>
    </row>
    <row r="362" spans="1:18" ht="14.25" customHeight="1">
      <c r="A362" s="11">
        <v>52139</v>
      </c>
      <c r="B362" s="7">
        <f>CHOOSE( CONTROL!$C$37, 9.8714, 9.8697) * CHOOSE(CONTROL!$C$20, $D$12, 100%, $F$12)</f>
        <v>9.8713999999999995</v>
      </c>
      <c r="C362" s="7">
        <f>CHOOSE( CONTROL!$C$37, 9.8794, 9.8777) * CHOOSE(CONTROL!$C$20, $D$12, 100%, $F$12)</f>
        <v>9.8794000000000004</v>
      </c>
      <c r="D362" s="7">
        <f>CHOOSE( CONTROL!$C$37, 9.8856, 9.8839) * CHOOSE( CONTROL!$C$20, $D$12, 100%, $F$12)</f>
        <v>9.8856000000000002</v>
      </c>
      <c r="E362" s="10">
        <f>CHOOSE( CONTROL!$C$37, 9.8821, 9.8804) * CHOOSE( CONTROL!$C$20, $D$12, 100%, $F$12)</f>
        <v>9.8820999999999994</v>
      </c>
      <c r="F362" s="4">
        <f>CHOOSE( CONTROL!$C$37, 10.5967, 10.595) * CHOOSE(CONTROL!$C$20, $D$12, 100%, $F$12)</f>
        <v>10.5967</v>
      </c>
      <c r="G362" s="7">
        <f>CHOOSE( CONTROL!$C$37, 9.778, 9.7764) * CHOOSE( CONTROL!$C$20, $D$12, 100%, $F$12)</f>
        <v>9.7780000000000005</v>
      </c>
      <c r="H362" s="4">
        <f>CHOOSE( CONTROL!$C$37, 10.7227, 10.721) * CHOOSE(CONTROL!$C$20, $D$12, 100%, $F$12)</f>
        <v>10.7227</v>
      </c>
      <c r="I362" s="7">
        <f>CHOOSE( CONTROL!$C$37, 9.7021, 9.7005) * CHOOSE(CONTROL!$C$20, $D$12, 100%, $F$12)</f>
        <v>9.7020999999999997</v>
      </c>
      <c r="J362" s="4">
        <f>CHOOSE( CONTROL!$C$37, 9.5731, 9.5715) * CHOOSE(CONTROL!$C$20, $D$12, 100%, $F$12)</f>
        <v>9.5731000000000002</v>
      </c>
      <c r="K362" s="4"/>
      <c r="L362" s="8">
        <v>29.7257</v>
      </c>
      <c r="M362" s="8">
        <v>11.6745</v>
      </c>
      <c r="N362" s="8">
        <v>4.7850000000000001</v>
      </c>
      <c r="O362" s="8">
        <v>0.36199999999999999</v>
      </c>
      <c r="P362" s="8">
        <v>1.2509999999999999</v>
      </c>
      <c r="Q362" s="8">
        <v>19.929600000000001</v>
      </c>
      <c r="R362" s="8"/>
    </row>
    <row r="363" spans="1:18" ht="14.25" customHeight="1">
      <c r="A363" s="11">
        <v>52170</v>
      </c>
      <c r="B363" s="7">
        <f>CHOOSE( CONTROL!$C$37, 10.3082, 10.3071) * CHOOSE(CONTROL!$C$20, $D$12, 100%, $F$12)</f>
        <v>10.308199999999999</v>
      </c>
      <c r="C363" s="7">
        <f>CHOOSE( CONTROL!$C$37, 10.3136, 10.3125) * CHOOSE(CONTROL!$C$20, $D$12, 100%, $F$12)</f>
        <v>10.313599999999999</v>
      </c>
      <c r="D363" s="7">
        <f>CHOOSE( CONTROL!$C$37, 10.3256, 10.3245) * CHOOSE( CONTROL!$C$20, $D$12, 100%, $F$12)</f>
        <v>10.3256</v>
      </c>
      <c r="E363" s="10">
        <f>CHOOSE( CONTROL!$C$37, 10.3211, 10.32) * CHOOSE( CONTROL!$C$20, $D$12, 100%, $F$12)</f>
        <v>10.321099999999999</v>
      </c>
      <c r="F363" s="4">
        <f>CHOOSE( CONTROL!$C$37, 11.0352, 11.0341) * CHOOSE(CONTROL!$C$20, $D$12, 100%, $F$12)</f>
        <v>11.0352</v>
      </c>
      <c r="G363" s="7">
        <f>CHOOSE( CONTROL!$C$37, 10.2106, 10.2095) * CHOOSE( CONTROL!$C$20, $D$12, 100%, $F$12)</f>
        <v>10.210599999999999</v>
      </c>
      <c r="H363" s="4">
        <f>CHOOSE( CONTROL!$C$37, 11.1551, 11.154) * CHOOSE(CONTROL!$C$20, $D$12, 100%, $F$12)</f>
        <v>11.155099999999999</v>
      </c>
      <c r="I363" s="7">
        <f>CHOOSE( CONTROL!$C$37, 10.1276, 10.1265) * CHOOSE(CONTROL!$C$20, $D$12, 100%, $F$12)</f>
        <v>10.127599999999999</v>
      </c>
      <c r="J363" s="4">
        <f>CHOOSE( CONTROL!$C$37, 9.9977, 9.9967) * CHOOSE(CONTROL!$C$20, $D$12, 100%, $F$12)</f>
        <v>9.9977</v>
      </c>
      <c r="K363" s="4"/>
      <c r="L363" s="8">
        <v>31.095300000000002</v>
      </c>
      <c r="M363" s="8">
        <v>12.063700000000001</v>
      </c>
      <c r="N363" s="8">
        <v>4.9444999999999997</v>
      </c>
      <c r="O363" s="8">
        <v>0.37409999999999999</v>
      </c>
      <c r="P363" s="8">
        <v>1.2927</v>
      </c>
      <c r="Q363" s="8">
        <v>20.593900000000001</v>
      </c>
      <c r="R363" s="8"/>
    </row>
    <row r="364" spans="1:18" ht="14.25" customHeight="1">
      <c r="A364" s="11">
        <v>52200</v>
      </c>
      <c r="B364" s="7">
        <f>CHOOSE( CONTROL!$C$37, 11.1183, 11.1172) * CHOOSE(CONTROL!$C$20, $D$12, 100%, $F$12)</f>
        <v>11.1183</v>
      </c>
      <c r="C364" s="7">
        <f>CHOOSE( CONTROL!$C$37, 11.1234, 11.1223) * CHOOSE(CONTROL!$C$20, $D$12, 100%, $F$12)</f>
        <v>11.1234</v>
      </c>
      <c r="D364" s="7">
        <f>CHOOSE( CONTROL!$C$37, 11.1019, 11.1008) * CHOOSE( CONTROL!$C$20, $D$12, 100%, $F$12)</f>
        <v>11.101900000000001</v>
      </c>
      <c r="E364" s="10">
        <f>CHOOSE( CONTROL!$C$37, 11.1092, 11.1081) * CHOOSE( CONTROL!$C$20, $D$12, 100%, $F$12)</f>
        <v>11.1092</v>
      </c>
      <c r="F364" s="4">
        <f>CHOOSE( CONTROL!$C$37, 11.7709, 11.7698) * CHOOSE(CONTROL!$C$20, $D$12, 100%, $F$12)</f>
        <v>11.770899999999999</v>
      </c>
      <c r="G364" s="7">
        <f>CHOOSE( CONTROL!$C$37, 10.9959, 10.9948) * CHOOSE( CONTROL!$C$20, $D$12, 100%, $F$12)</f>
        <v>10.995900000000001</v>
      </c>
      <c r="H364" s="4">
        <f>CHOOSE( CONTROL!$C$37, 11.8805, 11.8794) * CHOOSE(CONTROL!$C$20, $D$12, 100%, $F$12)</f>
        <v>11.8805</v>
      </c>
      <c r="I364" s="7">
        <f>CHOOSE( CONTROL!$C$37, 10.964, 10.9629) * CHOOSE(CONTROL!$C$20, $D$12, 100%, $F$12)</f>
        <v>10.964</v>
      </c>
      <c r="J364" s="4">
        <f>CHOOSE( CONTROL!$C$37, 10.7825, 10.7815) * CHOOSE(CONTROL!$C$20, $D$12, 100%, $F$12)</f>
        <v>10.782500000000001</v>
      </c>
      <c r="K364" s="4"/>
      <c r="L364" s="8">
        <v>28.360600000000002</v>
      </c>
      <c r="M364" s="8">
        <v>11.6745</v>
      </c>
      <c r="N364" s="8">
        <v>4.7850000000000001</v>
      </c>
      <c r="O364" s="8">
        <v>0.36199999999999999</v>
      </c>
      <c r="P364" s="8">
        <v>1.2509999999999999</v>
      </c>
      <c r="Q364" s="8">
        <v>19.929600000000001</v>
      </c>
      <c r="R364" s="8"/>
    </row>
    <row r="365" spans="1:18" ht="14.25" customHeight="1">
      <c r="A365" s="11">
        <v>52231</v>
      </c>
      <c r="B365" s="7">
        <f>CHOOSE( CONTROL!$C$37, 11.0981, 11.097) * CHOOSE(CONTROL!$C$20, $D$12, 100%, $F$12)</f>
        <v>11.098100000000001</v>
      </c>
      <c r="C365" s="7">
        <f>CHOOSE( CONTROL!$C$37, 11.1032, 11.1021) * CHOOSE(CONTROL!$C$20, $D$12, 100%, $F$12)</f>
        <v>11.103199999999999</v>
      </c>
      <c r="D365" s="7">
        <f>CHOOSE( CONTROL!$C$37, 11.0832, 11.0821) * CHOOSE( CONTROL!$C$20, $D$12, 100%, $F$12)</f>
        <v>11.0832</v>
      </c>
      <c r="E365" s="10">
        <f>CHOOSE( CONTROL!$C$37, 11.09, 11.0889) * CHOOSE( CONTROL!$C$20, $D$12, 100%, $F$12)</f>
        <v>11.09</v>
      </c>
      <c r="F365" s="4">
        <f>CHOOSE( CONTROL!$C$37, 11.7506, 11.7495) * CHOOSE(CONTROL!$C$20, $D$12, 100%, $F$12)</f>
        <v>11.7506</v>
      </c>
      <c r="G365" s="7">
        <f>CHOOSE( CONTROL!$C$37, 10.977, 10.976) * CHOOSE( CONTROL!$C$20, $D$12, 100%, $F$12)</f>
        <v>10.977</v>
      </c>
      <c r="H365" s="4">
        <f>CHOOSE( CONTROL!$C$37, 11.8605, 11.8595) * CHOOSE(CONTROL!$C$20, $D$12, 100%, $F$12)</f>
        <v>11.8605</v>
      </c>
      <c r="I365" s="7">
        <f>CHOOSE( CONTROL!$C$37, 10.9492, 10.9482) * CHOOSE(CONTROL!$C$20, $D$12, 100%, $F$12)</f>
        <v>10.949199999999999</v>
      </c>
      <c r="J365" s="4">
        <f>CHOOSE( CONTROL!$C$37, 10.7629, 10.7619) * CHOOSE(CONTROL!$C$20, $D$12, 100%, $F$12)</f>
        <v>10.7629</v>
      </c>
      <c r="K365" s="4"/>
      <c r="L365" s="8">
        <v>29.306000000000001</v>
      </c>
      <c r="M365" s="8">
        <v>12.063700000000001</v>
      </c>
      <c r="N365" s="8">
        <v>4.9444999999999997</v>
      </c>
      <c r="O365" s="8">
        <v>0.37409999999999999</v>
      </c>
      <c r="P365" s="8">
        <v>1.2927</v>
      </c>
      <c r="Q365" s="8">
        <v>20.593900000000001</v>
      </c>
      <c r="R365" s="8"/>
    </row>
    <row r="366" spans="1:18" ht="14.25" customHeight="1">
      <c r="A366" s="11">
        <v>52262</v>
      </c>
      <c r="B366" s="7">
        <f>CHOOSE( CONTROL!$C$37, 11.4259, 11.4248) * CHOOSE(CONTROL!$C$20, $D$12, 100%, $F$12)</f>
        <v>11.4259</v>
      </c>
      <c r="C366" s="7">
        <f>CHOOSE( CONTROL!$C$37, 11.431, 11.4299) * CHOOSE(CONTROL!$C$20, $D$12, 100%, $F$12)</f>
        <v>11.430999999999999</v>
      </c>
      <c r="D366" s="7">
        <f>CHOOSE( CONTROL!$C$37, 11.4241, 11.423) * CHOOSE( CONTROL!$C$20, $D$12, 100%, $F$12)</f>
        <v>11.424099999999999</v>
      </c>
      <c r="E366" s="10">
        <f>CHOOSE( CONTROL!$C$37, 11.4261, 11.425) * CHOOSE( CONTROL!$C$20, $D$12, 100%, $F$12)</f>
        <v>11.4261</v>
      </c>
      <c r="F366" s="4">
        <f>CHOOSE( CONTROL!$C$37, 12.0785, 12.0774) * CHOOSE(CONTROL!$C$20, $D$12, 100%, $F$12)</f>
        <v>12.0785</v>
      </c>
      <c r="G366" s="7">
        <f>CHOOSE( CONTROL!$C$37, 11.3048, 11.3037) * CHOOSE( CONTROL!$C$20, $D$12, 100%, $F$12)</f>
        <v>11.3048</v>
      </c>
      <c r="H366" s="4">
        <f>CHOOSE( CONTROL!$C$37, 12.1838, 12.1827) * CHOOSE(CONTROL!$C$20, $D$12, 100%, $F$12)</f>
        <v>12.1838</v>
      </c>
      <c r="I366" s="7">
        <f>CHOOSE( CONTROL!$C$37, 11.2381, 11.2371) * CHOOSE(CONTROL!$C$20, $D$12, 100%, $F$12)</f>
        <v>11.238099999999999</v>
      </c>
      <c r="J366" s="4">
        <f>CHOOSE( CONTROL!$C$37, 11.0804, 11.0793) * CHOOSE(CONTROL!$C$20, $D$12, 100%, $F$12)</f>
        <v>11.080399999999999</v>
      </c>
      <c r="K366" s="4"/>
      <c r="L366" s="8">
        <v>29.306000000000001</v>
      </c>
      <c r="M366" s="8">
        <v>12.063700000000001</v>
      </c>
      <c r="N366" s="8">
        <v>4.9444999999999997</v>
      </c>
      <c r="O366" s="8">
        <v>0.37409999999999999</v>
      </c>
      <c r="P366" s="8">
        <v>1.2927</v>
      </c>
      <c r="Q366" s="8">
        <v>20.5288</v>
      </c>
      <c r="R366" s="8"/>
    </row>
    <row r="367" spans="1:18" ht="14.25" customHeight="1">
      <c r="A367" s="11">
        <v>52290</v>
      </c>
      <c r="B367" s="7">
        <f>CHOOSE( CONTROL!$C$37, 10.6862, 10.6851) * CHOOSE(CONTROL!$C$20, $D$12, 100%, $F$12)</f>
        <v>10.686199999999999</v>
      </c>
      <c r="C367" s="7">
        <f>CHOOSE( CONTROL!$C$37, 10.6913, 10.6902) * CHOOSE(CONTROL!$C$20, $D$12, 100%, $F$12)</f>
        <v>10.6913</v>
      </c>
      <c r="D367" s="7">
        <f>CHOOSE( CONTROL!$C$37, 10.6843, 10.6832) * CHOOSE( CONTROL!$C$20, $D$12, 100%, $F$12)</f>
        <v>10.6843</v>
      </c>
      <c r="E367" s="10">
        <f>CHOOSE( CONTROL!$C$37, 10.6863, 10.6852) * CHOOSE( CONTROL!$C$20, $D$12, 100%, $F$12)</f>
        <v>10.686299999999999</v>
      </c>
      <c r="F367" s="4">
        <f>CHOOSE( CONTROL!$C$37, 11.3387, 11.3377) * CHOOSE(CONTROL!$C$20, $D$12, 100%, $F$12)</f>
        <v>11.338699999999999</v>
      </c>
      <c r="G367" s="7">
        <f>CHOOSE( CONTROL!$C$37, 10.5754, 10.5743) * CHOOSE( CONTROL!$C$20, $D$12, 100%, $F$12)</f>
        <v>10.5754</v>
      </c>
      <c r="H367" s="4">
        <f>CHOOSE( CONTROL!$C$37, 11.4544, 11.4533) * CHOOSE(CONTROL!$C$20, $D$12, 100%, $F$12)</f>
        <v>11.4544</v>
      </c>
      <c r="I367" s="7">
        <f>CHOOSE( CONTROL!$C$37, 10.5212, 10.5202) * CHOOSE(CONTROL!$C$20, $D$12, 100%, $F$12)</f>
        <v>10.5212</v>
      </c>
      <c r="J367" s="4">
        <f>CHOOSE( CONTROL!$C$37, 10.3641, 10.3631) * CHOOSE(CONTROL!$C$20, $D$12, 100%, $F$12)</f>
        <v>10.364100000000001</v>
      </c>
      <c r="K367" s="4"/>
      <c r="L367" s="8">
        <v>26.469899999999999</v>
      </c>
      <c r="M367" s="8">
        <v>10.8962</v>
      </c>
      <c r="N367" s="8">
        <v>4.4660000000000002</v>
      </c>
      <c r="O367" s="8">
        <v>0.33789999999999998</v>
      </c>
      <c r="P367" s="8">
        <v>1.1676</v>
      </c>
      <c r="Q367" s="8">
        <v>18.542200000000001</v>
      </c>
      <c r="R367" s="8"/>
    </row>
    <row r="368" spans="1:18" ht="14.25" customHeight="1">
      <c r="A368" s="11">
        <v>52321</v>
      </c>
      <c r="B368" s="7">
        <f>CHOOSE( CONTROL!$C$37, 10.4584, 10.4573) * CHOOSE(CONTROL!$C$20, $D$12, 100%, $F$12)</f>
        <v>10.458399999999999</v>
      </c>
      <c r="C368" s="7">
        <f>CHOOSE( CONTROL!$C$37, 10.4635, 10.4624) * CHOOSE(CONTROL!$C$20, $D$12, 100%, $F$12)</f>
        <v>10.4635</v>
      </c>
      <c r="D368" s="7">
        <f>CHOOSE( CONTROL!$C$37, 10.4559, 10.4548) * CHOOSE( CONTROL!$C$20, $D$12, 100%, $F$12)</f>
        <v>10.4559</v>
      </c>
      <c r="E368" s="10">
        <f>CHOOSE( CONTROL!$C$37, 10.4581, 10.457) * CHOOSE( CONTROL!$C$20, $D$12, 100%, $F$12)</f>
        <v>10.4581</v>
      </c>
      <c r="F368" s="4">
        <f>CHOOSE( CONTROL!$C$37, 11.1109, 11.1098) * CHOOSE(CONTROL!$C$20, $D$12, 100%, $F$12)</f>
        <v>11.110900000000001</v>
      </c>
      <c r="G368" s="7">
        <f>CHOOSE( CONTROL!$C$37, 10.3503, 10.3492) * CHOOSE( CONTROL!$C$20, $D$12, 100%, $F$12)</f>
        <v>10.350300000000001</v>
      </c>
      <c r="H368" s="4">
        <f>CHOOSE( CONTROL!$C$37, 11.2298, 11.2287) * CHOOSE(CONTROL!$C$20, $D$12, 100%, $F$12)</f>
        <v>11.229799999999999</v>
      </c>
      <c r="I368" s="7">
        <f>CHOOSE( CONTROL!$C$37, 10.2986, 10.2975) * CHOOSE(CONTROL!$C$20, $D$12, 100%, $F$12)</f>
        <v>10.2986</v>
      </c>
      <c r="J368" s="4">
        <f>CHOOSE( CONTROL!$C$37, 10.1435, 10.1425) * CHOOSE(CONTROL!$C$20, $D$12, 100%, $F$12)</f>
        <v>10.1435</v>
      </c>
      <c r="K368" s="4"/>
      <c r="L368" s="8">
        <v>29.306000000000001</v>
      </c>
      <c r="M368" s="8">
        <v>12.063700000000001</v>
      </c>
      <c r="N368" s="8">
        <v>4.9444999999999997</v>
      </c>
      <c r="O368" s="8">
        <v>0.37409999999999999</v>
      </c>
      <c r="P368" s="8">
        <v>1.2927</v>
      </c>
      <c r="Q368" s="8">
        <v>20.5288</v>
      </c>
      <c r="R368" s="8"/>
    </row>
    <row r="369" spans="1:18" ht="14.25" customHeight="1">
      <c r="A369" s="11">
        <v>52351</v>
      </c>
      <c r="B369" s="7">
        <f>CHOOSE( CONTROL!$C$37, 10.6183, 10.6173) * CHOOSE(CONTROL!$C$20, $D$12, 100%, $F$12)</f>
        <v>10.6183</v>
      </c>
      <c r="C369" s="7">
        <f>CHOOSE( CONTROL!$C$37, 10.6229, 10.6218) * CHOOSE(CONTROL!$C$20, $D$12, 100%, $F$12)</f>
        <v>10.6229</v>
      </c>
      <c r="D369" s="7">
        <f>CHOOSE( CONTROL!$C$37, 10.6347, 10.6336) * CHOOSE( CONTROL!$C$20, $D$12, 100%, $F$12)</f>
        <v>10.6347</v>
      </c>
      <c r="E369" s="10">
        <f>CHOOSE( CONTROL!$C$37, 10.6303, 10.6292) * CHOOSE( CONTROL!$C$20, $D$12, 100%, $F$12)</f>
        <v>10.6303</v>
      </c>
      <c r="F369" s="4">
        <f>CHOOSE( CONTROL!$C$37, 11.345, 11.3439) * CHOOSE(CONTROL!$C$20, $D$12, 100%, $F$12)</f>
        <v>11.345000000000001</v>
      </c>
      <c r="G369" s="7">
        <f>CHOOSE( CONTROL!$C$37, 10.5155, 10.5144) * CHOOSE( CONTROL!$C$20, $D$12, 100%, $F$12)</f>
        <v>10.515499999999999</v>
      </c>
      <c r="H369" s="4">
        <f>CHOOSE( CONTROL!$C$37, 11.4606, 11.4595) * CHOOSE(CONTROL!$C$20, $D$12, 100%, $F$12)</f>
        <v>11.460599999999999</v>
      </c>
      <c r="I369" s="7">
        <f>CHOOSE( CONTROL!$C$37, 10.4254, 10.4244) * CHOOSE(CONTROL!$C$20, $D$12, 100%, $F$12)</f>
        <v>10.4254</v>
      </c>
      <c r="J369" s="4">
        <f>CHOOSE( CONTROL!$C$37, 10.2977, 10.2966) * CHOOSE(CONTROL!$C$20, $D$12, 100%, $F$12)</f>
        <v>10.297700000000001</v>
      </c>
      <c r="K369" s="4"/>
      <c r="L369" s="8">
        <v>30.092199999999998</v>
      </c>
      <c r="M369" s="8">
        <v>11.6745</v>
      </c>
      <c r="N369" s="8">
        <v>4.7850000000000001</v>
      </c>
      <c r="O369" s="8">
        <v>0.36199999999999999</v>
      </c>
      <c r="P369" s="8">
        <v>1.2509999999999999</v>
      </c>
      <c r="Q369" s="8">
        <v>19.866599999999998</v>
      </c>
      <c r="R369" s="8"/>
    </row>
    <row r="370" spans="1:18" ht="14.25" customHeight="1">
      <c r="A370" s="11">
        <v>52382</v>
      </c>
      <c r="B370" s="7">
        <f>CHOOSE( CONTROL!$C$37, 10.9036, 10.902) * CHOOSE(CONTROL!$C$20, $D$12, 100%, $F$12)</f>
        <v>10.903600000000001</v>
      </c>
      <c r="C370" s="7">
        <f>CHOOSE( CONTROL!$C$37, 10.9116, 10.91) * CHOOSE(CONTROL!$C$20, $D$12, 100%, $F$12)</f>
        <v>10.9116</v>
      </c>
      <c r="D370" s="7">
        <f>CHOOSE( CONTROL!$C$37, 10.9173, 10.9156) * CHOOSE( CONTROL!$C$20, $D$12, 100%, $F$12)</f>
        <v>10.917299999999999</v>
      </c>
      <c r="E370" s="10">
        <f>CHOOSE( CONTROL!$C$37, 10.914, 10.9124) * CHOOSE( CONTROL!$C$20, $D$12, 100%, $F$12)</f>
        <v>10.914</v>
      </c>
      <c r="F370" s="4">
        <f>CHOOSE( CONTROL!$C$37, 11.6289, 11.6272) * CHOOSE(CONTROL!$C$20, $D$12, 100%, $F$12)</f>
        <v>11.6289</v>
      </c>
      <c r="G370" s="7">
        <f>CHOOSE( CONTROL!$C$37, 10.7954, 10.7938) * CHOOSE( CONTROL!$C$20, $D$12, 100%, $F$12)</f>
        <v>10.795400000000001</v>
      </c>
      <c r="H370" s="4">
        <f>CHOOSE( CONTROL!$C$37, 11.7405, 11.7389) * CHOOSE(CONTROL!$C$20, $D$12, 100%, $F$12)</f>
        <v>11.740500000000001</v>
      </c>
      <c r="I370" s="7">
        <f>CHOOSE( CONTROL!$C$37, 10.7002, 10.6986) * CHOOSE(CONTROL!$C$20, $D$12, 100%, $F$12)</f>
        <v>10.700200000000001</v>
      </c>
      <c r="J370" s="4">
        <f>CHOOSE( CONTROL!$C$37, 10.5726, 10.571) * CHOOSE(CONTROL!$C$20, $D$12, 100%, $F$12)</f>
        <v>10.5726</v>
      </c>
      <c r="K370" s="4"/>
      <c r="L370" s="8">
        <v>30.7165</v>
      </c>
      <c r="M370" s="8">
        <v>12.063700000000001</v>
      </c>
      <c r="N370" s="8">
        <v>4.9444999999999997</v>
      </c>
      <c r="O370" s="8">
        <v>0.37409999999999999</v>
      </c>
      <c r="P370" s="8">
        <v>1.2927</v>
      </c>
      <c r="Q370" s="8">
        <v>20.5288</v>
      </c>
      <c r="R370" s="8"/>
    </row>
    <row r="371" spans="1:18" ht="14.25" customHeight="1">
      <c r="A371" s="11">
        <v>52412</v>
      </c>
      <c r="B371" s="7">
        <f>CHOOSE( CONTROL!$C$37, 10.7281, 10.7264) * CHOOSE(CONTROL!$C$20, $D$12, 100%, $F$12)</f>
        <v>10.7281</v>
      </c>
      <c r="C371" s="7">
        <f>CHOOSE( CONTROL!$C$37, 10.7361, 10.7344) * CHOOSE(CONTROL!$C$20, $D$12, 100%, $F$12)</f>
        <v>10.7361</v>
      </c>
      <c r="D371" s="7">
        <f>CHOOSE( CONTROL!$C$37, 10.742, 10.7404) * CHOOSE( CONTROL!$C$20, $D$12, 100%, $F$12)</f>
        <v>10.742000000000001</v>
      </c>
      <c r="E371" s="10">
        <f>CHOOSE( CONTROL!$C$37, 10.7386, 10.737) * CHOOSE( CONTROL!$C$20, $D$12, 100%, $F$12)</f>
        <v>10.7386</v>
      </c>
      <c r="F371" s="4">
        <f>CHOOSE( CONTROL!$C$37, 11.4534, 11.4517) * CHOOSE(CONTROL!$C$20, $D$12, 100%, $F$12)</f>
        <v>11.4534</v>
      </c>
      <c r="G371" s="7">
        <f>CHOOSE( CONTROL!$C$37, 10.6226, 10.6209) * CHOOSE( CONTROL!$C$20, $D$12, 100%, $F$12)</f>
        <v>10.6226</v>
      </c>
      <c r="H371" s="4">
        <f>CHOOSE( CONTROL!$C$37, 11.5674, 11.5658) * CHOOSE(CONTROL!$C$20, $D$12, 100%, $F$12)</f>
        <v>11.567399999999999</v>
      </c>
      <c r="I371" s="7">
        <f>CHOOSE( CONTROL!$C$37, 10.5311, 10.5295) * CHOOSE(CONTROL!$C$20, $D$12, 100%, $F$12)</f>
        <v>10.5311</v>
      </c>
      <c r="J371" s="4">
        <f>CHOOSE( CONTROL!$C$37, 10.4026, 10.401) * CHOOSE(CONTROL!$C$20, $D$12, 100%, $F$12)</f>
        <v>10.4026</v>
      </c>
      <c r="K371" s="4"/>
      <c r="L371" s="8">
        <v>29.7257</v>
      </c>
      <c r="M371" s="8">
        <v>11.6745</v>
      </c>
      <c r="N371" s="8">
        <v>4.7850000000000001</v>
      </c>
      <c r="O371" s="8">
        <v>0.36199999999999999</v>
      </c>
      <c r="P371" s="8">
        <v>1.2509999999999999</v>
      </c>
      <c r="Q371" s="8">
        <v>19.866599999999998</v>
      </c>
      <c r="R371" s="8"/>
    </row>
    <row r="372" spans="1:18" ht="14.25" customHeight="1">
      <c r="A372" s="11">
        <v>52443</v>
      </c>
      <c r="B372" s="7">
        <f>CHOOSE( CONTROL!$C$37, 11.1903, 11.1887) * CHOOSE(CONTROL!$C$20, $D$12, 100%, $F$12)</f>
        <v>11.190300000000001</v>
      </c>
      <c r="C372" s="7">
        <f>CHOOSE( CONTROL!$C$37, 11.1983, 11.1967) * CHOOSE(CONTROL!$C$20, $D$12, 100%, $F$12)</f>
        <v>11.1983</v>
      </c>
      <c r="D372" s="7">
        <f>CHOOSE( CONTROL!$C$37, 11.2045, 11.2029) * CHOOSE( CONTROL!$C$20, $D$12, 100%, $F$12)</f>
        <v>11.204499999999999</v>
      </c>
      <c r="E372" s="10">
        <f>CHOOSE( CONTROL!$C$37, 11.201, 11.1994) * CHOOSE( CONTROL!$C$20, $D$12, 100%, $F$12)</f>
        <v>11.201000000000001</v>
      </c>
      <c r="F372" s="4">
        <f>CHOOSE( CONTROL!$C$37, 11.9156, 11.9139) * CHOOSE(CONTROL!$C$20, $D$12, 100%, $F$12)</f>
        <v>11.9156</v>
      </c>
      <c r="G372" s="7">
        <f>CHOOSE( CONTROL!$C$37, 11.0786, 11.0769) * CHOOSE( CONTROL!$C$20, $D$12, 100%, $F$12)</f>
        <v>11.0786</v>
      </c>
      <c r="H372" s="4">
        <f>CHOOSE( CONTROL!$C$37, 12.0232, 12.0216) * CHOOSE(CONTROL!$C$20, $D$12, 100%, $F$12)</f>
        <v>12.023199999999999</v>
      </c>
      <c r="I372" s="7">
        <f>CHOOSE( CONTROL!$C$37, 10.9799, 10.9783) * CHOOSE(CONTROL!$C$20, $D$12, 100%, $F$12)</f>
        <v>10.979900000000001</v>
      </c>
      <c r="J372" s="4">
        <f>CHOOSE( CONTROL!$C$37, 10.8502, 10.8486) * CHOOSE(CONTROL!$C$20, $D$12, 100%, $F$12)</f>
        <v>10.850199999999999</v>
      </c>
      <c r="K372" s="4"/>
      <c r="L372" s="8">
        <v>30.7165</v>
      </c>
      <c r="M372" s="8">
        <v>12.063700000000001</v>
      </c>
      <c r="N372" s="8">
        <v>4.9444999999999997</v>
      </c>
      <c r="O372" s="8">
        <v>0.37409999999999999</v>
      </c>
      <c r="P372" s="8">
        <v>1.2927</v>
      </c>
      <c r="Q372" s="8">
        <v>20.5288</v>
      </c>
      <c r="R372" s="8"/>
    </row>
    <row r="373" spans="1:18" ht="14.25" customHeight="1">
      <c r="A373" s="11">
        <v>52474</v>
      </c>
      <c r="B373" s="7">
        <f>CHOOSE( CONTROL!$C$37, 10.3255, 10.3238) * CHOOSE(CONTROL!$C$20, $D$12, 100%, $F$12)</f>
        <v>10.3255</v>
      </c>
      <c r="C373" s="7">
        <f>CHOOSE( CONTROL!$C$37, 10.3335, 10.3318) * CHOOSE(CONTROL!$C$20, $D$12, 100%, $F$12)</f>
        <v>10.333500000000001</v>
      </c>
      <c r="D373" s="7">
        <f>CHOOSE( CONTROL!$C$37, 10.3398, 10.3381) * CHOOSE( CONTROL!$C$20, $D$12, 100%, $F$12)</f>
        <v>10.3398</v>
      </c>
      <c r="E373" s="10">
        <f>CHOOSE( CONTROL!$C$37, 10.3363, 10.3346) * CHOOSE( CONTROL!$C$20, $D$12, 100%, $F$12)</f>
        <v>10.3363</v>
      </c>
      <c r="F373" s="4">
        <f>CHOOSE( CONTROL!$C$37, 11.0508, 11.0491) * CHOOSE(CONTROL!$C$20, $D$12, 100%, $F$12)</f>
        <v>11.050800000000001</v>
      </c>
      <c r="G373" s="7">
        <f>CHOOSE( CONTROL!$C$37, 10.2258, 10.2242) * CHOOSE( CONTROL!$C$20, $D$12, 100%, $F$12)</f>
        <v>10.2258</v>
      </c>
      <c r="H373" s="4">
        <f>CHOOSE( CONTROL!$C$37, 11.1704, 11.1688) * CHOOSE(CONTROL!$C$20, $D$12, 100%, $F$12)</f>
        <v>11.170400000000001</v>
      </c>
      <c r="I373" s="7">
        <f>CHOOSE( CONTROL!$C$37, 10.1423, 10.1407) * CHOOSE(CONTROL!$C$20, $D$12, 100%, $F$12)</f>
        <v>10.142300000000001</v>
      </c>
      <c r="J373" s="4">
        <f>CHOOSE( CONTROL!$C$37, 10.0127, 10.0111) * CHOOSE(CONTROL!$C$20, $D$12, 100%, $F$12)</f>
        <v>10.012700000000001</v>
      </c>
      <c r="K373" s="4"/>
      <c r="L373" s="8">
        <v>30.7165</v>
      </c>
      <c r="M373" s="8">
        <v>12.063700000000001</v>
      </c>
      <c r="N373" s="8">
        <v>4.9444999999999997</v>
      </c>
      <c r="O373" s="8">
        <v>0.37409999999999999</v>
      </c>
      <c r="P373" s="8">
        <v>1.2927</v>
      </c>
      <c r="Q373" s="8">
        <v>20.5288</v>
      </c>
      <c r="R373" s="8"/>
    </row>
    <row r="374" spans="1:18" ht="14.25" customHeight="1">
      <c r="A374" s="11">
        <v>52504</v>
      </c>
      <c r="B374" s="7">
        <f>CHOOSE( CONTROL!$C$37, 10.1089, 10.1072) * CHOOSE(CONTROL!$C$20, $D$12, 100%, $F$12)</f>
        <v>10.1089</v>
      </c>
      <c r="C374" s="7">
        <f>CHOOSE( CONTROL!$C$37, 10.1169, 10.1152) * CHOOSE(CONTROL!$C$20, $D$12, 100%, $F$12)</f>
        <v>10.116899999999999</v>
      </c>
      <c r="D374" s="7">
        <f>CHOOSE( CONTROL!$C$37, 10.1231, 10.1214) * CHOOSE( CONTROL!$C$20, $D$12, 100%, $F$12)</f>
        <v>10.123100000000001</v>
      </c>
      <c r="E374" s="10">
        <f>CHOOSE( CONTROL!$C$37, 10.1196, 10.1179) * CHOOSE( CONTROL!$C$20, $D$12, 100%, $F$12)</f>
        <v>10.1196</v>
      </c>
      <c r="F374" s="4">
        <f>CHOOSE( CONTROL!$C$37, 10.8342, 10.8325) * CHOOSE(CONTROL!$C$20, $D$12, 100%, $F$12)</f>
        <v>10.834199999999999</v>
      </c>
      <c r="G374" s="7">
        <f>CHOOSE( CONTROL!$C$37, 10.0122, 10.0106) * CHOOSE( CONTROL!$C$20, $D$12, 100%, $F$12)</f>
        <v>10.0122</v>
      </c>
      <c r="H374" s="4">
        <f>CHOOSE( CONTROL!$C$37, 10.9569, 10.9552) * CHOOSE(CONTROL!$C$20, $D$12, 100%, $F$12)</f>
        <v>10.956899999999999</v>
      </c>
      <c r="I374" s="7">
        <f>CHOOSE( CONTROL!$C$37, 9.9322, 9.9306) * CHOOSE(CONTROL!$C$20, $D$12, 100%, $F$12)</f>
        <v>9.9321999999999999</v>
      </c>
      <c r="J374" s="4">
        <f>CHOOSE( CONTROL!$C$37, 9.803, 9.8014) * CHOOSE(CONTROL!$C$20, $D$12, 100%, $F$12)</f>
        <v>9.8030000000000008</v>
      </c>
      <c r="K374" s="4"/>
      <c r="L374" s="8">
        <v>29.7257</v>
      </c>
      <c r="M374" s="8">
        <v>11.6745</v>
      </c>
      <c r="N374" s="8">
        <v>4.7850000000000001</v>
      </c>
      <c r="O374" s="8">
        <v>0.36199999999999999</v>
      </c>
      <c r="P374" s="8">
        <v>1.2509999999999999</v>
      </c>
      <c r="Q374" s="8">
        <v>19.866599999999998</v>
      </c>
      <c r="R374" s="8"/>
    </row>
    <row r="375" spans="1:18" ht="14.25" customHeight="1">
      <c r="A375" s="11">
        <v>52535</v>
      </c>
      <c r="B375" s="7">
        <f>CHOOSE( CONTROL!$C$37, 10.5563, 10.5552) * CHOOSE(CONTROL!$C$20, $D$12, 100%, $F$12)</f>
        <v>10.5563</v>
      </c>
      <c r="C375" s="7">
        <f>CHOOSE( CONTROL!$C$37, 10.5616, 10.5605) * CHOOSE(CONTROL!$C$20, $D$12, 100%, $F$12)</f>
        <v>10.5616</v>
      </c>
      <c r="D375" s="7">
        <f>CHOOSE( CONTROL!$C$37, 10.5736, 10.5725) * CHOOSE( CONTROL!$C$20, $D$12, 100%, $F$12)</f>
        <v>10.573600000000001</v>
      </c>
      <c r="E375" s="10">
        <f>CHOOSE( CONTROL!$C$37, 10.5691, 10.568) * CHOOSE( CONTROL!$C$20, $D$12, 100%, $F$12)</f>
        <v>10.569100000000001</v>
      </c>
      <c r="F375" s="4">
        <f>CHOOSE( CONTROL!$C$37, 11.2833, 11.2822) * CHOOSE(CONTROL!$C$20, $D$12, 100%, $F$12)</f>
        <v>11.283300000000001</v>
      </c>
      <c r="G375" s="7">
        <f>CHOOSE( CONTROL!$C$37, 10.4552, 10.4541) * CHOOSE( CONTROL!$C$20, $D$12, 100%, $F$12)</f>
        <v>10.4552</v>
      </c>
      <c r="H375" s="4">
        <f>CHOOSE( CONTROL!$C$37, 11.3997, 11.3986) * CHOOSE(CONTROL!$C$20, $D$12, 100%, $F$12)</f>
        <v>11.399699999999999</v>
      </c>
      <c r="I375" s="7">
        <f>CHOOSE( CONTROL!$C$37, 10.3679, 10.3668) * CHOOSE(CONTROL!$C$20, $D$12, 100%, $F$12)</f>
        <v>10.367900000000001</v>
      </c>
      <c r="J375" s="4">
        <f>CHOOSE( CONTROL!$C$37, 10.2379, 10.2369) * CHOOSE(CONTROL!$C$20, $D$12, 100%, $F$12)</f>
        <v>10.2379</v>
      </c>
      <c r="K375" s="4"/>
      <c r="L375" s="8">
        <v>31.095300000000002</v>
      </c>
      <c r="M375" s="8">
        <v>12.063700000000001</v>
      </c>
      <c r="N375" s="8">
        <v>4.9444999999999997</v>
      </c>
      <c r="O375" s="8">
        <v>0.37409999999999999</v>
      </c>
      <c r="P375" s="8">
        <v>1.2927</v>
      </c>
      <c r="Q375" s="8">
        <v>20.5288</v>
      </c>
      <c r="R375" s="8"/>
    </row>
    <row r="376" spans="1:18" ht="14.25" customHeight="1">
      <c r="A376" s="11">
        <v>52565</v>
      </c>
      <c r="B376" s="7">
        <f>CHOOSE( CONTROL!$C$37, 11.3859, 11.3848) * CHOOSE(CONTROL!$C$20, $D$12, 100%, $F$12)</f>
        <v>11.385899999999999</v>
      </c>
      <c r="C376" s="7">
        <f>CHOOSE( CONTROL!$C$37, 11.391, 11.3899) * CHOOSE(CONTROL!$C$20, $D$12, 100%, $F$12)</f>
        <v>11.391</v>
      </c>
      <c r="D376" s="7">
        <f>CHOOSE( CONTROL!$C$37, 11.3694, 11.3683) * CHOOSE( CONTROL!$C$20, $D$12, 100%, $F$12)</f>
        <v>11.369400000000001</v>
      </c>
      <c r="E376" s="10">
        <f>CHOOSE( CONTROL!$C$37, 11.3768, 11.3757) * CHOOSE( CONTROL!$C$20, $D$12, 100%, $F$12)</f>
        <v>11.376799999999999</v>
      </c>
      <c r="F376" s="4">
        <f>CHOOSE( CONTROL!$C$37, 12.0384, 12.0373) * CHOOSE(CONTROL!$C$20, $D$12, 100%, $F$12)</f>
        <v>12.038399999999999</v>
      </c>
      <c r="G376" s="7">
        <f>CHOOSE( CONTROL!$C$37, 11.2597, 11.2586) * CHOOSE( CONTROL!$C$20, $D$12, 100%, $F$12)</f>
        <v>11.2597</v>
      </c>
      <c r="H376" s="4">
        <f>CHOOSE( CONTROL!$C$37, 12.1443, 12.1432) * CHOOSE(CONTROL!$C$20, $D$12, 100%, $F$12)</f>
        <v>12.144299999999999</v>
      </c>
      <c r="I376" s="7">
        <f>CHOOSE( CONTROL!$C$37, 11.2232, 11.2221) * CHOOSE(CONTROL!$C$20, $D$12, 100%, $F$12)</f>
        <v>11.2232</v>
      </c>
      <c r="J376" s="4">
        <f>CHOOSE( CONTROL!$C$37, 11.0416, 11.0405) * CHOOSE(CONTROL!$C$20, $D$12, 100%, $F$12)</f>
        <v>11.041600000000001</v>
      </c>
      <c r="K376" s="4"/>
      <c r="L376" s="8">
        <v>28.360600000000002</v>
      </c>
      <c r="M376" s="8">
        <v>11.6745</v>
      </c>
      <c r="N376" s="8">
        <v>4.7850000000000001</v>
      </c>
      <c r="O376" s="8">
        <v>0.36199999999999999</v>
      </c>
      <c r="P376" s="8">
        <v>1.2509999999999999</v>
      </c>
      <c r="Q376" s="8">
        <v>19.866599999999998</v>
      </c>
      <c r="R376" s="8"/>
    </row>
    <row r="377" spans="1:18" ht="14.25" customHeight="1">
      <c r="A377" s="11">
        <v>52596</v>
      </c>
      <c r="B377" s="7">
        <f>CHOOSE( CONTROL!$C$37, 11.3651, 11.364) * CHOOSE(CONTROL!$C$20, $D$12, 100%, $F$12)</f>
        <v>11.3651</v>
      </c>
      <c r="C377" s="7">
        <f>CHOOSE( CONTROL!$C$37, 11.3702, 11.3691) * CHOOSE(CONTROL!$C$20, $D$12, 100%, $F$12)</f>
        <v>11.370200000000001</v>
      </c>
      <c r="D377" s="7">
        <f>CHOOSE( CONTROL!$C$37, 11.3502, 11.3492) * CHOOSE( CONTROL!$C$20, $D$12, 100%, $F$12)</f>
        <v>11.350199999999999</v>
      </c>
      <c r="E377" s="10">
        <f>CHOOSE( CONTROL!$C$37, 11.357, 11.3559) * CHOOSE( CONTROL!$C$20, $D$12, 100%, $F$12)</f>
        <v>11.356999999999999</v>
      </c>
      <c r="F377" s="4">
        <f>CHOOSE( CONTROL!$C$37, 12.0177, 12.0166) * CHOOSE(CONTROL!$C$20, $D$12, 100%, $F$12)</f>
        <v>12.0177</v>
      </c>
      <c r="G377" s="7">
        <f>CHOOSE( CONTROL!$C$37, 11.2404, 11.2393) * CHOOSE( CONTROL!$C$20, $D$12, 100%, $F$12)</f>
        <v>11.240399999999999</v>
      </c>
      <c r="H377" s="4">
        <f>CHOOSE( CONTROL!$C$37, 12.1238, 12.1228) * CHOOSE(CONTROL!$C$20, $D$12, 100%, $F$12)</f>
        <v>12.123799999999999</v>
      </c>
      <c r="I377" s="7">
        <f>CHOOSE( CONTROL!$C$37, 11.2079, 11.2069) * CHOOSE(CONTROL!$C$20, $D$12, 100%, $F$12)</f>
        <v>11.2079</v>
      </c>
      <c r="J377" s="4">
        <f>CHOOSE( CONTROL!$C$37, 11.0215, 11.0205) * CHOOSE(CONTROL!$C$20, $D$12, 100%, $F$12)</f>
        <v>11.0215</v>
      </c>
      <c r="K377" s="4"/>
      <c r="L377" s="8">
        <v>29.306000000000001</v>
      </c>
      <c r="M377" s="8">
        <v>12.063700000000001</v>
      </c>
      <c r="N377" s="8">
        <v>4.9444999999999997</v>
      </c>
      <c r="O377" s="8">
        <v>0.37409999999999999</v>
      </c>
      <c r="P377" s="8">
        <v>1.2927</v>
      </c>
      <c r="Q377" s="8">
        <v>20.5288</v>
      </c>
      <c r="R377" s="8"/>
    </row>
    <row r="378" spans="1:18" ht="14.25" customHeight="1">
      <c r="A378" s="11">
        <v>52627</v>
      </c>
      <c r="B378" s="7">
        <f>CHOOSE( CONTROL!$C$37, 11.7008, 11.6997) * CHOOSE(CONTROL!$C$20, $D$12, 100%, $F$12)</f>
        <v>11.700799999999999</v>
      </c>
      <c r="C378" s="7">
        <f>CHOOSE( CONTROL!$C$37, 11.7059, 11.7048) * CHOOSE(CONTROL!$C$20, $D$12, 100%, $F$12)</f>
        <v>11.7059</v>
      </c>
      <c r="D378" s="7">
        <f>CHOOSE( CONTROL!$C$37, 11.699, 11.698) * CHOOSE( CONTROL!$C$20, $D$12, 100%, $F$12)</f>
        <v>11.699</v>
      </c>
      <c r="E378" s="10">
        <f>CHOOSE( CONTROL!$C$37, 11.701, 11.6999) * CHOOSE( CONTROL!$C$20, $D$12, 100%, $F$12)</f>
        <v>11.701000000000001</v>
      </c>
      <c r="F378" s="4">
        <f>CHOOSE( CONTROL!$C$37, 12.3534, 12.3523) * CHOOSE(CONTROL!$C$20, $D$12, 100%, $F$12)</f>
        <v>12.353400000000001</v>
      </c>
      <c r="G378" s="7">
        <f>CHOOSE( CONTROL!$C$37, 11.5759, 11.5748) * CHOOSE( CONTROL!$C$20, $D$12, 100%, $F$12)</f>
        <v>11.575900000000001</v>
      </c>
      <c r="H378" s="4">
        <f>CHOOSE( CONTROL!$C$37, 12.4549, 12.4538) * CHOOSE(CONTROL!$C$20, $D$12, 100%, $F$12)</f>
        <v>12.4549</v>
      </c>
      <c r="I378" s="7">
        <f>CHOOSE( CONTROL!$C$37, 11.5045, 11.5034) * CHOOSE(CONTROL!$C$20, $D$12, 100%, $F$12)</f>
        <v>11.5045</v>
      </c>
      <c r="J378" s="4">
        <f>CHOOSE( CONTROL!$C$37, 11.3466, 11.3455) * CHOOSE(CONTROL!$C$20, $D$12, 100%, $F$12)</f>
        <v>11.3466</v>
      </c>
      <c r="K378" s="4"/>
      <c r="L378" s="8">
        <v>29.306000000000001</v>
      </c>
      <c r="M378" s="8">
        <v>12.063700000000001</v>
      </c>
      <c r="N378" s="8">
        <v>4.9444999999999997</v>
      </c>
      <c r="O378" s="8">
        <v>0.37409999999999999</v>
      </c>
      <c r="P378" s="8">
        <v>1.2927</v>
      </c>
      <c r="Q378" s="8">
        <v>20.4619</v>
      </c>
      <c r="R378" s="8"/>
    </row>
    <row r="379" spans="1:18" ht="14.25" customHeight="1">
      <c r="A379" s="11">
        <v>52655</v>
      </c>
      <c r="B379" s="7">
        <f>CHOOSE( CONTROL!$C$37, 10.9434, 10.9423) * CHOOSE(CONTROL!$C$20, $D$12, 100%, $F$12)</f>
        <v>10.9434</v>
      </c>
      <c r="C379" s="7">
        <f>CHOOSE( CONTROL!$C$37, 10.9485, 10.9474) * CHOOSE(CONTROL!$C$20, $D$12, 100%, $F$12)</f>
        <v>10.948499999999999</v>
      </c>
      <c r="D379" s="7">
        <f>CHOOSE( CONTROL!$C$37, 10.9415, 10.9404) * CHOOSE( CONTROL!$C$20, $D$12, 100%, $F$12)</f>
        <v>10.9415</v>
      </c>
      <c r="E379" s="10">
        <f>CHOOSE( CONTROL!$C$37, 10.9435, 10.9424) * CHOOSE( CONTROL!$C$20, $D$12, 100%, $F$12)</f>
        <v>10.9435</v>
      </c>
      <c r="F379" s="4">
        <f>CHOOSE( CONTROL!$C$37, 11.5959, 11.5948) * CHOOSE(CONTROL!$C$20, $D$12, 100%, $F$12)</f>
        <v>11.5959</v>
      </c>
      <c r="G379" s="7">
        <f>CHOOSE( CONTROL!$C$37, 10.8289, 10.8279) * CHOOSE( CONTROL!$C$20, $D$12, 100%, $F$12)</f>
        <v>10.828900000000001</v>
      </c>
      <c r="H379" s="4">
        <f>CHOOSE( CONTROL!$C$37, 11.708, 11.7069) * CHOOSE(CONTROL!$C$20, $D$12, 100%, $F$12)</f>
        <v>11.708</v>
      </c>
      <c r="I379" s="7">
        <f>CHOOSE( CONTROL!$C$37, 10.7704, 10.7693) * CHOOSE(CONTROL!$C$20, $D$12, 100%, $F$12)</f>
        <v>10.7704</v>
      </c>
      <c r="J379" s="4">
        <f>CHOOSE( CONTROL!$C$37, 10.6131, 10.6121) * CHOOSE(CONTROL!$C$20, $D$12, 100%, $F$12)</f>
        <v>10.613099999999999</v>
      </c>
      <c r="K379" s="4"/>
      <c r="L379" s="8">
        <v>27.415299999999998</v>
      </c>
      <c r="M379" s="8">
        <v>11.285299999999999</v>
      </c>
      <c r="N379" s="8">
        <v>4.6254999999999997</v>
      </c>
      <c r="O379" s="8">
        <v>0.34989999999999999</v>
      </c>
      <c r="P379" s="8">
        <v>1.2093</v>
      </c>
      <c r="Q379" s="8">
        <v>19.1417</v>
      </c>
      <c r="R379" s="8"/>
    </row>
    <row r="380" spans="1:18" ht="14.25" customHeight="1">
      <c r="A380" s="11">
        <v>52687</v>
      </c>
      <c r="B380" s="7">
        <f>CHOOSE( CONTROL!$C$37, 10.7101, 10.709) * CHOOSE(CONTROL!$C$20, $D$12, 100%, $F$12)</f>
        <v>10.710100000000001</v>
      </c>
      <c r="C380" s="7">
        <f>CHOOSE( CONTROL!$C$37, 10.7152, 10.7141) * CHOOSE(CONTROL!$C$20, $D$12, 100%, $F$12)</f>
        <v>10.715199999999999</v>
      </c>
      <c r="D380" s="7">
        <f>CHOOSE( CONTROL!$C$37, 10.7076, 10.7065) * CHOOSE( CONTROL!$C$20, $D$12, 100%, $F$12)</f>
        <v>10.707599999999999</v>
      </c>
      <c r="E380" s="10">
        <f>CHOOSE( CONTROL!$C$37, 10.7098, 10.7087) * CHOOSE( CONTROL!$C$20, $D$12, 100%, $F$12)</f>
        <v>10.7098</v>
      </c>
      <c r="F380" s="4">
        <f>CHOOSE( CONTROL!$C$37, 11.3626, 11.3615) * CHOOSE(CONTROL!$C$20, $D$12, 100%, $F$12)</f>
        <v>11.3626</v>
      </c>
      <c r="G380" s="7">
        <f>CHOOSE( CONTROL!$C$37, 10.5984, 10.5974) * CHOOSE( CONTROL!$C$20, $D$12, 100%, $F$12)</f>
        <v>10.5984</v>
      </c>
      <c r="H380" s="4">
        <f>CHOOSE( CONTROL!$C$37, 11.4779, 11.4768) * CHOOSE(CONTROL!$C$20, $D$12, 100%, $F$12)</f>
        <v>11.4779</v>
      </c>
      <c r="I380" s="7">
        <f>CHOOSE( CONTROL!$C$37, 10.5424, 10.5414) * CHOOSE(CONTROL!$C$20, $D$12, 100%, $F$12)</f>
        <v>10.542400000000001</v>
      </c>
      <c r="J380" s="4">
        <f>CHOOSE( CONTROL!$C$37, 10.3872, 10.3862) * CHOOSE(CONTROL!$C$20, $D$12, 100%, $F$12)</f>
        <v>10.3872</v>
      </c>
      <c r="K380" s="4"/>
      <c r="L380" s="8">
        <v>29.306000000000001</v>
      </c>
      <c r="M380" s="8">
        <v>12.063700000000001</v>
      </c>
      <c r="N380" s="8">
        <v>4.9444999999999997</v>
      </c>
      <c r="O380" s="8">
        <v>0.37409999999999999</v>
      </c>
      <c r="P380" s="8">
        <v>1.2927</v>
      </c>
      <c r="Q380" s="8">
        <v>20.4619</v>
      </c>
      <c r="R380" s="8"/>
    </row>
    <row r="381" spans="1:18" ht="14.25" customHeight="1">
      <c r="A381" s="11">
        <v>52717</v>
      </c>
      <c r="B381" s="7">
        <f>CHOOSE( CONTROL!$C$37, 10.8738, 10.8728) * CHOOSE(CONTROL!$C$20, $D$12, 100%, $F$12)</f>
        <v>10.873799999999999</v>
      </c>
      <c r="C381" s="7">
        <f>CHOOSE( CONTROL!$C$37, 10.8784, 10.8773) * CHOOSE(CONTROL!$C$20, $D$12, 100%, $F$12)</f>
        <v>10.878399999999999</v>
      </c>
      <c r="D381" s="7">
        <f>CHOOSE( CONTROL!$C$37, 10.8902, 10.8891) * CHOOSE( CONTROL!$C$20, $D$12, 100%, $F$12)</f>
        <v>10.8902</v>
      </c>
      <c r="E381" s="10">
        <f>CHOOSE( CONTROL!$C$37, 10.8858, 10.8847) * CHOOSE( CONTROL!$C$20, $D$12, 100%, $F$12)</f>
        <v>10.8858</v>
      </c>
      <c r="F381" s="4">
        <f>CHOOSE( CONTROL!$C$37, 11.6005, 11.5994) * CHOOSE(CONTROL!$C$20, $D$12, 100%, $F$12)</f>
        <v>11.6005</v>
      </c>
      <c r="G381" s="7">
        <f>CHOOSE( CONTROL!$C$37, 10.7674, 10.7664) * CHOOSE( CONTROL!$C$20, $D$12, 100%, $F$12)</f>
        <v>10.7674</v>
      </c>
      <c r="H381" s="4">
        <f>CHOOSE( CONTROL!$C$37, 11.7125, 11.7114) * CHOOSE(CONTROL!$C$20, $D$12, 100%, $F$12)</f>
        <v>11.7125</v>
      </c>
      <c r="I381" s="7">
        <f>CHOOSE( CONTROL!$C$37, 10.6729, 10.6719) * CHOOSE(CONTROL!$C$20, $D$12, 100%, $F$12)</f>
        <v>10.6729</v>
      </c>
      <c r="J381" s="4">
        <f>CHOOSE( CONTROL!$C$37, 10.5451, 10.544) * CHOOSE(CONTROL!$C$20, $D$12, 100%, $F$12)</f>
        <v>10.5451</v>
      </c>
      <c r="K381" s="4"/>
      <c r="L381" s="8">
        <v>30.092199999999998</v>
      </c>
      <c r="M381" s="8">
        <v>11.6745</v>
      </c>
      <c r="N381" s="8">
        <v>4.7850000000000001</v>
      </c>
      <c r="O381" s="8">
        <v>0.36199999999999999</v>
      </c>
      <c r="P381" s="8">
        <v>1.2509999999999999</v>
      </c>
      <c r="Q381" s="8">
        <v>19.8018</v>
      </c>
      <c r="R381" s="8"/>
    </row>
    <row r="382" spans="1:18" ht="14.25" customHeight="1">
      <c r="A382" s="11">
        <v>52748</v>
      </c>
      <c r="B382" s="7">
        <f>CHOOSE( CONTROL!$C$37, 11.1659, 11.1643) * CHOOSE(CONTROL!$C$20, $D$12, 100%, $F$12)</f>
        <v>11.165900000000001</v>
      </c>
      <c r="C382" s="7">
        <f>CHOOSE( CONTROL!$C$37, 11.1739, 11.1723) * CHOOSE(CONTROL!$C$20, $D$12, 100%, $F$12)</f>
        <v>11.1739</v>
      </c>
      <c r="D382" s="7">
        <f>CHOOSE( CONTROL!$C$37, 11.1796, 11.1779) * CHOOSE( CONTROL!$C$20, $D$12, 100%, $F$12)</f>
        <v>11.179600000000001</v>
      </c>
      <c r="E382" s="10">
        <f>CHOOSE( CONTROL!$C$37, 11.1763, 11.1747) * CHOOSE( CONTROL!$C$20, $D$12, 100%, $F$12)</f>
        <v>11.176299999999999</v>
      </c>
      <c r="F382" s="4">
        <f>CHOOSE( CONTROL!$C$37, 11.8912, 11.8896) * CHOOSE(CONTROL!$C$20, $D$12, 100%, $F$12)</f>
        <v>11.8912</v>
      </c>
      <c r="G382" s="7">
        <f>CHOOSE( CONTROL!$C$37, 11.0541, 11.0524) * CHOOSE( CONTROL!$C$20, $D$12, 100%, $F$12)</f>
        <v>11.0541</v>
      </c>
      <c r="H382" s="4">
        <f>CHOOSE( CONTROL!$C$37, 11.9992, 11.9975) * CHOOSE(CONTROL!$C$20, $D$12, 100%, $F$12)</f>
        <v>11.9992</v>
      </c>
      <c r="I382" s="7">
        <f>CHOOSE( CONTROL!$C$37, 10.9543, 10.9527) * CHOOSE(CONTROL!$C$20, $D$12, 100%, $F$12)</f>
        <v>10.9543</v>
      </c>
      <c r="J382" s="4">
        <f>CHOOSE( CONTROL!$C$37, 10.8266, 10.825) * CHOOSE(CONTROL!$C$20, $D$12, 100%, $F$12)</f>
        <v>10.826599999999999</v>
      </c>
      <c r="K382" s="4"/>
      <c r="L382" s="8">
        <v>30.7165</v>
      </c>
      <c r="M382" s="8">
        <v>12.063700000000001</v>
      </c>
      <c r="N382" s="8">
        <v>4.9444999999999997</v>
      </c>
      <c r="O382" s="8">
        <v>0.37409999999999999</v>
      </c>
      <c r="P382" s="8">
        <v>1.2927</v>
      </c>
      <c r="Q382" s="8">
        <v>20.4619</v>
      </c>
      <c r="R382" s="8"/>
    </row>
    <row r="383" spans="1:18" ht="14.25" customHeight="1">
      <c r="A383" s="11">
        <v>52778</v>
      </c>
      <c r="B383" s="7">
        <f>CHOOSE( CONTROL!$C$37, 10.9862, 10.9845) * CHOOSE(CONTROL!$C$20, $D$12, 100%, $F$12)</f>
        <v>10.9862</v>
      </c>
      <c r="C383" s="7">
        <f>CHOOSE( CONTROL!$C$37, 10.9942, 10.9925) * CHOOSE(CONTROL!$C$20, $D$12, 100%, $F$12)</f>
        <v>10.994199999999999</v>
      </c>
      <c r="D383" s="7">
        <f>CHOOSE( CONTROL!$C$37, 11.0001, 10.9985) * CHOOSE( CONTROL!$C$20, $D$12, 100%, $F$12)</f>
        <v>11.0001</v>
      </c>
      <c r="E383" s="10">
        <f>CHOOSE( CONTROL!$C$37, 10.9967, 10.9951) * CHOOSE( CONTROL!$C$20, $D$12, 100%, $F$12)</f>
        <v>10.996700000000001</v>
      </c>
      <c r="F383" s="4">
        <f>CHOOSE( CONTROL!$C$37, 11.7115, 11.7098) * CHOOSE(CONTROL!$C$20, $D$12, 100%, $F$12)</f>
        <v>11.711499999999999</v>
      </c>
      <c r="G383" s="7">
        <f>CHOOSE( CONTROL!$C$37, 10.877, 10.8754) * CHOOSE( CONTROL!$C$20, $D$12, 100%, $F$12)</f>
        <v>10.877000000000001</v>
      </c>
      <c r="H383" s="4">
        <f>CHOOSE( CONTROL!$C$37, 11.8219, 11.8203) * CHOOSE(CONTROL!$C$20, $D$12, 100%, $F$12)</f>
        <v>11.821899999999999</v>
      </c>
      <c r="I383" s="7">
        <f>CHOOSE( CONTROL!$C$37, 10.7811, 10.7795) * CHOOSE(CONTROL!$C$20, $D$12, 100%, $F$12)</f>
        <v>10.7811</v>
      </c>
      <c r="J383" s="4">
        <f>CHOOSE( CONTROL!$C$37, 10.6525, 10.6509) * CHOOSE(CONTROL!$C$20, $D$12, 100%, $F$12)</f>
        <v>10.6525</v>
      </c>
      <c r="K383" s="4"/>
      <c r="L383" s="8">
        <v>29.7257</v>
      </c>
      <c r="M383" s="8">
        <v>11.6745</v>
      </c>
      <c r="N383" s="8">
        <v>4.7850000000000001</v>
      </c>
      <c r="O383" s="8">
        <v>0.36199999999999999</v>
      </c>
      <c r="P383" s="8">
        <v>1.2509999999999999</v>
      </c>
      <c r="Q383" s="8">
        <v>19.8018</v>
      </c>
      <c r="R383" s="8"/>
    </row>
    <row r="384" spans="1:18" ht="14.25" customHeight="1">
      <c r="A384" s="11">
        <v>52809</v>
      </c>
      <c r="B384" s="7">
        <f>CHOOSE( CONTROL!$C$37, 11.4595, 11.4579) * CHOOSE(CONTROL!$C$20, $D$12, 100%, $F$12)</f>
        <v>11.4595</v>
      </c>
      <c r="C384" s="7">
        <f>CHOOSE( CONTROL!$C$37, 11.4675, 11.4658) * CHOOSE(CONTROL!$C$20, $D$12, 100%, $F$12)</f>
        <v>11.467499999999999</v>
      </c>
      <c r="D384" s="7">
        <f>CHOOSE( CONTROL!$C$37, 11.4737, 11.4721) * CHOOSE( CONTROL!$C$20, $D$12, 100%, $F$12)</f>
        <v>11.473699999999999</v>
      </c>
      <c r="E384" s="10">
        <f>CHOOSE( CONTROL!$C$37, 11.4702, 11.4686) * CHOOSE( CONTROL!$C$20, $D$12, 100%, $F$12)</f>
        <v>11.4702</v>
      </c>
      <c r="F384" s="4">
        <f>CHOOSE( CONTROL!$C$37, 12.1848, 12.1831) * CHOOSE(CONTROL!$C$20, $D$12, 100%, $F$12)</f>
        <v>12.184799999999999</v>
      </c>
      <c r="G384" s="7">
        <f>CHOOSE( CONTROL!$C$37, 11.344, 11.3424) * CHOOSE( CONTROL!$C$20, $D$12, 100%, $F$12)</f>
        <v>11.343999999999999</v>
      </c>
      <c r="H384" s="4">
        <f>CHOOSE( CONTROL!$C$37, 12.2886, 12.287) * CHOOSE(CONTROL!$C$20, $D$12, 100%, $F$12)</f>
        <v>12.288600000000001</v>
      </c>
      <c r="I384" s="7">
        <f>CHOOSE( CONTROL!$C$37, 11.2407, 11.2391) * CHOOSE(CONTROL!$C$20, $D$12, 100%, $F$12)</f>
        <v>11.2407</v>
      </c>
      <c r="J384" s="4">
        <f>CHOOSE( CONTROL!$C$37, 11.1108, 11.1092) * CHOOSE(CONTROL!$C$20, $D$12, 100%, $F$12)</f>
        <v>11.110799999999999</v>
      </c>
      <c r="K384" s="4"/>
      <c r="L384" s="8">
        <v>30.7165</v>
      </c>
      <c r="M384" s="8">
        <v>12.063700000000001</v>
      </c>
      <c r="N384" s="8">
        <v>4.9444999999999997</v>
      </c>
      <c r="O384" s="8">
        <v>0.37409999999999999</v>
      </c>
      <c r="P384" s="8">
        <v>1.2927</v>
      </c>
      <c r="Q384" s="8">
        <v>20.4619</v>
      </c>
      <c r="R384" s="8"/>
    </row>
    <row r="385" spans="1:18" ht="14.25" customHeight="1">
      <c r="A385" s="11">
        <v>52840</v>
      </c>
      <c r="B385" s="7">
        <f>CHOOSE( CONTROL!$C$37, 10.5739, 10.5722) * CHOOSE(CONTROL!$C$20, $D$12, 100%, $F$12)</f>
        <v>10.5739</v>
      </c>
      <c r="C385" s="7">
        <f>CHOOSE( CONTROL!$C$37, 10.5819, 10.5802) * CHOOSE(CONTROL!$C$20, $D$12, 100%, $F$12)</f>
        <v>10.581899999999999</v>
      </c>
      <c r="D385" s="7">
        <f>CHOOSE( CONTROL!$C$37, 10.5882, 10.5865) * CHOOSE( CONTROL!$C$20, $D$12, 100%, $F$12)</f>
        <v>10.588200000000001</v>
      </c>
      <c r="E385" s="10">
        <f>CHOOSE( CONTROL!$C$37, 10.5847, 10.583) * CHOOSE( CONTROL!$C$20, $D$12, 100%, $F$12)</f>
        <v>10.5847</v>
      </c>
      <c r="F385" s="4">
        <f>CHOOSE( CONTROL!$C$37, 11.2992, 11.2975) * CHOOSE(CONTROL!$C$20, $D$12, 100%, $F$12)</f>
        <v>11.299200000000001</v>
      </c>
      <c r="G385" s="7">
        <f>CHOOSE( CONTROL!$C$37, 10.4708, 10.4692) * CHOOSE( CONTROL!$C$20, $D$12, 100%, $F$12)</f>
        <v>10.470800000000001</v>
      </c>
      <c r="H385" s="4">
        <f>CHOOSE( CONTROL!$C$37, 11.4154, 11.4137) * CHOOSE(CONTROL!$C$20, $D$12, 100%, $F$12)</f>
        <v>11.4154</v>
      </c>
      <c r="I385" s="7">
        <f>CHOOSE( CONTROL!$C$37, 10.383, 10.3814) * CHOOSE(CONTROL!$C$20, $D$12, 100%, $F$12)</f>
        <v>10.382999999999999</v>
      </c>
      <c r="J385" s="4">
        <f>CHOOSE( CONTROL!$C$37, 10.2533, 10.2517) * CHOOSE(CONTROL!$C$20, $D$12, 100%, $F$12)</f>
        <v>10.253299999999999</v>
      </c>
      <c r="K385" s="4"/>
      <c r="L385" s="8">
        <v>30.7165</v>
      </c>
      <c r="M385" s="8">
        <v>12.063700000000001</v>
      </c>
      <c r="N385" s="8">
        <v>4.9444999999999997</v>
      </c>
      <c r="O385" s="8">
        <v>0.37409999999999999</v>
      </c>
      <c r="P385" s="8">
        <v>1.2927</v>
      </c>
      <c r="Q385" s="8">
        <v>20.4619</v>
      </c>
      <c r="R385" s="8"/>
    </row>
    <row r="386" spans="1:18" ht="14.25" customHeight="1">
      <c r="A386" s="11">
        <v>52870</v>
      </c>
      <c r="B386" s="7">
        <f>CHOOSE( CONTROL!$C$37, 10.3521, 10.3505) * CHOOSE(CONTROL!$C$20, $D$12, 100%, $F$12)</f>
        <v>10.3521</v>
      </c>
      <c r="C386" s="7">
        <f>CHOOSE( CONTROL!$C$37, 10.3601, 10.3585) * CHOOSE(CONTROL!$C$20, $D$12, 100%, $F$12)</f>
        <v>10.360099999999999</v>
      </c>
      <c r="D386" s="7">
        <f>CHOOSE( CONTROL!$C$37, 10.3663, 10.3647) * CHOOSE( CONTROL!$C$20, $D$12, 100%, $F$12)</f>
        <v>10.366300000000001</v>
      </c>
      <c r="E386" s="10">
        <f>CHOOSE( CONTROL!$C$37, 10.3628, 10.3612) * CHOOSE( CONTROL!$C$20, $D$12, 100%, $F$12)</f>
        <v>10.3628</v>
      </c>
      <c r="F386" s="4">
        <f>CHOOSE( CONTROL!$C$37, 11.0774, 11.0757) * CHOOSE(CONTROL!$C$20, $D$12, 100%, $F$12)</f>
        <v>11.077400000000001</v>
      </c>
      <c r="G386" s="7">
        <f>CHOOSE( CONTROL!$C$37, 10.252, 10.2504) * CHOOSE( CONTROL!$C$20, $D$12, 100%, $F$12)</f>
        <v>10.252000000000001</v>
      </c>
      <c r="H386" s="4">
        <f>CHOOSE( CONTROL!$C$37, 11.1967, 11.1951) * CHOOSE(CONTROL!$C$20, $D$12, 100%, $F$12)</f>
        <v>11.1967</v>
      </c>
      <c r="I386" s="7">
        <f>CHOOSE( CONTROL!$C$37, 10.1678, 10.1662) * CHOOSE(CONTROL!$C$20, $D$12, 100%, $F$12)</f>
        <v>10.1678</v>
      </c>
      <c r="J386" s="4">
        <f>CHOOSE( CONTROL!$C$37, 10.0385, 10.0369) * CHOOSE(CONTROL!$C$20, $D$12, 100%, $F$12)</f>
        <v>10.038500000000001</v>
      </c>
      <c r="K386" s="4"/>
      <c r="L386" s="8">
        <v>29.7257</v>
      </c>
      <c r="M386" s="8">
        <v>11.6745</v>
      </c>
      <c r="N386" s="8">
        <v>4.7850000000000001</v>
      </c>
      <c r="O386" s="8">
        <v>0.36199999999999999</v>
      </c>
      <c r="P386" s="8">
        <v>1.2509999999999999</v>
      </c>
      <c r="Q386" s="8">
        <v>19.8018</v>
      </c>
      <c r="R386" s="8"/>
    </row>
    <row r="387" spans="1:18" ht="14.25" customHeight="1">
      <c r="A387" s="11">
        <v>52901</v>
      </c>
      <c r="B387" s="7">
        <f>CHOOSE( CONTROL!$C$37, 10.8103, 10.8092) * CHOOSE(CONTROL!$C$20, $D$12, 100%, $F$12)</f>
        <v>10.8103</v>
      </c>
      <c r="C387" s="7">
        <f>CHOOSE( CONTROL!$C$37, 10.8156, 10.8146) * CHOOSE(CONTROL!$C$20, $D$12, 100%, $F$12)</f>
        <v>10.8156</v>
      </c>
      <c r="D387" s="7">
        <f>CHOOSE( CONTROL!$C$37, 10.8277, 10.8266) * CHOOSE( CONTROL!$C$20, $D$12, 100%, $F$12)</f>
        <v>10.8277</v>
      </c>
      <c r="E387" s="10">
        <f>CHOOSE( CONTROL!$C$37, 10.8231, 10.8221) * CHOOSE( CONTROL!$C$20, $D$12, 100%, $F$12)</f>
        <v>10.8231</v>
      </c>
      <c r="F387" s="4">
        <f>CHOOSE( CONTROL!$C$37, 11.5373, 11.5362) * CHOOSE(CONTROL!$C$20, $D$12, 100%, $F$12)</f>
        <v>11.5373</v>
      </c>
      <c r="G387" s="7">
        <f>CHOOSE( CONTROL!$C$37, 10.7056, 10.7046) * CHOOSE( CONTROL!$C$20, $D$12, 100%, $F$12)</f>
        <v>10.7056</v>
      </c>
      <c r="H387" s="4">
        <f>CHOOSE( CONTROL!$C$37, 11.6502, 11.6491) * CHOOSE(CONTROL!$C$20, $D$12, 100%, $F$12)</f>
        <v>11.6502</v>
      </c>
      <c r="I387" s="7">
        <f>CHOOSE( CONTROL!$C$37, 10.614, 10.6129) * CHOOSE(CONTROL!$C$20, $D$12, 100%, $F$12)</f>
        <v>10.614000000000001</v>
      </c>
      <c r="J387" s="4">
        <f>CHOOSE( CONTROL!$C$37, 10.4839, 10.4828) * CHOOSE(CONTROL!$C$20, $D$12, 100%, $F$12)</f>
        <v>10.4839</v>
      </c>
      <c r="K387" s="4"/>
      <c r="L387" s="8">
        <v>31.095300000000002</v>
      </c>
      <c r="M387" s="8">
        <v>12.063700000000001</v>
      </c>
      <c r="N387" s="8">
        <v>4.9444999999999997</v>
      </c>
      <c r="O387" s="8">
        <v>0.37409999999999999</v>
      </c>
      <c r="P387" s="8">
        <v>1.2927</v>
      </c>
      <c r="Q387" s="8">
        <v>20.4619</v>
      </c>
      <c r="R387" s="8"/>
    </row>
    <row r="388" spans="1:18" ht="14.25" customHeight="1">
      <c r="A388" s="11">
        <v>52931</v>
      </c>
      <c r="B388" s="7">
        <f>CHOOSE( CONTROL!$C$37, 11.6598, 11.6587) * CHOOSE(CONTROL!$C$20, $D$12, 100%, $F$12)</f>
        <v>11.659800000000001</v>
      </c>
      <c r="C388" s="7">
        <f>CHOOSE( CONTROL!$C$37, 11.6649, 11.6638) * CHOOSE(CONTROL!$C$20, $D$12, 100%, $F$12)</f>
        <v>11.664899999999999</v>
      </c>
      <c r="D388" s="7">
        <f>CHOOSE( CONTROL!$C$37, 11.6434, 11.6423) * CHOOSE( CONTROL!$C$20, $D$12, 100%, $F$12)</f>
        <v>11.6434</v>
      </c>
      <c r="E388" s="10">
        <f>CHOOSE( CONTROL!$C$37, 11.6507, 11.6496) * CHOOSE( CONTROL!$C$20, $D$12, 100%, $F$12)</f>
        <v>11.650700000000001</v>
      </c>
      <c r="F388" s="4">
        <f>CHOOSE( CONTROL!$C$37, 12.3124, 12.3113) * CHOOSE(CONTROL!$C$20, $D$12, 100%, $F$12)</f>
        <v>12.3124</v>
      </c>
      <c r="G388" s="7">
        <f>CHOOSE( CONTROL!$C$37, 11.5298, 11.5288) * CHOOSE( CONTROL!$C$20, $D$12, 100%, $F$12)</f>
        <v>11.5298</v>
      </c>
      <c r="H388" s="4">
        <f>CHOOSE( CONTROL!$C$37, 12.4144, 12.4134) * CHOOSE(CONTROL!$C$20, $D$12, 100%, $F$12)</f>
        <v>12.414400000000001</v>
      </c>
      <c r="I388" s="7">
        <f>CHOOSE( CONTROL!$C$37, 11.4886, 11.4875) * CHOOSE(CONTROL!$C$20, $D$12, 100%, $F$12)</f>
        <v>11.4886</v>
      </c>
      <c r="J388" s="4">
        <f>CHOOSE( CONTROL!$C$37, 11.3069, 11.3058) * CHOOSE(CONTROL!$C$20, $D$12, 100%, $F$12)</f>
        <v>11.306900000000001</v>
      </c>
      <c r="K388" s="4"/>
      <c r="L388" s="8">
        <v>28.360600000000002</v>
      </c>
      <c r="M388" s="8">
        <v>11.6745</v>
      </c>
      <c r="N388" s="8">
        <v>4.7850000000000001</v>
      </c>
      <c r="O388" s="8">
        <v>0.36199999999999999</v>
      </c>
      <c r="P388" s="8">
        <v>1.2509999999999999</v>
      </c>
      <c r="Q388" s="8">
        <v>19.8018</v>
      </c>
      <c r="R388" s="8"/>
    </row>
    <row r="389" spans="1:18" ht="14.25" customHeight="1">
      <c r="A389" s="11">
        <v>52962</v>
      </c>
      <c r="B389" s="7">
        <f>CHOOSE( CONTROL!$C$37, 11.6386, 11.6375) * CHOOSE(CONTROL!$C$20, $D$12, 100%, $F$12)</f>
        <v>11.6386</v>
      </c>
      <c r="C389" s="7">
        <f>CHOOSE( CONTROL!$C$37, 11.6437, 11.6426) * CHOOSE(CONTROL!$C$20, $D$12, 100%, $F$12)</f>
        <v>11.643700000000001</v>
      </c>
      <c r="D389" s="7">
        <f>CHOOSE( CONTROL!$C$37, 11.6237, 11.6226) * CHOOSE( CONTROL!$C$20, $D$12, 100%, $F$12)</f>
        <v>11.623699999999999</v>
      </c>
      <c r="E389" s="10">
        <f>CHOOSE( CONTROL!$C$37, 11.6305, 11.6294) * CHOOSE( CONTROL!$C$20, $D$12, 100%, $F$12)</f>
        <v>11.6305</v>
      </c>
      <c r="F389" s="4">
        <f>CHOOSE( CONTROL!$C$37, 12.2911, 12.29) * CHOOSE(CONTROL!$C$20, $D$12, 100%, $F$12)</f>
        <v>12.2911</v>
      </c>
      <c r="G389" s="7">
        <f>CHOOSE( CONTROL!$C$37, 11.51, 11.5089) * CHOOSE( CONTROL!$C$20, $D$12, 100%, $F$12)</f>
        <v>11.51</v>
      </c>
      <c r="H389" s="4">
        <f>CHOOSE( CONTROL!$C$37, 12.3935, 12.3924) * CHOOSE(CONTROL!$C$20, $D$12, 100%, $F$12)</f>
        <v>12.3935</v>
      </c>
      <c r="I389" s="7">
        <f>CHOOSE( CONTROL!$C$37, 11.4729, 11.4718) * CHOOSE(CONTROL!$C$20, $D$12, 100%, $F$12)</f>
        <v>11.472899999999999</v>
      </c>
      <c r="J389" s="4">
        <f>CHOOSE( CONTROL!$C$37, 11.2863, 11.2853) * CHOOSE(CONTROL!$C$20, $D$12, 100%, $F$12)</f>
        <v>11.286300000000001</v>
      </c>
      <c r="K389" s="4"/>
      <c r="L389" s="8">
        <v>29.306000000000001</v>
      </c>
      <c r="M389" s="8">
        <v>12.063700000000001</v>
      </c>
      <c r="N389" s="8">
        <v>4.9444999999999997</v>
      </c>
      <c r="O389" s="8">
        <v>0.37409999999999999</v>
      </c>
      <c r="P389" s="8">
        <v>1.2927</v>
      </c>
      <c r="Q389" s="8">
        <v>20.4619</v>
      </c>
      <c r="R389" s="8"/>
    </row>
    <row r="390" spans="1:18" ht="14.25" customHeight="1">
      <c r="A390" s="11">
        <v>52993</v>
      </c>
      <c r="B390" s="7">
        <f>CHOOSE( CONTROL!$C$37, 11.9824, 11.9813) * CHOOSE(CONTROL!$C$20, $D$12, 100%, $F$12)</f>
        <v>11.9824</v>
      </c>
      <c r="C390" s="7">
        <f>CHOOSE( CONTROL!$C$37, 11.9875, 11.9864) * CHOOSE(CONTROL!$C$20, $D$12, 100%, $F$12)</f>
        <v>11.987500000000001</v>
      </c>
      <c r="D390" s="7">
        <f>CHOOSE( CONTROL!$C$37, 11.9806, 11.9795) * CHOOSE( CONTROL!$C$20, $D$12, 100%, $F$12)</f>
        <v>11.980600000000001</v>
      </c>
      <c r="E390" s="10">
        <f>CHOOSE( CONTROL!$C$37, 11.9826, 11.9815) * CHOOSE( CONTROL!$C$20, $D$12, 100%, $F$12)</f>
        <v>11.9826</v>
      </c>
      <c r="F390" s="4">
        <f>CHOOSE( CONTROL!$C$37, 12.6349, 12.6338) * CHOOSE(CONTROL!$C$20, $D$12, 100%, $F$12)</f>
        <v>12.6349</v>
      </c>
      <c r="G390" s="7">
        <f>CHOOSE( CONTROL!$C$37, 11.8535, 11.8524) * CHOOSE( CONTROL!$C$20, $D$12, 100%, $F$12)</f>
        <v>11.8535</v>
      </c>
      <c r="H390" s="4">
        <f>CHOOSE( CONTROL!$C$37, 12.7325, 12.7314) * CHOOSE(CONTROL!$C$20, $D$12, 100%, $F$12)</f>
        <v>12.7325</v>
      </c>
      <c r="I390" s="7">
        <f>CHOOSE( CONTROL!$C$37, 11.7772, 11.7762) * CHOOSE(CONTROL!$C$20, $D$12, 100%, $F$12)</f>
        <v>11.777200000000001</v>
      </c>
      <c r="J390" s="4">
        <f>CHOOSE( CONTROL!$C$37, 11.6192, 11.6181) * CHOOSE(CONTROL!$C$20, $D$12, 100%, $F$12)</f>
        <v>11.619199999999999</v>
      </c>
      <c r="K390" s="4"/>
      <c r="L390" s="8">
        <v>29.306000000000001</v>
      </c>
      <c r="M390" s="8">
        <v>12.063700000000001</v>
      </c>
      <c r="N390" s="8">
        <v>4.9444999999999997</v>
      </c>
      <c r="O390" s="8">
        <v>0.37409999999999999</v>
      </c>
      <c r="P390" s="8">
        <v>1.2927</v>
      </c>
      <c r="Q390" s="8">
        <v>20.396799999999999</v>
      </c>
      <c r="R390" s="8"/>
    </row>
    <row r="391" spans="1:18" ht="14.25" customHeight="1">
      <c r="A391" s="11">
        <v>53021</v>
      </c>
      <c r="B391" s="7">
        <f>CHOOSE( CONTROL!$C$37, 11.2067, 11.2056) * CHOOSE(CONTROL!$C$20, $D$12, 100%, $F$12)</f>
        <v>11.2067</v>
      </c>
      <c r="C391" s="7">
        <f>CHOOSE( CONTROL!$C$37, 11.2118, 11.2107) * CHOOSE(CONTROL!$C$20, $D$12, 100%, $F$12)</f>
        <v>11.2118</v>
      </c>
      <c r="D391" s="7">
        <f>CHOOSE( CONTROL!$C$37, 11.2048, 11.2037) * CHOOSE( CONTROL!$C$20, $D$12, 100%, $F$12)</f>
        <v>11.204800000000001</v>
      </c>
      <c r="E391" s="10">
        <f>CHOOSE( CONTROL!$C$37, 11.2068, 11.2057) * CHOOSE( CONTROL!$C$20, $D$12, 100%, $F$12)</f>
        <v>11.206799999999999</v>
      </c>
      <c r="F391" s="4">
        <f>CHOOSE( CONTROL!$C$37, 11.8592, 11.8581) * CHOOSE(CONTROL!$C$20, $D$12, 100%, $F$12)</f>
        <v>11.8592</v>
      </c>
      <c r="G391" s="7">
        <f>CHOOSE( CONTROL!$C$37, 11.0886, 11.0875) * CHOOSE( CONTROL!$C$20, $D$12, 100%, $F$12)</f>
        <v>11.0886</v>
      </c>
      <c r="H391" s="4">
        <f>CHOOSE( CONTROL!$C$37, 11.9676, 11.9665) * CHOOSE(CONTROL!$C$20, $D$12, 100%, $F$12)</f>
        <v>11.967599999999999</v>
      </c>
      <c r="I391" s="7">
        <f>CHOOSE( CONTROL!$C$37, 11.0255, 11.0244) * CHOOSE(CONTROL!$C$20, $D$12, 100%, $F$12)</f>
        <v>11.025499999999999</v>
      </c>
      <c r="J391" s="4">
        <f>CHOOSE( CONTROL!$C$37, 10.8681, 10.867) * CHOOSE(CONTROL!$C$20, $D$12, 100%, $F$12)</f>
        <v>10.8681</v>
      </c>
      <c r="K391" s="4"/>
      <c r="L391" s="8">
        <v>26.469899999999999</v>
      </c>
      <c r="M391" s="8">
        <v>10.8962</v>
      </c>
      <c r="N391" s="8">
        <v>4.4660000000000002</v>
      </c>
      <c r="O391" s="8">
        <v>0.33789999999999998</v>
      </c>
      <c r="P391" s="8">
        <v>1.1676</v>
      </c>
      <c r="Q391" s="8">
        <v>18.422899999999998</v>
      </c>
      <c r="R391" s="8"/>
    </row>
    <row r="392" spans="1:18" ht="14.25" customHeight="1">
      <c r="A392" s="11">
        <v>53052</v>
      </c>
      <c r="B392" s="7">
        <f>CHOOSE( CONTROL!$C$37, 10.9678, 10.9667) * CHOOSE(CONTROL!$C$20, $D$12, 100%, $F$12)</f>
        <v>10.9678</v>
      </c>
      <c r="C392" s="7">
        <f>CHOOSE( CONTROL!$C$37, 10.9729, 10.9718) * CHOOSE(CONTROL!$C$20, $D$12, 100%, $F$12)</f>
        <v>10.972899999999999</v>
      </c>
      <c r="D392" s="7">
        <f>CHOOSE( CONTROL!$C$37, 10.9653, 10.9642) * CHOOSE( CONTROL!$C$20, $D$12, 100%, $F$12)</f>
        <v>10.965299999999999</v>
      </c>
      <c r="E392" s="10">
        <f>CHOOSE( CONTROL!$C$37, 10.9675, 10.9664) * CHOOSE( CONTROL!$C$20, $D$12, 100%, $F$12)</f>
        <v>10.967499999999999</v>
      </c>
      <c r="F392" s="4">
        <f>CHOOSE( CONTROL!$C$37, 11.6203, 11.6192) * CHOOSE(CONTROL!$C$20, $D$12, 100%, $F$12)</f>
        <v>11.6203</v>
      </c>
      <c r="G392" s="7">
        <f>CHOOSE( CONTROL!$C$37, 10.8526, 10.8515) * CHOOSE( CONTROL!$C$20, $D$12, 100%, $F$12)</f>
        <v>10.852600000000001</v>
      </c>
      <c r="H392" s="4">
        <f>CHOOSE( CONTROL!$C$37, 11.732, 11.731) * CHOOSE(CONTROL!$C$20, $D$12, 100%, $F$12)</f>
        <v>11.731999999999999</v>
      </c>
      <c r="I392" s="7">
        <f>CHOOSE( CONTROL!$C$37, 10.7921, 10.791) * CHOOSE(CONTROL!$C$20, $D$12, 100%, $F$12)</f>
        <v>10.7921</v>
      </c>
      <c r="J392" s="4">
        <f>CHOOSE( CONTROL!$C$37, 10.6368, 10.6357) * CHOOSE(CONTROL!$C$20, $D$12, 100%, $F$12)</f>
        <v>10.636799999999999</v>
      </c>
      <c r="K392" s="4"/>
      <c r="L392" s="8">
        <v>29.306000000000001</v>
      </c>
      <c r="M392" s="8">
        <v>12.063700000000001</v>
      </c>
      <c r="N392" s="8">
        <v>4.9444999999999997</v>
      </c>
      <c r="O392" s="8">
        <v>0.37409999999999999</v>
      </c>
      <c r="P392" s="8">
        <v>1.2927</v>
      </c>
      <c r="Q392" s="8">
        <v>20.396799999999999</v>
      </c>
      <c r="R392" s="8"/>
    </row>
    <row r="393" spans="1:18" ht="14.25" customHeight="1">
      <c r="A393" s="11">
        <v>53082</v>
      </c>
      <c r="B393" s="7">
        <f>CHOOSE( CONTROL!$C$37, 11.1355, 11.1344) * CHOOSE(CONTROL!$C$20, $D$12, 100%, $F$12)</f>
        <v>11.1355</v>
      </c>
      <c r="C393" s="7">
        <f>CHOOSE( CONTROL!$C$37, 11.14, 11.1389) * CHOOSE(CONTROL!$C$20, $D$12, 100%, $F$12)</f>
        <v>11.14</v>
      </c>
      <c r="D393" s="7">
        <f>CHOOSE( CONTROL!$C$37, 11.1518, 11.1508) * CHOOSE( CONTROL!$C$20, $D$12, 100%, $F$12)</f>
        <v>11.1518</v>
      </c>
      <c r="E393" s="10">
        <f>CHOOSE( CONTROL!$C$37, 11.1474, 11.1464) * CHOOSE( CONTROL!$C$20, $D$12, 100%, $F$12)</f>
        <v>11.147399999999999</v>
      </c>
      <c r="F393" s="4">
        <f>CHOOSE( CONTROL!$C$37, 11.8621, 11.861) * CHOOSE(CONTROL!$C$20, $D$12, 100%, $F$12)</f>
        <v>11.8621</v>
      </c>
      <c r="G393" s="7">
        <f>CHOOSE( CONTROL!$C$37, 11.0254, 11.0243) * CHOOSE( CONTROL!$C$20, $D$12, 100%, $F$12)</f>
        <v>11.025399999999999</v>
      </c>
      <c r="H393" s="4">
        <f>CHOOSE( CONTROL!$C$37, 11.9705, 11.9694) * CHOOSE(CONTROL!$C$20, $D$12, 100%, $F$12)</f>
        <v>11.970499999999999</v>
      </c>
      <c r="I393" s="7">
        <f>CHOOSE( CONTROL!$C$37, 10.9264, 10.9254) * CHOOSE(CONTROL!$C$20, $D$12, 100%, $F$12)</f>
        <v>10.926399999999999</v>
      </c>
      <c r="J393" s="4">
        <f>CHOOSE( CONTROL!$C$37, 10.7984, 10.7974) * CHOOSE(CONTROL!$C$20, $D$12, 100%, $F$12)</f>
        <v>10.798400000000001</v>
      </c>
      <c r="K393" s="4"/>
      <c r="L393" s="8">
        <v>30.092199999999998</v>
      </c>
      <c r="M393" s="8">
        <v>11.6745</v>
      </c>
      <c r="N393" s="8">
        <v>4.7850000000000001</v>
      </c>
      <c r="O393" s="8">
        <v>0.36199999999999999</v>
      </c>
      <c r="P393" s="8">
        <v>1.2509999999999999</v>
      </c>
      <c r="Q393" s="8">
        <v>19.738800000000001</v>
      </c>
      <c r="R393" s="8"/>
    </row>
    <row r="394" spans="1:18" ht="14.25" customHeight="1">
      <c r="A394" s="11">
        <v>53113</v>
      </c>
      <c r="B394" s="7">
        <f>CHOOSE( CONTROL!$C$37, 11.4345, 11.4329) * CHOOSE(CONTROL!$C$20, $D$12, 100%, $F$12)</f>
        <v>11.4345</v>
      </c>
      <c r="C394" s="7">
        <f>CHOOSE( CONTROL!$C$37, 11.4425, 11.4409) * CHOOSE(CONTROL!$C$20, $D$12, 100%, $F$12)</f>
        <v>11.442500000000001</v>
      </c>
      <c r="D394" s="7">
        <f>CHOOSE( CONTROL!$C$37, 11.4482, 11.4465) * CHOOSE( CONTROL!$C$20, $D$12, 100%, $F$12)</f>
        <v>11.4482</v>
      </c>
      <c r="E394" s="10">
        <f>CHOOSE( CONTROL!$C$37, 11.4449, 11.4433) * CHOOSE( CONTROL!$C$20, $D$12, 100%, $F$12)</f>
        <v>11.444900000000001</v>
      </c>
      <c r="F394" s="4">
        <f>CHOOSE( CONTROL!$C$37, 12.1598, 12.1582) * CHOOSE(CONTROL!$C$20, $D$12, 100%, $F$12)</f>
        <v>12.159800000000001</v>
      </c>
      <c r="G394" s="7">
        <f>CHOOSE( CONTROL!$C$37, 11.3189, 11.3173) * CHOOSE( CONTROL!$C$20, $D$12, 100%, $F$12)</f>
        <v>11.318899999999999</v>
      </c>
      <c r="H394" s="4">
        <f>CHOOSE( CONTROL!$C$37, 12.264, 12.2624) * CHOOSE(CONTROL!$C$20, $D$12, 100%, $F$12)</f>
        <v>12.263999999999999</v>
      </c>
      <c r="I394" s="7">
        <f>CHOOSE( CONTROL!$C$37, 11.2145, 11.2129) * CHOOSE(CONTROL!$C$20, $D$12, 100%, $F$12)</f>
        <v>11.214499999999999</v>
      </c>
      <c r="J394" s="4">
        <f>CHOOSE( CONTROL!$C$37, 11.0867, 11.0851) * CHOOSE(CONTROL!$C$20, $D$12, 100%, $F$12)</f>
        <v>11.0867</v>
      </c>
      <c r="K394" s="4"/>
      <c r="L394" s="8">
        <v>30.7165</v>
      </c>
      <c r="M394" s="8">
        <v>12.063700000000001</v>
      </c>
      <c r="N394" s="8">
        <v>4.9444999999999997</v>
      </c>
      <c r="O394" s="8">
        <v>0.37409999999999999</v>
      </c>
      <c r="P394" s="8">
        <v>1.2927</v>
      </c>
      <c r="Q394" s="8">
        <v>20.396799999999999</v>
      </c>
      <c r="R394" s="8"/>
    </row>
    <row r="395" spans="1:18" ht="14.25" customHeight="1">
      <c r="A395" s="11">
        <v>53143</v>
      </c>
      <c r="B395" s="7">
        <f>CHOOSE( CONTROL!$C$37, 11.2505, 11.2488) * CHOOSE(CONTROL!$C$20, $D$12, 100%, $F$12)</f>
        <v>11.250500000000001</v>
      </c>
      <c r="C395" s="7">
        <f>CHOOSE( CONTROL!$C$37, 11.2585, 11.2568) * CHOOSE(CONTROL!$C$20, $D$12, 100%, $F$12)</f>
        <v>11.2585</v>
      </c>
      <c r="D395" s="7">
        <f>CHOOSE( CONTROL!$C$37, 11.2644, 11.2628) * CHOOSE( CONTROL!$C$20, $D$12, 100%, $F$12)</f>
        <v>11.2644</v>
      </c>
      <c r="E395" s="10">
        <f>CHOOSE( CONTROL!$C$37, 11.261, 11.2594) * CHOOSE( CONTROL!$C$20, $D$12, 100%, $F$12)</f>
        <v>11.260999999999999</v>
      </c>
      <c r="F395" s="4">
        <f>CHOOSE( CONTROL!$C$37, 11.9758, 11.9741) * CHOOSE(CONTROL!$C$20, $D$12, 100%, $F$12)</f>
        <v>11.9758</v>
      </c>
      <c r="G395" s="7">
        <f>CHOOSE( CONTROL!$C$37, 11.1377, 11.136) * CHOOSE( CONTROL!$C$20, $D$12, 100%, $F$12)</f>
        <v>11.137700000000001</v>
      </c>
      <c r="H395" s="4">
        <f>CHOOSE( CONTROL!$C$37, 12.0825, 12.0809) * CHOOSE(CONTROL!$C$20, $D$12, 100%, $F$12)</f>
        <v>12.0825</v>
      </c>
      <c r="I395" s="7">
        <f>CHOOSE( CONTROL!$C$37, 11.0372, 11.0356) * CHOOSE(CONTROL!$C$20, $D$12, 100%, $F$12)</f>
        <v>11.0372</v>
      </c>
      <c r="J395" s="4">
        <f>CHOOSE( CONTROL!$C$37, 10.9084, 10.9068) * CHOOSE(CONTROL!$C$20, $D$12, 100%, $F$12)</f>
        <v>10.9084</v>
      </c>
      <c r="K395" s="4"/>
      <c r="L395" s="8">
        <v>29.7257</v>
      </c>
      <c r="M395" s="8">
        <v>11.6745</v>
      </c>
      <c r="N395" s="8">
        <v>4.7850000000000001</v>
      </c>
      <c r="O395" s="8">
        <v>0.36199999999999999</v>
      </c>
      <c r="P395" s="8">
        <v>1.2509999999999999</v>
      </c>
      <c r="Q395" s="8">
        <v>19.738800000000001</v>
      </c>
      <c r="R395" s="8"/>
    </row>
    <row r="396" spans="1:18" ht="14.25" customHeight="1">
      <c r="A396" s="11">
        <v>53174</v>
      </c>
      <c r="B396" s="7">
        <f>CHOOSE( CONTROL!$C$37, 11.7352, 11.7335) * CHOOSE(CONTROL!$C$20, $D$12, 100%, $F$12)</f>
        <v>11.735200000000001</v>
      </c>
      <c r="C396" s="7">
        <f>CHOOSE( CONTROL!$C$37, 11.7432, 11.7415) * CHOOSE(CONTROL!$C$20, $D$12, 100%, $F$12)</f>
        <v>11.7432</v>
      </c>
      <c r="D396" s="7">
        <f>CHOOSE( CONTROL!$C$37, 11.7494, 11.7477) * CHOOSE( CONTROL!$C$20, $D$12, 100%, $F$12)</f>
        <v>11.7494</v>
      </c>
      <c r="E396" s="10">
        <f>CHOOSE( CONTROL!$C$37, 11.7459, 11.7442) * CHOOSE( CONTROL!$C$20, $D$12, 100%, $F$12)</f>
        <v>11.745900000000001</v>
      </c>
      <c r="F396" s="4">
        <f>CHOOSE( CONTROL!$C$37, 12.4605, 12.4588) * CHOOSE(CONTROL!$C$20, $D$12, 100%, $F$12)</f>
        <v>12.4605</v>
      </c>
      <c r="G396" s="7">
        <f>CHOOSE( CONTROL!$C$37, 11.6158, 11.6142) * CHOOSE( CONTROL!$C$20, $D$12, 100%, $F$12)</f>
        <v>11.6158</v>
      </c>
      <c r="H396" s="4">
        <f>CHOOSE( CONTROL!$C$37, 12.5605, 12.5588) * CHOOSE(CONTROL!$C$20, $D$12, 100%, $F$12)</f>
        <v>12.560499999999999</v>
      </c>
      <c r="I396" s="7">
        <f>CHOOSE( CONTROL!$C$37, 11.5078, 11.5062) * CHOOSE(CONTROL!$C$20, $D$12, 100%, $F$12)</f>
        <v>11.5078</v>
      </c>
      <c r="J396" s="4">
        <f>CHOOSE( CONTROL!$C$37, 11.3778, 11.3762) * CHOOSE(CONTROL!$C$20, $D$12, 100%, $F$12)</f>
        <v>11.377800000000001</v>
      </c>
      <c r="K396" s="4"/>
      <c r="L396" s="8">
        <v>30.7165</v>
      </c>
      <c r="M396" s="8">
        <v>12.063700000000001</v>
      </c>
      <c r="N396" s="8">
        <v>4.9444999999999997</v>
      </c>
      <c r="O396" s="8">
        <v>0.37409999999999999</v>
      </c>
      <c r="P396" s="8">
        <v>1.2927</v>
      </c>
      <c r="Q396" s="8">
        <v>20.396799999999999</v>
      </c>
      <c r="R396" s="8"/>
    </row>
    <row r="397" spans="1:18" ht="14.25" customHeight="1">
      <c r="A397" s="11">
        <v>53205</v>
      </c>
      <c r="B397" s="7">
        <f>CHOOSE( CONTROL!$C$37, 10.8283, 10.8266) * CHOOSE(CONTROL!$C$20, $D$12, 100%, $F$12)</f>
        <v>10.8283</v>
      </c>
      <c r="C397" s="7">
        <f>CHOOSE( CONTROL!$C$37, 10.8363, 10.8346) * CHOOSE(CONTROL!$C$20, $D$12, 100%, $F$12)</f>
        <v>10.8363</v>
      </c>
      <c r="D397" s="7">
        <f>CHOOSE( CONTROL!$C$37, 10.8426, 10.8409) * CHOOSE( CONTROL!$C$20, $D$12, 100%, $F$12)</f>
        <v>10.842599999999999</v>
      </c>
      <c r="E397" s="10">
        <f>CHOOSE( CONTROL!$C$37, 10.8391, 10.8374) * CHOOSE( CONTROL!$C$20, $D$12, 100%, $F$12)</f>
        <v>10.8391</v>
      </c>
      <c r="F397" s="4">
        <f>CHOOSE( CONTROL!$C$37, 11.5536, 11.5519) * CHOOSE(CONTROL!$C$20, $D$12, 100%, $F$12)</f>
        <v>11.553599999999999</v>
      </c>
      <c r="G397" s="7">
        <f>CHOOSE( CONTROL!$C$37, 10.7216, 10.72) * CHOOSE( CONTROL!$C$20, $D$12, 100%, $F$12)</f>
        <v>10.7216</v>
      </c>
      <c r="H397" s="4">
        <f>CHOOSE( CONTROL!$C$37, 11.6662, 11.6646) * CHOOSE(CONTROL!$C$20, $D$12, 100%, $F$12)</f>
        <v>11.6662</v>
      </c>
      <c r="I397" s="7">
        <f>CHOOSE( CONTROL!$C$37, 10.6295, 10.6278) * CHOOSE(CONTROL!$C$20, $D$12, 100%, $F$12)</f>
        <v>10.6295</v>
      </c>
      <c r="J397" s="4">
        <f>CHOOSE( CONTROL!$C$37, 10.4996, 10.498) * CHOOSE(CONTROL!$C$20, $D$12, 100%, $F$12)</f>
        <v>10.499599999999999</v>
      </c>
      <c r="K397" s="4"/>
      <c r="L397" s="8">
        <v>30.7165</v>
      </c>
      <c r="M397" s="8">
        <v>12.063700000000001</v>
      </c>
      <c r="N397" s="8">
        <v>4.9444999999999997</v>
      </c>
      <c r="O397" s="8">
        <v>0.37409999999999999</v>
      </c>
      <c r="P397" s="8">
        <v>1.2927</v>
      </c>
      <c r="Q397" s="8">
        <v>20.396799999999999</v>
      </c>
      <c r="R397" s="8"/>
    </row>
    <row r="398" spans="1:18" ht="14.25" customHeight="1">
      <c r="A398" s="11">
        <v>53235</v>
      </c>
      <c r="B398" s="7">
        <f>CHOOSE( CONTROL!$C$37, 10.6012, 10.5995) * CHOOSE(CONTROL!$C$20, $D$12, 100%, $F$12)</f>
        <v>10.6012</v>
      </c>
      <c r="C398" s="7">
        <f>CHOOSE( CONTROL!$C$37, 10.6092, 10.6075) * CHOOSE(CONTROL!$C$20, $D$12, 100%, $F$12)</f>
        <v>10.6092</v>
      </c>
      <c r="D398" s="7">
        <f>CHOOSE( CONTROL!$C$37, 10.6154, 10.6137) * CHOOSE( CONTROL!$C$20, $D$12, 100%, $F$12)</f>
        <v>10.615399999999999</v>
      </c>
      <c r="E398" s="10">
        <f>CHOOSE( CONTROL!$C$37, 10.6119, 10.6102) * CHOOSE( CONTROL!$C$20, $D$12, 100%, $F$12)</f>
        <v>10.6119</v>
      </c>
      <c r="F398" s="4">
        <f>CHOOSE( CONTROL!$C$37, 11.3265, 11.3248) * CHOOSE(CONTROL!$C$20, $D$12, 100%, $F$12)</f>
        <v>11.326499999999999</v>
      </c>
      <c r="G398" s="7">
        <f>CHOOSE( CONTROL!$C$37, 10.4976, 10.496) * CHOOSE( CONTROL!$C$20, $D$12, 100%, $F$12)</f>
        <v>10.4976</v>
      </c>
      <c r="H398" s="4">
        <f>CHOOSE( CONTROL!$C$37, 11.4423, 11.4406) * CHOOSE(CONTROL!$C$20, $D$12, 100%, $F$12)</f>
        <v>11.442299999999999</v>
      </c>
      <c r="I398" s="7">
        <f>CHOOSE( CONTROL!$C$37, 10.4091, 10.4075) * CHOOSE(CONTROL!$C$20, $D$12, 100%, $F$12)</f>
        <v>10.4091</v>
      </c>
      <c r="J398" s="4">
        <f>CHOOSE( CONTROL!$C$37, 10.2797, 10.2781) * CHOOSE(CONTROL!$C$20, $D$12, 100%, $F$12)</f>
        <v>10.2797</v>
      </c>
      <c r="K398" s="4"/>
      <c r="L398" s="8">
        <v>29.7257</v>
      </c>
      <c r="M398" s="8">
        <v>11.6745</v>
      </c>
      <c r="N398" s="8">
        <v>4.7850000000000001</v>
      </c>
      <c r="O398" s="8">
        <v>0.36199999999999999</v>
      </c>
      <c r="P398" s="8">
        <v>1.2509999999999999</v>
      </c>
      <c r="Q398" s="8">
        <v>19.738800000000001</v>
      </c>
      <c r="R398" s="8"/>
    </row>
    <row r="399" spans="1:18" ht="14.25" customHeight="1">
      <c r="A399" s="11">
        <v>53266</v>
      </c>
      <c r="B399" s="7">
        <f>CHOOSE( CONTROL!$C$37, 11.0704, 11.0693) * CHOOSE(CONTROL!$C$20, $D$12, 100%, $F$12)</f>
        <v>11.070399999999999</v>
      </c>
      <c r="C399" s="7">
        <f>CHOOSE( CONTROL!$C$37, 11.0758, 11.0747) * CHOOSE(CONTROL!$C$20, $D$12, 100%, $F$12)</f>
        <v>11.075799999999999</v>
      </c>
      <c r="D399" s="7">
        <f>CHOOSE( CONTROL!$C$37, 11.0878, 11.0867) * CHOOSE( CONTROL!$C$20, $D$12, 100%, $F$12)</f>
        <v>11.0878</v>
      </c>
      <c r="E399" s="10">
        <f>CHOOSE( CONTROL!$C$37, 11.0833, 11.0822) * CHOOSE( CONTROL!$C$20, $D$12, 100%, $F$12)</f>
        <v>11.083299999999999</v>
      </c>
      <c r="F399" s="4">
        <f>CHOOSE( CONTROL!$C$37, 11.7974, 11.7963) * CHOOSE(CONTROL!$C$20, $D$12, 100%, $F$12)</f>
        <v>11.7974</v>
      </c>
      <c r="G399" s="7">
        <f>CHOOSE( CONTROL!$C$37, 10.9621, 10.9611) * CHOOSE( CONTROL!$C$20, $D$12, 100%, $F$12)</f>
        <v>10.9621</v>
      </c>
      <c r="H399" s="4">
        <f>CHOOSE( CONTROL!$C$37, 11.9067, 11.9056) * CHOOSE(CONTROL!$C$20, $D$12, 100%, $F$12)</f>
        <v>11.906700000000001</v>
      </c>
      <c r="I399" s="7">
        <f>CHOOSE( CONTROL!$C$37, 10.866, 10.8649) * CHOOSE(CONTROL!$C$20, $D$12, 100%, $F$12)</f>
        <v>10.866</v>
      </c>
      <c r="J399" s="4">
        <f>CHOOSE( CONTROL!$C$37, 10.7357, 10.7347) * CHOOSE(CONTROL!$C$20, $D$12, 100%, $F$12)</f>
        <v>10.7357</v>
      </c>
      <c r="K399" s="4"/>
      <c r="L399" s="8">
        <v>31.095300000000002</v>
      </c>
      <c r="M399" s="8">
        <v>12.063700000000001</v>
      </c>
      <c r="N399" s="8">
        <v>4.9444999999999997</v>
      </c>
      <c r="O399" s="8">
        <v>0.37409999999999999</v>
      </c>
      <c r="P399" s="8">
        <v>1.2927</v>
      </c>
      <c r="Q399" s="8">
        <v>20.396799999999999</v>
      </c>
      <c r="R399" s="8"/>
    </row>
    <row r="400" spans="1:18" ht="14.25" customHeight="1">
      <c r="A400" s="11">
        <v>53296</v>
      </c>
      <c r="B400" s="7">
        <f>CHOOSE( CONTROL!$C$37, 11.9404, 11.9393) * CHOOSE(CONTROL!$C$20, $D$12, 100%, $F$12)</f>
        <v>11.9404</v>
      </c>
      <c r="C400" s="7">
        <f>CHOOSE( CONTROL!$C$37, 11.9455, 11.9444) * CHOOSE(CONTROL!$C$20, $D$12, 100%, $F$12)</f>
        <v>11.945499999999999</v>
      </c>
      <c r="D400" s="7">
        <f>CHOOSE( CONTROL!$C$37, 11.9239, 11.9228) * CHOOSE( CONTROL!$C$20, $D$12, 100%, $F$12)</f>
        <v>11.9239</v>
      </c>
      <c r="E400" s="10">
        <f>CHOOSE( CONTROL!$C$37, 11.9313, 11.9302) * CHOOSE( CONTROL!$C$20, $D$12, 100%, $F$12)</f>
        <v>11.9313</v>
      </c>
      <c r="F400" s="4">
        <f>CHOOSE( CONTROL!$C$37, 12.5929, 12.5918) * CHOOSE(CONTROL!$C$20, $D$12, 100%, $F$12)</f>
        <v>12.5929</v>
      </c>
      <c r="G400" s="7">
        <f>CHOOSE( CONTROL!$C$37, 11.8065, 11.8054) * CHOOSE( CONTROL!$C$20, $D$12, 100%, $F$12)</f>
        <v>11.8065</v>
      </c>
      <c r="H400" s="4">
        <f>CHOOSE( CONTROL!$C$37, 12.6911, 12.69) * CHOOSE(CONTROL!$C$20, $D$12, 100%, $F$12)</f>
        <v>12.6911</v>
      </c>
      <c r="I400" s="7">
        <f>CHOOSE( CONTROL!$C$37, 11.7604, 11.7593) * CHOOSE(CONTROL!$C$20, $D$12, 100%, $F$12)</f>
        <v>11.760400000000001</v>
      </c>
      <c r="J400" s="4">
        <f>CHOOSE( CONTROL!$C$37, 11.5785, 11.5775) * CHOOSE(CONTROL!$C$20, $D$12, 100%, $F$12)</f>
        <v>11.5785</v>
      </c>
      <c r="K400" s="4"/>
      <c r="L400" s="8">
        <v>28.360600000000002</v>
      </c>
      <c r="M400" s="8">
        <v>11.6745</v>
      </c>
      <c r="N400" s="8">
        <v>4.7850000000000001</v>
      </c>
      <c r="O400" s="8">
        <v>0.36199999999999999</v>
      </c>
      <c r="P400" s="8">
        <v>1.2509999999999999</v>
      </c>
      <c r="Q400" s="8">
        <v>19.738800000000001</v>
      </c>
      <c r="R400" s="8"/>
    </row>
    <row r="401" spans="1:18" ht="14.25" customHeight="1">
      <c r="A401" s="11">
        <v>53327</v>
      </c>
      <c r="B401" s="7">
        <f>CHOOSE( CONTROL!$C$37, 11.9186, 11.9175) * CHOOSE(CONTROL!$C$20, $D$12, 100%, $F$12)</f>
        <v>11.9186</v>
      </c>
      <c r="C401" s="7">
        <f>CHOOSE( CONTROL!$C$37, 11.9237, 11.9226) * CHOOSE(CONTROL!$C$20, $D$12, 100%, $F$12)</f>
        <v>11.9237</v>
      </c>
      <c r="D401" s="7">
        <f>CHOOSE( CONTROL!$C$37, 11.9037, 11.9027) * CHOOSE( CONTROL!$C$20, $D$12, 100%, $F$12)</f>
        <v>11.903700000000001</v>
      </c>
      <c r="E401" s="10">
        <f>CHOOSE( CONTROL!$C$37, 11.9105, 11.9094) * CHOOSE( CONTROL!$C$20, $D$12, 100%, $F$12)</f>
        <v>11.910500000000001</v>
      </c>
      <c r="F401" s="4">
        <f>CHOOSE( CONTROL!$C$37, 12.5712, 12.5701) * CHOOSE(CONTROL!$C$20, $D$12, 100%, $F$12)</f>
        <v>12.571199999999999</v>
      </c>
      <c r="G401" s="7">
        <f>CHOOSE( CONTROL!$C$37, 11.7861, 11.7851) * CHOOSE( CONTROL!$C$20, $D$12, 100%, $F$12)</f>
        <v>11.786099999999999</v>
      </c>
      <c r="H401" s="4">
        <f>CHOOSE( CONTROL!$C$37, 12.6696, 12.6686) * CHOOSE(CONTROL!$C$20, $D$12, 100%, $F$12)</f>
        <v>12.669600000000001</v>
      </c>
      <c r="I401" s="7">
        <f>CHOOSE( CONTROL!$C$37, 11.7442, 11.7431) * CHOOSE(CONTROL!$C$20, $D$12, 100%, $F$12)</f>
        <v>11.744199999999999</v>
      </c>
      <c r="J401" s="4">
        <f>CHOOSE( CONTROL!$C$37, 11.5575, 11.5564) * CHOOSE(CONTROL!$C$20, $D$12, 100%, $F$12)</f>
        <v>11.557499999999999</v>
      </c>
      <c r="K401" s="4"/>
      <c r="L401" s="8">
        <v>29.306000000000001</v>
      </c>
      <c r="M401" s="8">
        <v>12.063700000000001</v>
      </c>
      <c r="N401" s="8">
        <v>4.9444999999999997</v>
      </c>
      <c r="O401" s="8">
        <v>0.37409999999999999</v>
      </c>
      <c r="P401" s="8">
        <v>1.2927</v>
      </c>
      <c r="Q401" s="8">
        <v>20.396799999999999</v>
      </c>
      <c r="R401" s="8"/>
    </row>
    <row r="402" spans="1:18" ht="14.25" customHeight="1">
      <c r="A402" s="11">
        <v>53358</v>
      </c>
      <c r="B402" s="7">
        <f>CHOOSE( CONTROL!$C$37, 12.2707, 12.2696) * CHOOSE(CONTROL!$C$20, $D$12, 100%, $F$12)</f>
        <v>12.2707</v>
      </c>
      <c r="C402" s="7">
        <f>CHOOSE( CONTROL!$C$37, 12.2758, 12.2747) * CHOOSE(CONTROL!$C$20, $D$12, 100%, $F$12)</f>
        <v>12.2758</v>
      </c>
      <c r="D402" s="7">
        <f>CHOOSE( CONTROL!$C$37, 12.2689, 12.2678) * CHOOSE( CONTROL!$C$20, $D$12, 100%, $F$12)</f>
        <v>12.2689</v>
      </c>
      <c r="E402" s="10">
        <f>CHOOSE( CONTROL!$C$37, 12.2709, 12.2698) * CHOOSE( CONTROL!$C$20, $D$12, 100%, $F$12)</f>
        <v>12.270899999999999</v>
      </c>
      <c r="F402" s="4">
        <f>CHOOSE( CONTROL!$C$37, 12.9232, 12.9221) * CHOOSE(CONTROL!$C$20, $D$12, 100%, $F$12)</f>
        <v>12.9232</v>
      </c>
      <c r="G402" s="7">
        <f>CHOOSE( CONTROL!$C$37, 12.1378, 12.1367) * CHOOSE( CONTROL!$C$20, $D$12, 100%, $F$12)</f>
        <v>12.1378</v>
      </c>
      <c r="H402" s="4">
        <f>CHOOSE( CONTROL!$C$37, 13.0167, 13.0157) * CHOOSE(CONTROL!$C$20, $D$12, 100%, $F$12)</f>
        <v>13.0167</v>
      </c>
      <c r="I402" s="7">
        <f>CHOOSE( CONTROL!$C$37, 12.0565, 12.0554) * CHOOSE(CONTROL!$C$20, $D$12, 100%, $F$12)</f>
        <v>12.0565</v>
      </c>
      <c r="J402" s="4">
        <f>CHOOSE( CONTROL!$C$37, 11.8983, 11.8973) * CHOOSE(CONTROL!$C$20, $D$12, 100%, $F$12)</f>
        <v>11.898300000000001</v>
      </c>
      <c r="K402" s="4"/>
      <c r="L402" s="8">
        <v>29.306000000000001</v>
      </c>
      <c r="M402" s="8">
        <v>12.063700000000001</v>
      </c>
      <c r="N402" s="8">
        <v>4.9444999999999997</v>
      </c>
      <c r="O402" s="8">
        <v>0.37409999999999999</v>
      </c>
      <c r="P402" s="8">
        <v>1.2927</v>
      </c>
      <c r="Q402" s="8">
        <v>20.331700000000001</v>
      </c>
      <c r="R402" s="8"/>
    </row>
    <row r="403" spans="1:18" ht="14.25" customHeight="1">
      <c r="A403" s="11">
        <v>53386</v>
      </c>
      <c r="B403" s="7">
        <f>CHOOSE( CONTROL!$C$37, 11.4763, 11.4753) * CHOOSE(CONTROL!$C$20, $D$12, 100%, $F$12)</f>
        <v>11.4763</v>
      </c>
      <c r="C403" s="7">
        <f>CHOOSE( CONTROL!$C$37, 11.4814, 11.4804) * CHOOSE(CONTROL!$C$20, $D$12, 100%, $F$12)</f>
        <v>11.481400000000001</v>
      </c>
      <c r="D403" s="7">
        <f>CHOOSE( CONTROL!$C$37, 11.4745, 11.4734) * CHOOSE( CONTROL!$C$20, $D$12, 100%, $F$12)</f>
        <v>11.474500000000001</v>
      </c>
      <c r="E403" s="10">
        <f>CHOOSE( CONTROL!$C$37, 11.4765, 11.4754) * CHOOSE( CONTROL!$C$20, $D$12, 100%, $F$12)</f>
        <v>11.4765</v>
      </c>
      <c r="F403" s="4">
        <f>CHOOSE( CONTROL!$C$37, 12.1289, 12.1278) * CHOOSE(CONTROL!$C$20, $D$12, 100%, $F$12)</f>
        <v>12.1289</v>
      </c>
      <c r="G403" s="7">
        <f>CHOOSE( CONTROL!$C$37, 11.3545, 11.3534) * CHOOSE( CONTROL!$C$20, $D$12, 100%, $F$12)</f>
        <v>11.3545</v>
      </c>
      <c r="H403" s="4">
        <f>CHOOSE( CONTROL!$C$37, 12.2335, 12.2324) * CHOOSE(CONTROL!$C$20, $D$12, 100%, $F$12)</f>
        <v>12.233499999999999</v>
      </c>
      <c r="I403" s="7">
        <f>CHOOSE( CONTROL!$C$37, 11.2867, 11.2857) * CHOOSE(CONTROL!$C$20, $D$12, 100%, $F$12)</f>
        <v>11.2867</v>
      </c>
      <c r="J403" s="4">
        <f>CHOOSE( CONTROL!$C$37, 11.1292, 11.1281) * CHOOSE(CONTROL!$C$20, $D$12, 100%, $F$12)</f>
        <v>11.129200000000001</v>
      </c>
      <c r="K403" s="4"/>
      <c r="L403" s="8">
        <v>26.469899999999999</v>
      </c>
      <c r="M403" s="8">
        <v>10.8962</v>
      </c>
      <c r="N403" s="8">
        <v>4.4660000000000002</v>
      </c>
      <c r="O403" s="8">
        <v>0.33789999999999998</v>
      </c>
      <c r="P403" s="8">
        <v>1.1676</v>
      </c>
      <c r="Q403" s="8">
        <v>18.364100000000001</v>
      </c>
      <c r="R403" s="8"/>
    </row>
    <row r="404" spans="1:18" ht="14.25" customHeight="1">
      <c r="A404" s="11">
        <v>53417</v>
      </c>
      <c r="B404" s="7">
        <f>CHOOSE( CONTROL!$C$37, 11.2317, 11.2306) * CHOOSE(CONTROL!$C$20, $D$12, 100%, $F$12)</f>
        <v>11.2317</v>
      </c>
      <c r="C404" s="7">
        <f>CHOOSE( CONTROL!$C$37, 11.2368, 11.2357) * CHOOSE(CONTROL!$C$20, $D$12, 100%, $F$12)</f>
        <v>11.236800000000001</v>
      </c>
      <c r="D404" s="7">
        <f>CHOOSE( CONTROL!$C$37, 11.2292, 11.2281) * CHOOSE( CONTROL!$C$20, $D$12, 100%, $F$12)</f>
        <v>11.229200000000001</v>
      </c>
      <c r="E404" s="10">
        <f>CHOOSE( CONTROL!$C$37, 11.2314, 11.2303) * CHOOSE( CONTROL!$C$20, $D$12, 100%, $F$12)</f>
        <v>11.231400000000001</v>
      </c>
      <c r="F404" s="4">
        <f>CHOOSE( CONTROL!$C$37, 11.8842, 11.8831) * CHOOSE(CONTROL!$C$20, $D$12, 100%, $F$12)</f>
        <v>11.8842</v>
      </c>
      <c r="G404" s="7">
        <f>CHOOSE( CONTROL!$C$37, 11.1128, 11.1117) * CHOOSE( CONTROL!$C$20, $D$12, 100%, $F$12)</f>
        <v>11.1128</v>
      </c>
      <c r="H404" s="4">
        <f>CHOOSE( CONTROL!$C$37, 11.9923, 11.9912) * CHOOSE(CONTROL!$C$20, $D$12, 100%, $F$12)</f>
        <v>11.9923</v>
      </c>
      <c r="I404" s="7">
        <f>CHOOSE( CONTROL!$C$37, 11.0478, 11.0467) * CHOOSE(CONTROL!$C$20, $D$12, 100%, $F$12)</f>
        <v>11.047800000000001</v>
      </c>
      <c r="J404" s="4">
        <f>CHOOSE( CONTROL!$C$37, 10.8923, 10.8913) * CHOOSE(CONTROL!$C$20, $D$12, 100%, $F$12)</f>
        <v>10.892300000000001</v>
      </c>
      <c r="K404" s="4"/>
      <c r="L404" s="8">
        <v>29.306000000000001</v>
      </c>
      <c r="M404" s="8">
        <v>12.063700000000001</v>
      </c>
      <c r="N404" s="8">
        <v>4.9444999999999997</v>
      </c>
      <c r="O404" s="8">
        <v>0.37409999999999999</v>
      </c>
      <c r="P404" s="8">
        <v>1.2927</v>
      </c>
      <c r="Q404" s="8">
        <v>20.331700000000001</v>
      </c>
      <c r="R404" s="8"/>
    </row>
    <row r="405" spans="1:18" ht="14.25" customHeight="1">
      <c r="A405" s="11">
        <v>53447</v>
      </c>
      <c r="B405" s="7">
        <f>CHOOSE( CONTROL!$C$37, 11.4034, 11.4023) * CHOOSE(CONTROL!$C$20, $D$12, 100%, $F$12)</f>
        <v>11.4034</v>
      </c>
      <c r="C405" s="7">
        <f>CHOOSE( CONTROL!$C$37, 11.4079, 11.4069) * CHOOSE(CONTROL!$C$20, $D$12, 100%, $F$12)</f>
        <v>11.4079</v>
      </c>
      <c r="D405" s="7">
        <f>CHOOSE( CONTROL!$C$37, 11.4198, 11.4187) * CHOOSE( CONTROL!$C$20, $D$12, 100%, $F$12)</f>
        <v>11.4198</v>
      </c>
      <c r="E405" s="10">
        <f>CHOOSE( CONTROL!$C$37, 11.4154, 11.4143) * CHOOSE( CONTROL!$C$20, $D$12, 100%, $F$12)</f>
        <v>11.4154</v>
      </c>
      <c r="F405" s="4">
        <f>CHOOSE( CONTROL!$C$37, 12.1301, 12.129) * CHOOSE(CONTROL!$C$20, $D$12, 100%, $F$12)</f>
        <v>12.130100000000001</v>
      </c>
      <c r="G405" s="7">
        <f>CHOOSE( CONTROL!$C$37, 11.2896, 11.2885) * CHOOSE( CONTROL!$C$20, $D$12, 100%, $F$12)</f>
        <v>11.2896</v>
      </c>
      <c r="H405" s="4">
        <f>CHOOSE( CONTROL!$C$37, 12.2347, 12.2336) * CHOOSE(CONTROL!$C$20, $D$12, 100%, $F$12)</f>
        <v>12.2347</v>
      </c>
      <c r="I405" s="7">
        <f>CHOOSE( CONTROL!$C$37, 11.186, 11.1849) * CHOOSE(CONTROL!$C$20, $D$12, 100%, $F$12)</f>
        <v>11.186</v>
      </c>
      <c r="J405" s="4">
        <f>CHOOSE( CONTROL!$C$37, 11.0578, 11.0568) * CHOOSE(CONTROL!$C$20, $D$12, 100%, $F$12)</f>
        <v>11.0578</v>
      </c>
      <c r="K405" s="4"/>
      <c r="L405" s="8">
        <v>30.092199999999998</v>
      </c>
      <c r="M405" s="8">
        <v>11.6745</v>
      </c>
      <c r="N405" s="8">
        <v>4.7850000000000001</v>
      </c>
      <c r="O405" s="8">
        <v>0.36199999999999999</v>
      </c>
      <c r="P405" s="8">
        <v>1.2509999999999999</v>
      </c>
      <c r="Q405" s="8">
        <v>19.675799999999999</v>
      </c>
      <c r="R405" s="8"/>
    </row>
    <row r="406" spans="1:18" ht="14.25" customHeight="1">
      <c r="A406" s="11">
        <v>53478</v>
      </c>
      <c r="B406" s="7">
        <f>CHOOSE( CONTROL!$C$37, 11.7096, 11.7079) * CHOOSE(CONTROL!$C$20, $D$12, 100%, $F$12)</f>
        <v>11.7096</v>
      </c>
      <c r="C406" s="7">
        <f>CHOOSE( CONTROL!$C$37, 11.7176, 11.7159) * CHOOSE(CONTROL!$C$20, $D$12, 100%, $F$12)</f>
        <v>11.717599999999999</v>
      </c>
      <c r="D406" s="7">
        <f>CHOOSE( CONTROL!$C$37, 11.7233, 11.7216) * CHOOSE( CONTROL!$C$20, $D$12, 100%, $F$12)</f>
        <v>11.7233</v>
      </c>
      <c r="E406" s="10">
        <f>CHOOSE( CONTROL!$C$37, 11.72, 11.7183) * CHOOSE( CONTROL!$C$20, $D$12, 100%, $F$12)</f>
        <v>11.72</v>
      </c>
      <c r="F406" s="4">
        <f>CHOOSE( CONTROL!$C$37, 12.4349, 12.4332) * CHOOSE(CONTROL!$C$20, $D$12, 100%, $F$12)</f>
        <v>12.434900000000001</v>
      </c>
      <c r="G406" s="7">
        <f>CHOOSE( CONTROL!$C$37, 11.5902, 11.5885) * CHOOSE( CONTROL!$C$20, $D$12, 100%, $F$12)</f>
        <v>11.590199999999999</v>
      </c>
      <c r="H406" s="4">
        <f>CHOOSE( CONTROL!$C$37, 12.5353, 12.5336) * CHOOSE(CONTROL!$C$20, $D$12, 100%, $F$12)</f>
        <v>12.535299999999999</v>
      </c>
      <c r="I406" s="7">
        <f>CHOOSE( CONTROL!$C$37, 11.481, 11.4794) * CHOOSE(CONTROL!$C$20, $D$12, 100%, $F$12)</f>
        <v>11.481</v>
      </c>
      <c r="J406" s="4">
        <f>CHOOSE( CONTROL!$C$37, 11.353, 11.3514) * CHOOSE(CONTROL!$C$20, $D$12, 100%, $F$12)</f>
        <v>11.353</v>
      </c>
      <c r="K406" s="4"/>
      <c r="L406" s="8">
        <v>30.7165</v>
      </c>
      <c r="M406" s="8">
        <v>12.063700000000001</v>
      </c>
      <c r="N406" s="8">
        <v>4.9444999999999997</v>
      </c>
      <c r="O406" s="8">
        <v>0.37409999999999999</v>
      </c>
      <c r="P406" s="8">
        <v>1.2927</v>
      </c>
      <c r="Q406" s="8">
        <v>20.331700000000001</v>
      </c>
      <c r="R406" s="8"/>
    </row>
    <row r="407" spans="1:18" ht="14.25" customHeight="1">
      <c r="A407" s="11">
        <v>53508</v>
      </c>
      <c r="B407" s="7">
        <f>CHOOSE( CONTROL!$C$37, 11.5211, 11.5195) * CHOOSE(CONTROL!$C$20, $D$12, 100%, $F$12)</f>
        <v>11.521100000000001</v>
      </c>
      <c r="C407" s="7">
        <f>CHOOSE( CONTROL!$C$37, 11.5291, 11.5275) * CHOOSE(CONTROL!$C$20, $D$12, 100%, $F$12)</f>
        <v>11.5291</v>
      </c>
      <c r="D407" s="7">
        <f>CHOOSE( CONTROL!$C$37, 11.5351, 11.5334) * CHOOSE( CONTROL!$C$20, $D$12, 100%, $F$12)</f>
        <v>11.5351</v>
      </c>
      <c r="E407" s="10">
        <f>CHOOSE( CONTROL!$C$37, 11.5317, 11.53) * CHOOSE( CONTROL!$C$20, $D$12, 100%, $F$12)</f>
        <v>11.531700000000001</v>
      </c>
      <c r="F407" s="4">
        <f>CHOOSE( CONTROL!$C$37, 12.2464, 12.2448) * CHOOSE(CONTROL!$C$20, $D$12, 100%, $F$12)</f>
        <v>12.2464</v>
      </c>
      <c r="G407" s="7">
        <f>CHOOSE( CONTROL!$C$37, 11.4045, 11.4029) * CHOOSE( CONTROL!$C$20, $D$12, 100%, $F$12)</f>
        <v>11.404500000000001</v>
      </c>
      <c r="H407" s="4">
        <f>CHOOSE( CONTROL!$C$37, 12.3494, 12.3478) * CHOOSE(CONTROL!$C$20, $D$12, 100%, $F$12)</f>
        <v>12.349399999999999</v>
      </c>
      <c r="I407" s="7">
        <f>CHOOSE( CONTROL!$C$37, 11.2994, 11.2977) * CHOOSE(CONTROL!$C$20, $D$12, 100%, $F$12)</f>
        <v>11.2994</v>
      </c>
      <c r="J407" s="4">
        <f>CHOOSE( CONTROL!$C$37, 11.1705, 11.1689) * CHOOSE(CONTROL!$C$20, $D$12, 100%, $F$12)</f>
        <v>11.170500000000001</v>
      </c>
      <c r="K407" s="4"/>
      <c r="L407" s="8">
        <v>29.7257</v>
      </c>
      <c r="M407" s="8">
        <v>11.6745</v>
      </c>
      <c r="N407" s="8">
        <v>4.7850000000000001</v>
      </c>
      <c r="O407" s="8">
        <v>0.36199999999999999</v>
      </c>
      <c r="P407" s="8">
        <v>1.2509999999999999</v>
      </c>
      <c r="Q407" s="8">
        <v>19.675799999999999</v>
      </c>
      <c r="R407" s="8"/>
    </row>
    <row r="408" spans="1:18" ht="14.25" customHeight="1">
      <c r="A408" s="11">
        <v>53539</v>
      </c>
      <c r="B408" s="7">
        <f>CHOOSE( CONTROL!$C$37, 12.0175, 12.0158) * CHOOSE(CONTROL!$C$20, $D$12, 100%, $F$12)</f>
        <v>12.0175</v>
      </c>
      <c r="C408" s="7">
        <f>CHOOSE( CONTROL!$C$37, 12.0255, 12.0238) * CHOOSE(CONTROL!$C$20, $D$12, 100%, $F$12)</f>
        <v>12.025499999999999</v>
      </c>
      <c r="D408" s="7">
        <f>CHOOSE( CONTROL!$C$37, 12.0317, 12.03) * CHOOSE( CONTROL!$C$20, $D$12, 100%, $F$12)</f>
        <v>12.031700000000001</v>
      </c>
      <c r="E408" s="10">
        <f>CHOOSE( CONTROL!$C$37, 12.0282, 12.0265) * CHOOSE( CONTROL!$C$20, $D$12, 100%, $F$12)</f>
        <v>12.0282</v>
      </c>
      <c r="F408" s="4">
        <f>CHOOSE( CONTROL!$C$37, 12.7428, 12.7411) * CHOOSE(CONTROL!$C$20, $D$12, 100%, $F$12)</f>
        <v>12.742800000000001</v>
      </c>
      <c r="G408" s="7">
        <f>CHOOSE( CONTROL!$C$37, 11.8942, 11.8925) * CHOOSE( CONTROL!$C$20, $D$12, 100%, $F$12)</f>
        <v>11.8942</v>
      </c>
      <c r="H408" s="4">
        <f>CHOOSE( CONTROL!$C$37, 12.8388, 12.8372) * CHOOSE(CONTROL!$C$20, $D$12, 100%, $F$12)</f>
        <v>12.838800000000001</v>
      </c>
      <c r="I408" s="7">
        <f>CHOOSE( CONTROL!$C$37, 11.7812, 11.7796) * CHOOSE(CONTROL!$C$20, $D$12, 100%, $F$12)</f>
        <v>11.7812</v>
      </c>
      <c r="J408" s="4">
        <f>CHOOSE( CONTROL!$C$37, 11.6511, 11.6495) * CHOOSE(CONTROL!$C$20, $D$12, 100%, $F$12)</f>
        <v>11.6511</v>
      </c>
      <c r="K408" s="4"/>
      <c r="L408" s="8">
        <v>30.7165</v>
      </c>
      <c r="M408" s="8">
        <v>12.063700000000001</v>
      </c>
      <c r="N408" s="8">
        <v>4.9444999999999997</v>
      </c>
      <c r="O408" s="8">
        <v>0.37409999999999999</v>
      </c>
      <c r="P408" s="8">
        <v>1.2927</v>
      </c>
      <c r="Q408" s="8">
        <v>20.331700000000001</v>
      </c>
      <c r="R408" s="8"/>
    </row>
    <row r="409" spans="1:18" ht="14.25" customHeight="1">
      <c r="A409" s="11">
        <v>53570</v>
      </c>
      <c r="B409" s="7">
        <f>CHOOSE( CONTROL!$C$37, 11.0888, 11.0871) * CHOOSE(CONTROL!$C$20, $D$12, 100%, $F$12)</f>
        <v>11.088800000000001</v>
      </c>
      <c r="C409" s="7">
        <f>CHOOSE( CONTROL!$C$37, 11.0968, 11.0951) * CHOOSE(CONTROL!$C$20, $D$12, 100%, $F$12)</f>
        <v>11.0968</v>
      </c>
      <c r="D409" s="7">
        <f>CHOOSE( CONTROL!$C$37, 11.1031, 11.1014) * CHOOSE( CONTROL!$C$20, $D$12, 100%, $F$12)</f>
        <v>11.1031</v>
      </c>
      <c r="E409" s="10">
        <f>CHOOSE( CONTROL!$C$37, 11.0996, 11.0979) * CHOOSE( CONTROL!$C$20, $D$12, 100%, $F$12)</f>
        <v>11.099600000000001</v>
      </c>
      <c r="F409" s="4">
        <f>CHOOSE( CONTROL!$C$37, 11.8141, 11.8124) * CHOOSE(CONTROL!$C$20, $D$12, 100%, $F$12)</f>
        <v>11.8141</v>
      </c>
      <c r="G409" s="7">
        <f>CHOOSE( CONTROL!$C$37, 10.9785, 10.9769) * CHOOSE( CONTROL!$C$20, $D$12, 100%, $F$12)</f>
        <v>10.9785</v>
      </c>
      <c r="H409" s="4">
        <f>CHOOSE( CONTROL!$C$37, 11.9231, 11.9214) * CHOOSE(CONTROL!$C$20, $D$12, 100%, $F$12)</f>
        <v>11.9231</v>
      </c>
      <c r="I409" s="7">
        <f>CHOOSE( CONTROL!$C$37, 10.8818, 10.8802) * CHOOSE(CONTROL!$C$20, $D$12, 100%, $F$12)</f>
        <v>10.8818</v>
      </c>
      <c r="J409" s="4">
        <f>CHOOSE( CONTROL!$C$37, 10.7519, 10.7502) * CHOOSE(CONTROL!$C$20, $D$12, 100%, $F$12)</f>
        <v>10.751899999999999</v>
      </c>
      <c r="K409" s="4"/>
      <c r="L409" s="8">
        <v>30.7165</v>
      </c>
      <c r="M409" s="8">
        <v>12.063700000000001</v>
      </c>
      <c r="N409" s="8">
        <v>4.9444999999999997</v>
      </c>
      <c r="O409" s="8">
        <v>0.37409999999999999</v>
      </c>
      <c r="P409" s="8">
        <v>1.2927</v>
      </c>
      <c r="Q409" s="8">
        <v>20.331700000000001</v>
      </c>
      <c r="R409" s="8"/>
    </row>
    <row r="410" spans="1:18" ht="14.25" customHeight="1">
      <c r="A410" s="11">
        <v>53600</v>
      </c>
      <c r="B410" s="7">
        <f>CHOOSE( CONTROL!$C$37, 10.8562, 10.8546) * CHOOSE(CONTROL!$C$20, $D$12, 100%, $F$12)</f>
        <v>10.856199999999999</v>
      </c>
      <c r="C410" s="7">
        <f>CHOOSE( CONTROL!$C$37, 10.8642, 10.8626) * CHOOSE(CONTROL!$C$20, $D$12, 100%, $F$12)</f>
        <v>10.8642</v>
      </c>
      <c r="D410" s="7">
        <f>CHOOSE( CONTROL!$C$37, 10.8704, 10.8688) * CHOOSE( CONTROL!$C$20, $D$12, 100%, $F$12)</f>
        <v>10.8704</v>
      </c>
      <c r="E410" s="10">
        <f>CHOOSE( CONTROL!$C$37, 10.8669, 10.8653) * CHOOSE( CONTROL!$C$20, $D$12, 100%, $F$12)</f>
        <v>10.866899999999999</v>
      </c>
      <c r="F410" s="4">
        <f>CHOOSE( CONTROL!$C$37, 11.5815, 11.5798) * CHOOSE(CONTROL!$C$20, $D$12, 100%, $F$12)</f>
        <v>11.5815</v>
      </c>
      <c r="G410" s="7">
        <f>CHOOSE( CONTROL!$C$37, 10.7491, 10.7475) * CHOOSE( CONTROL!$C$20, $D$12, 100%, $F$12)</f>
        <v>10.7491</v>
      </c>
      <c r="H410" s="4">
        <f>CHOOSE( CONTROL!$C$37, 11.6938, 11.6921) * CHOOSE(CONTROL!$C$20, $D$12, 100%, $F$12)</f>
        <v>11.6938</v>
      </c>
      <c r="I410" s="7">
        <f>CHOOSE( CONTROL!$C$37, 10.6561, 10.6545) * CHOOSE(CONTROL!$C$20, $D$12, 100%, $F$12)</f>
        <v>10.6561</v>
      </c>
      <c r="J410" s="4">
        <f>CHOOSE( CONTROL!$C$37, 10.5267, 10.5251) * CHOOSE(CONTROL!$C$20, $D$12, 100%, $F$12)</f>
        <v>10.5267</v>
      </c>
      <c r="K410" s="4"/>
      <c r="L410" s="8">
        <v>29.7257</v>
      </c>
      <c r="M410" s="8">
        <v>11.6745</v>
      </c>
      <c r="N410" s="8">
        <v>4.7850000000000001</v>
      </c>
      <c r="O410" s="8">
        <v>0.36199999999999999</v>
      </c>
      <c r="P410" s="8">
        <v>1.2509999999999999</v>
      </c>
      <c r="Q410" s="8">
        <v>19.675799999999999</v>
      </c>
      <c r="R410" s="8"/>
    </row>
    <row r="411" spans="1:18" ht="14.25" customHeight="1">
      <c r="A411" s="11">
        <v>53631</v>
      </c>
      <c r="B411" s="7">
        <f>CHOOSE( CONTROL!$C$37, 11.3368, 11.3357) * CHOOSE(CONTROL!$C$20, $D$12, 100%, $F$12)</f>
        <v>11.3368</v>
      </c>
      <c r="C411" s="7">
        <f>CHOOSE( CONTROL!$C$37, 11.3421, 11.341) * CHOOSE(CONTROL!$C$20, $D$12, 100%, $F$12)</f>
        <v>11.3421</v>
      </c>
      <c r="D411" s="7">
        <f>CHOOSE( CONTROL!$C$37, 11.3541, 11.3531) * CHOOSE( CONTROL!$C$20, $D$12, 100%, $F$12)</f>
        <v>11.354100000000001</v>
      </c>
      <c r="E411" s="10">
        <f>CHOOSE( CONTROL!$C$37, 11.3496, 11.3485) * CHOOSE( CONTROL!$C$20, $D$12, 100%, $F$12)</f>
        <v>11.349600000000001</v>
      </c>
      <c r="F411" s="4">
        <f>CHOOSE( CONTROL!$C$37, 12.0638, 12.0627) * CHOOSE(CONTROL!$C$20, $D$12, 100%, $F$12)</f>
        <v>12.063800000000001</v>
      </c>
      <c r="G411" s="7">
        <f>CHOOSE( CONTROL!$C$37, 11.2248, 11.2237) * CHOOSE( CONTROL!$C$20, $D$12, 100%, $F$12)</f>
        <v>11.2248</v>
      </c>
      <c r="H411" s="4">
        <f>CHOOSE( CONTROL!$C$37, 12.1693, 12.1683) * CHOOSE(CONTROL!$C$20, $D$12, 100%, $F$12)</f>
        <v>12.1693</v>
      </c>
      <c r="I411" s="7">
        <f>CHOOSE( CONTROL!$C$37, 11.124, 11.123) * CHOOSE(CONTROL!$C$20, $D$12, 100%, $F$12)</f>
        <v>11.124000000000001</v>
      </c>
      <c r="J411" s="4">
        <f>CHOOSE( CONTROL!$C$37, 10.9937, 10.9926) * CHOOSE(CONTROL!$C$20, $D$12, 100%, $F$12)</f>
        <v>10.9937</v>
      </c>
      <c r="K411" s="4"/>
      <c r="L411" s="8">
        <v>31.095300000000002</v>
      </c>
      <c r="M411" s="8">
        <v>12.063700000000001</v>
      </c>
      <c r="N411" s="8">
        <v>4.9444999999999997</v>
      </c>
      <c r="O411" s="8">
        <v>0.37409999999999999</v>
      </c>
      <c r="P411" s="8">
        <v>1.2927</v>
      </c>
      <c r="Q411" s="8">
        <v>20.331700000000001</v>
      </c>
      <c r="R411" s="8"/>
    </row>
    <row r="412" spans="1:18" ht="14.25" customHeight="1">
      <c r="A412" s="11">
        <v>53661</v>
      </c>
      <c r="B412" s="7">
        <f>CHOOSE( CONTROL!$C$37, 12.2277, 12.2266) * CHOOSE(CONTROL!$C$20, $D$12, 100%, $F$12)</f>
        <v>12.2277</v>
      </c>
      <c r="C412" s="7">
        <f>CHOOSE( CONTROL!$C$37, 12.2327, 12.2317) * CHOOSE(CONTROL!$C$20, $D$12, 100%, $F$12)</f>
        <v>12.232699999999999</v>
      </c>
      <c r="D412" s="7">
        <f>CHOOSE( CONTROL!$C$37, 12.2112, 12.2101) * CHOOSE( CONTROL!$C$20, $D$12, 100%, $F$12)</f>
        <v>12.2112</v>
      </c>
      <c r="E412" s="10">
        <f>CHOOSE( CONTROL!$C$37, 12.2185, 12.2175) * CHOOSE( CONTROL!$C$20, $D$12, 100%, $F$12)</f>
        <v>12.218500000000001</v>
      </c>
      <c r="F412" s="4">
        <f>CHOOSE( CONTROL!$C$37, 12.8802, 12.8791) * CHOOSE(CONTROL!$C$20, $D$12, 100%, $F$12)</f>
        <v>12.8802</v>
      </c>
      <c r="G412" s="7">
        <f>CHOOSE( CONTROL!$C$37, 12.0897, 12.0887) * CHOOSE( CONTROL!$C$20, $D$12, 100%, $F$12)</f>
        <v>12.089700000000001</v>
      </c>
      <c r="H412" s="4">
        <f>CHOOSE( CONTROL!$C$37, 12.9743, 12.9733) * CHOOSE(CONTROL!$C$20, $D$12, 100%, $F$12)</f>
        <v>12.974299999999999</v>
      </c>
      <c r="I412" s="7">
        <f>CHOOSE( CONTROL!$C$37, 12.0387, 12.0376) * CHOOSE(CONTROL!$C$20, $D$12, 100%, $F$12)</f>
        <v>12.0387</v>
      </c>
      <c r="J412" s="4">
        <f>CHOOSE( CONTROL!$C$37, 11.8567, 11.8556) * CHOOSE(CONTROL!$C$20, $D$12, 100%, $F$12)</f>
        <v>11.8567</v>
      </c>
      <c r="K412" s="4"/>
      <c r="L412" s="8">
        <v>28.360600000000002</v>
      </c>
      <c r="M412" s="8">
        <v>11.6745</v>
      </c>
      <c r="N412" s="8">
        <v>4.7850000000000001</v>
      </c>
      <c r="O412" s="8">
        <v>0.36199999999999999</v>
      </c>
      <c r="P412" s="8">
        <v>1.2509999999999999</v>
      </c>
      <c r="Q412" s="8">
        <v>19.675799999999999</v>
      </c>
      <c r="R412" s="8"/>
    </row>
    <row r="413" spans="1:18" ht="14.25" customHeight="1">
      <c r="A413" s="11">
        <v>53692</v>
      </c>
      <c r="B413" s="7">
        <f>CHOOSE( CONTROL!$C$37, 12.2054, 12.2043) * CHOOSE(CONTROL!$C$20, $D$12, 100%, $F$12)</f>
        <v>12.205399999999999</v>
      </c>
      <c r="C413" s="7">
        <f>CHOOSE( CONTROL!$C$37, 12.2105, 12.2094) * CHOOSE(CONTROL!$C$20, $D$12, 100%, $F$12)</f>
        <v>12.2105</v>
      </c>
      <c r="D413" s="7">
        <f>CHOOSE( CONTROL!$C$37, 12.1905, 12.1894) * CHOOSE( CONTROL!$C$20, $D$12, 100%, $F$12)</f>
        <v>12.1905</v>
      </c>
      <c r="E413" s="10">
        <f>CHOOSE( CONTROL!$C$37, 12.1973, 12.1962) * CHOOSE( CONTROL!$C$20, $D$12, 100%, $F$12)</f>
        <v>12.1973</v>
      </c>
      <c r="F413" s="4">
        <f>CHOOSE( CONTROL!$C$37, 12.8579, 12.8568) * CHOOSE(CONTROL!$C$20, $D$12, 100%, $F$12)</f>
        <v>12.857900000000001</v>
      </c>
      <c r="G413" s="7">
        <f>CHOOSE( CONTROL!$C$37, 12.0689, 12.0678) * CHOOSE( CONTROL!$C$20, $D$12, 100%, $F$12)</f>
        <v>12.068899999999999</v>
      </c>
      <c r="H413" s="4">
        <f>CHOOSE( CONTROL!$C$37, 12.9524, 12.9513) * CHOOSE(CONTROL!$C$20, $D$12, 100%, $F$12)</f>
        <v>12.952400000000001</v>
      </c>
      <c r="I413" s="7">
        <f>CHOOSE( CONTROL!$C$37, 12.022, 12.0209) * CHOOSE(CONTROL!$C$20, $D$12, 100%, $F$12)</f>
        <v>12.022</v>
      </c>
      <c r="J413" s="4">
        <f>CHOOSE( CONTROL!$C$37, 11.8351, 11.8341) * CHOOSE(CONTROL!$C$20, $D$12, 100%, $F$12)</f>
        <v>11.835100000000001</v>
      </c>
      <c r="K413" s="4"/>
      <c r="L413" s="8">
        <v>29.306000000000001</v>
      </c>
      <c r="M413" s="8">
        <v>12.063700000000001</v>
      </c>
      <c r="N413" s="8">
        <v>4.9444999999999997</v>
      </c>
      <c r="O413" s="8">
        <v>0.37409999999999999</v>
      </c>
      <c r="P413" s="8">
        <v>1.2927</v>
      </c>
      <c r="Q413" s="8">
        <v>20.331700000000001</v>
      </c>
      <c r="R413" s="8"/>
    </row>
    <row r="414" spans="1:18" ht="14.25" customHeight="1">
      <c r="A414" s="11">
        <v>53723</v>
      </c>
      <c r="B414" s="7">
        <f>CHOOSE( CONTROL!$C$37, 12.5659, 12.5648) * CHOOSE(CONTROL!$C$20, $D$12, 100%, $F$12)</f>
        <v>12.565899999999999</v>
      </c>
      <c r="C414" s="7">
        <f>CHOOSE( CONTROL!$C$37, 12.571, 12.5699) * CHOOSE(CONTROL!$C$20, $D$12, 100%, $F$12)</f>
        <v>12.571</v>
      </c>
      <c r="D414" s="7">
        <f>CHOOSE( CONTROL!$C$37, 12.5641, 12.563) * CHOOSE( CONTROL!$C$20, $D$12, 100%, $F$12)</f>
        <v>12.5641</v>
      </c>
      <c r="E414" s="10">
        <f>CHOOSE( CONTROL!$C$37, 12.5661, 12.565) * CHOOSE( CONTROL!$C$20, $D$12, 100%, $F$12)</f>
        <v>12.5661</v>
      </c>
      <c r="F414" s="4">
        <f>CHOOSE( CONTROL!$C$37, 13.2184, 13.2173) * CHOOSE(CONTROL!$C$20, $D$12, 100%, $F$12)</f>
        <v>13.218400000000001</v>
      </c>
      <c r="G414" s="7">
        <f>CHOOSE( CONTROL!$C$37, 12.4289, 12.4278) * CHOOSE( CONTROL!$C$20, $D$12, 100%, $F$12)</f>
        <v>12.428900000000001</v>
      </c>
      <c r="H414" s="4">
        <f>CHOOSE( CONTROL!$C$37, 13.3078, 13.3068) * CHOOSE(CONTROL!$C$20, $D$12, 100%, $F$12)</f>
        <v>13.3078</v>
      </c>
      <c r="I414" s="7">
        <f>CHOOSE( CONTROL!$C$37, 12.3425, 12.3414) * CHOOSE(CONTROL!$C$20, $D$12, 100%, $F$12)</f>
        <v>12.342499999999999</v>
      </c>
      <c r="J414" s="4">
        <f>CHOOSE( CONTROL!$C$37, 12.1842, 12.1831) * CHOOSE(CONTROL!$C$20, $D$12, 100%, $F$12)</f>
        <v>12.184200000000001</v>
      </c>
      <c r="K414" s="4"/>
      <c r="L414" s="8">
        <v>29.306000000000001</v>
      </c>
      <c r="M414" s="8">
        <v>12.063700000000001</v>
      </c>
      <c r="N414" s="8">
        <v>4.9444999999999997</v>
      </c>
      <c r="O414" s="8">
        <v>0.37409999999999999</v>
      </c>
      <c r="P414" s="8">
        <v>1.2927</v>
      </c>
      <c r="Q414" s="8">
        <v>20.2666</v>
      </c>
      <c r="R414" s="8"/>
    </row>
    <row r="415" spans="1:18" ht="14.25" customHeight="1">
      <c r="A415" s="11">
        <v>53751</v>
      </c>
      <c r="B415" s="7">
        <f>CHOOSE( CONTROL!$C$37, 11.7525, 11.7514) * CHOOSE(CONTROL!$C$20, $D$12, 100%, $F$12)</f>
        <v>11.7525</v>
      </c>
      <c r="C415" s="7">
        <f>CHOOSE( CONTROL!$C$37, 11.7576, 11.7565) * CHOOSE(CONTROL!$C$20, $D$12, 100%, $F$12)</f>
        <v>11.7576</v>
      </c>
      <c r="D415" s="7">
        <f>CHOOSE( CONTROL!$C$37, 11.7506, 11.7495) * CHOOSE( CONTROL!$C$20, $D$12, 100%, $F$12)</f>
        <v>11.7506</v>
      </c>
      <c r="E415" s="10">
        <f>CHOOSE( CONTROL!$C$37, 11.7526, 11.7515) * CHOOSE( CONTROL!$C$20, $D$12, 100%, $F$12)</f>
        <v>11.752599999999999</v>
      </c>
      <c r="F415" s="4">
        <f>CHOOSE( CONTROL!$C$37, 12.405, 12.4039) * CHOOSE(CONTROL!$C$20, $D$12, 100%, $F$12)</f>
        <v>12.404999999999999</v>
      </c>
      <c r="G415" s="7">
        <f>CHOOSE( CONTROL!$C$37, 11.6268, 11.6257) * CHOOSE( CONTROL!$C$20, $D$12, 100%, $F$12)</f>
        <v>11.626799999999999</v>
      </c>
      <c r="H415" s="4">
        <f>CHOOSE( CONTROL!$C$37, 12.5058, 12.5047) * CHOOSE(CONTROL!$C$20, $D$12, 100%, $F$12)</f>
        <v>12.505800000000001</v>
      </c>
      <c r="I415" s="7">
        <f>CHOOSE( CONTROL!$C$37, 11.5542, 11.5532) * CHOOSE(CONTROL!$C$20, $D$12, 100%, $F$12)</f>
        <v>11.5542</v>
      </c>
      <c r="J415" s="4">
        <f>CHOOSE( CONTROL!$C$37, 11.3966, 11.3955) * CHOOSE(CONTROL!$C$20, $D$12, 100%, $F$12)</f>
        <v>11.396599999999999</v>
      </c>
      <c r="K415" s="4"/>
      <c r="L415" s="8">
        <v>26.469899999999999</v>
      </c>
      <c r="M415" s="8">
        <v>10.8962</v>
      </c>
      <c r="N415" s="8">
        <v>4.4660000000000002</v>
      </c>
      <c r="O415" s="8">
        <v>0.33789999999999998</v>
      </c>
      <c r="P415" s="8">
        <v>1.1676</v>
      </c>
      <c r="Q415" s="8">
        <v>18.305299999999999</v>
      </c>
      <c r="R415" s="8"/>
    </row>
    <row r="416" spans="1:18" ht="14.25" customHeight="1">
      <c r="A416" s="11">
        <v>53782</v>
      </c>
      <c r="B416" s="7">
        <f>CHOOSE( CONTROL!$C$37, 11.5019, 11.5009) * CHOOSE(CONTROL!$C$20, $D$12, 100%, $F$12)</f>
        <v>11.501899999999999</v>
      </c>
      <c r="C416" s="7">
        <f>CHOOSE( CONTROL!$C$37, 11.507, 11.506) * CHOOSE(CONTROL!$C$20, $D$12, 100%, $F$12)</f>
        <v>11.507</v>
      </c>
      <c r="D416" s="7">
        <f>CHOOSE( CONTROL!$C$37, 11.4994, 11.4984) * CHOOSE( CONTROL!$C$20, $D$12, 100%, $F$12)</f>
        <v>11.4994</v>
      </c>
      <c r="E416" s="10">
        <f>CHOOSE( CONTROL!$C$37, 11.5016, 11.5006) * CHOOSE( CONTROL!$C$20, $D$12, 100%, $F$12)</f>
        <v>11.5016</v>
      </c>
      <c r="F416" s="4">
        <f>CHOOSE( CONTROL!$C$37, 12.1545, 12.1534) * CHOOSE(CONTROL!$C$20, $D$12, 100%, $F$12)</f>
        <v>12.154500000000001</v>
      </c>
      <c r="G416" s="7">
        <f>CHOOSE( CONTROL!$C$37, 11.3793, 11.3782) * CHOOSE( CONTROL!$C$20, $D$12, 100%, $F$12)</f>
        <v>11.379300000000001</v>
      </c>
      <c r="H416" s="4">
        <f>CHOOSE( CONTROL!$C$37, 12.2588, 12.2577) * CHOOSE(CONTROL!$C$20, $D$12, 100%, $F$12)</f>
        <v>12.258800000000001</v>
      </c>
      <c r="I416" s="7">
        <f>CHOOSE( CONTROL!$C$37, 11.3096, 11.3085) * CHOOSE(CONTROL!$C$20, $D$12, 100%, $F$12)</f>
        <v>11.3096</v>
      </c>
      <c r="J416" s="4">
        <f>CHOOSE( CONTROL!$C$37, 11.154, 11.1529) * CHOOSE(CONTROL!$C$20, $D$12, 100%, $F$12)</f>
        <v>11.154</v>
      </c>
      <c r="K416" s="4"/>
      <c r="L416" s="8">
        <v>29.306000000000001</v>
      </c>
      <c r="M416" s="8">
        <v>12.063700000000001</v>
      </c>
      <c r="N416" s="8">
        <v>4.9444999999999997</v>
      </c>
      <c r="O416" s="8">
        <v>0.37409999999999999</v>
      </c>
      <c r="P416" s="8">
        <v>1.2927</v>
      </c>
      <c r="Q416" s="8">
        <v>20.2666</v>
      </c>
      <c r="R416" s="8"/>
    </row>
    <row r="417" spans="1:18" ht="14.25" customHeight="1">
      <c r="A417" s="11">
        <v>53812</v>
      </c>
      <c r="B417" s="7">
        <f>CHOOSE( CONTROL!$C$37, 11.6778, 11.6767) * CHOOSE(CONTROL!$C$20, $D$12, 100%, $F$12)</f>
        <v>11.6778</v>
      </c>
      <c r="C417" s="7">
        <f>CHOOSE( CONTROL!$C$37, 11.6823, 11.6812) * CHOOSE(CONTROL!$C$20, $D$12, 100%, $F$12)</f>
        <v>11.6823</v>
      </c>
      <c r="D417" s="7">
        <f>CHOOSE( CONTROL!$C$37, 11.6941, 11.6931) * CHOOSE( CONTROL!$C$20, $D$12, 100%, $F$12)</f>
        <v>11.694100000000001</v>
      </c>
      <c r="E417" s="10">
        <f>CHOOSE( CONTROL!$C$37, 11.6897, 11.6887) * CHOOSE( CONTROL!$C$20, $D$12, 100%, $F$12)</f>
        <v>11.6897</v>
      </c>
      <c r="F417" s="4">
        <f>CHOOSE( CONTROL!$C$37, 12.4044, 12.4033) * CHOOSE(CONTROL!$C$20, $D$12, 100%, $F$12)</f>
        <v>12.404400000000001</v>
      </c>
      <c r="G417" s="7">
        <f>CHOOSE( CONTROL!$C$37, 11.5601, 11.5591) * CHOOSE( CONTROL!$C$20, $D$12, 100%, $F$12)</f>
        <v>11.5601</v>
      </c>
      <c r="H417" s="4">
        <f>CHOOSE( CONTROL!$C$37, 12.5052, 12.5041) * CHOOSE(CONTROL!$C$20, $D$12, 100%, $F$12)</f>
        <v>12.5052</v>
      </c>
      <c r="I417" s="7">
        <f>CHOOSE( CONTROL!$C$37, 11.4518, 11.4507) * CHOOSE(CONTROL!$C$20, $D$12, 100%, $F$12)</f>
        <v>11.4518</v>
      </c>
      <c r="J417" s="4">
        <f>CHOOSE( CONTROL!$C$37, 11.3235, 11.3225) * CHOOSE(CONTROL!$C$20, $D$12, 100%, $F$12)</f>
        <v>11.323499999999999</v>
      </c>
      <c r="K417" s="4"/>
      <c r="L417" s="8">
        <v>30.092199999999998</v>
      </c>
      <c r="M417" s="8">
        <v>11.6745</v>
      </c>
      <c r="N417" s="8">
        <v>4.7850000000000001</v>
      </c>
      <c r="O417" s="8">
        <v>0.36199999999999999</v>
      </c>
      <c r="P417" s="8">
        <v>1.2509999999999999</v>
      </c>
      <c r="Q417" s="8">
        <v>19.6128</v>
      </c>
      <c r="R417" s="8"/>
    </row>
    <row r="418" spans="1:18" ht="14.25" customHeight="1">
      <c r="A418" s="11">
        <v>53843</v>
      </c>
      <c r="B418" s="7">
        <f>CHOOSE( CONTROL!$C$37, 11.9913, 11.9896) * CHOOSE(CONTROL!$C$20, $D$12, 100%, $F$12)</f>
        <v>11.991300000000001</v>
      </c>
      <c r="C418" s="7">
        <f>CHOOSE( CONTROL!$C$37, 11.9993, 11.9976) * CHOOSE(CONTROL!$C$20, $D$12, 100%, $F$12)</f>
        <v>11.9993</v>
      </c>
      <c r="D418" s="7">
        <f>CHOOSE( CONTROL!$C$37, 12.0049, 12.0033) * CHOOSE( CONTROL!$C$20, $D$12, 100%, $F$12)</f>
        <v>12.004899999999999</v>
      </c>
      <c r="E418" s="10">
        <f>CHOOSE( CONTROL!$C$37, 12.0017, 12) * CHOOSE( CONTROL!$C$20, $D$12, 100%, $F$12)</f>
        <v>12.0017</v>
      </c>
      <c r="F418" s="4">
        <f>CHOOSE( CONTROL!$C$37, 12.7166, 12.7149) * CHOOSE(CONTROL!$C$20, $D$12, 100%, $F$12)</f>
        <v>12.7166</v>
      </c>
      <c r="G418" s="7">
        <f>CHOOSE( CONTROL!$C$37, 11.8679, 11.8663) * CHOOSE( CONTROL!$C$20, $D$12, 100%, $F$12)</f>
        <v>11.867900000000001</v>
      </c>
      <c r="H418" s="4">
        <f>CHOOSE( CONTROL!$C$37, 12.813, 12.8114) * CHOOSE(CONTROL!$C$20, $D$12, 100%, $F$12)</f>
        <v>12.813000000000001</v>
      </c>
      <c r="I418" s="7">
        <f>CHOOSE( CONTROL!$C$37, 11.7539, 11.7523) * CHOOSE(CONTROL!$C$20, $D$12, 100%, $F$12)</f>
        <v>11.7539</v>
      </c>
      <c r="J418" s="4">
        <f>CHOOSE( CONTROL!$C$37, 11.6258, 11.6241) * CHOOSE(CONTROL!$C$20, $D$12, 100%, $F$12)</f>
        <v>11.6258</v>
      </c>
      <c r="K418" s="4"/>
      <c r="L418" s="8">
        <v>30.7165</v>
      </c>
      <c r="M418" s="8">
        <v>12.063700000000001</v>
      </c>
      <c r="N418" s="8">
        <v>4.9444999999999997</v>
      </c>
      <c r="O418" s="8">
        <v>0.37409999999999999</v>
      </c>
      <c r="P418" s="8">
        <v>1.2927</v>
      </c>
      <c r="Q418" s="8">
        <v>20.2666</v>
      </c>
      <c r="R418" s="8"/>
    </row>
    <row r="419" spans="1:18" ht="14.25" customHeight="1">
      <c r="A419" s="11">
        <v>53873</v>
      </c>
      <c r="B419" s="7">
        <f>CHOOSE( CONTROL!$C$37, 11.7983, 11.7966) * CHOOSE(CONTROL!$C$20, $D$12, 100%, $F$12)</f>
        <v>11.798299999999999</v>
      </c>
      <c r="C419" s="7">
        <f>CHOOSE( CONTROL!$C$37, 11.8063, 11.8046) * CHOOSE(CONTROL!$C$20, $D$12, 100%, $F$12)</f>
        <v>11.8063</v>
      </c>
      <c r="D419" s="7">
        <f>CHOOSE( CONTROL!$C$37, 11.8122, 11.8105) * CHOOSE( CONTROL!$C$20, $D$12, 100%, $F$12)</f>
        <v>11.812200000000001</v>
      </c>
      <c r="E419" s="10">
        <f>CHOOSE( CONTROL!$C$37, 11.8088, 11.8071) * CHOOSE( CONTROL!$C$20, $D$12, 100%, $F$12)</f>
        <v>11.8088</v>
      </c>
      <c r="F419" s="4">
        <f>CHOOSE( CONTROL!$C$37, 12.5236, 12.5219) * CHOOSE(CONTROL!$C$20, $D$12, 100%, $F$12)</f>
        <v>12.5236</v>
      </c>
      <c r="G419" s="7">
        <f>CHOOSE( CONTROL!$C$37, 11.6778, 11.6762) * CHOOSE( CONTROL!$C$20, $D$12, 100%, $F$12)</f>
        <v>11.6778</v>
      </c>
      <c r="H419" s="4">
        <f>CHOOSE( CONTROL!$C$37, 12.6227, 12.621) * CHOOSE(CONTROL!$C$20, $D$12, 100%, $F$12)</f>
        <v>12.6227</v>
      </c>
      <c r="I419" s="7">
        <f>CHOOSE( CONTROL!$C$37, 11.5679, 11.5662) * CHOOSE(CONTROL!$C$20, $D$12, 100%, $F$12)</f>
        <v>11.5679</v>
      </c>
      <c r="J419" s="4">
        <f>CHOOSE( CONTROL!$C$37, 11.4389, 11.4373) * CHOOSE(CONTROL!$C$20, $D$12, 100%, $F$12)</f>
        <v>11.4389</v>
      </c>
      <c r="K419" s="4"/>
      <c r="L419" s="8">
        <v>29.7257</v>
      </c>
      <c r="M419" s="8">
        <v>11.6745</v>
      </c>
      <c r="N419" s="8">
        <v>4.7850000000000001</v>
      </c>
      <c r="O419" s="8">
        <v>0.36199999999999999</v>
      </c>
      <c r="P419" s="8">
        <v>1.2509999999999999</v>
      </c>
      <c r="Q419" s="8">
        <v>19.6128</v>
      </c>
      <c r="R419" s="8"/>
    </row>
    <row r="420" spans="1:18" ht="14.25" customHeight="1">
      <c r="A420" s="11">
        <v>53904</v>
      </c>
      <c r="B420" s="7">
        <f>CHOOSE( CONTROL!$C$37, 12.3065, 12.3049) * CHOOSE(CONTROL!$C$20, $D$12, 100%, $F$12)</f>
        <v>12.3065</v>
      </c>
      <c r="C420" s="7">
        <f>CHOOSE( CONTROL!$C$37, 12.3145, 12.3129) * CHOOSE(CONTROL!$C$20, $D$12, 100%, $F$12)</f>
        <v>12.314500000000001</v>
      </c>
      <c r="D420" s="7">
        <f>CHOOSE( CONTROL!$C$37, 12.3208, 12.3191) * CHOOSE( CONTROL!$C$20, $D$12, 100%, $F$12)</f>
        <v>12.3208</v>
      </c>
      <c r="E420" s="10">
        <f>CHOOSE( CONTROL!$C$37, 12.3173, 12.3156) * CHOOSE( CONTROL!$C$20, $D$12, 100%, $F$12)</f>
        <v>12.317299999999999</v>
      </c>
      <c r="F420" s="4">
        <f>CHOOSE( CONTROL!$C$37, 13.0318, 13.0302) * CHOOSE(CONTROL!$C$20, $D$12, 100%, $F$12)</f>
        <v>13.0318</v>
      </c>
      <c r="G420" s="7">
        <f>CHOOSE( CONTROL!$C$37, 12.1792, 12.1776) * CHOOSE( CONTROL!$C$20, $D$12, 100%, $F$12)</f>
        <v>12.1792</v>
      </c>
      <c r="H420" s="4">
        <f>CHOOSE( CONTROL!$C$37, 13.1239, 13.1222) * CHOOSE(CONTROL!$C$20, $D$12, 100%, $F$12)</f>
        <v>13.123900000000001</v>
      </c>
      <c r="I420" s="7">
        <f>CHOOSE( CONTROL!$C$37, 12.0613, 12.0597) * CHOOSE(CONTROL!$C$20, $D$12, 100%, $F$12)</f>
        <v>12.061299999999999</v>
      </c>
      <c r="J420" s="4">
        <f>CHOOSE( CONTROL!$C$37, 11.931, 11.9294) * CHOOSE(CONTROL!$C$20, $D$12, 100%, $F$12)</f>
        <v>11.930999999999999</v>
      </c>
      <c r="K420" s="4"/>
      <c r="L420" s="8">
        <v>30.7165</v>
      </c>
      <c r="M420" s="8">
        <v>12.063700000000001</v>
      </c>
      <c r="N420" s="8">
        <v>4.9444999999999997</v>
      </c>
      <c r="O420" s="8">
        <v>0.37409999999999999</v>
      </c>
      <c r="P420" s="8">
        <v>1.2927</v>
      </c>
      <c r="Q420" s="8">
        <v>20.2666</v>
      </c>
      <c r="R420" s="8"/>
    </row>
    <row r="421" spans="1:18" ht="14.25" customHeight="1">
      <c r="A421" s="11">
        <v>53935</v>
      </c>
      <c r="B421" s="7">
        <f>CHOOSE( CONTROL!$C$37, 11.3555, 11.3539) * CHOOSE(CONTROL!$C$20, $D$12, 100%, $F$12)</f>
        <v>11.355499999999999</v>
      </c>
      <c r="C421" s="7">
        <f>CHOOSE( CONTROL!$C$37, 11.3635, 11.3619) * CHOOSE(CONTROL!$C$20, $D$12, 100%, $F$12)</f>
        <v>11.3635</v>
      </c>
      <c r="D421" s="7">
        <f>CHOOSE( CONTROL!$C$37, 11.3698, 11.3682) * CHOOSE( CONTROL!$C$20, $D$12, 100%, $F$12)</f>
        <v>11.3698</v>
      </c>
      <c r="E421" s="10">
        <f>CHOOSE( CONTROL!$C$37, 11.3663, 11.3647) * CHOOSE( CONTROL!$C$20, $D$12, 100%, $F$12)</f>
        <v>11.366300000000001</v>
      </c>
      <c r="F421" s="4">
        <f>CHOOSE( CONTROL!$C$37, 12.0808, 12.0792) * CHOOSE(CONTROL!$C$20, $D$12, 100%, $F$12)</f>
        <v>12.0808</v>
      </c>
      <c r="G421" s="7">
        <f>CHOOSE( CONTROL!$C$37, 11.2415, 11.2399) * CHOOSE( CONTROL!$C$20, $D$12, 100%, $F$12)</f>
        <v>11.2415</v>
      </c>
      <c r="H421" s="4">
        <f>CHOOSE( CONTROL!$C$37, 12.1861, 12.1845) * CHOOSE(CONTROL!$C$20, $D$12, 100%, $F$12)</f>
        <v>12.1861</v>
      </c>
      <c r="I421" s="7">
        <f>CHOOSE( CONTROL!$C$37, 11.1403, 11.1386) * CHOOSE(CONTROL!$C$20, $D$12, 100%, $F$12)</f>
        <v>11.1403</v>
      </c>
      <c r="J421" s="4">
        <f>CHOOSE( CONTROL!$C$37, 11.0102, 11.0085) * CHOOSE(CONTROL!$C$20, $D$12, 100%, $F$12)</f>
        <v>11.010199999999999</v>
      </c>
      <c r="K421" s="4"/>
      <c r="L421" s="8">
        <v>30.7165</v>
      </c>
      <c r="M421" s="8">
        <v>12.063700000000001</v>
      </c>
      <c r="N421" s="8">
        <v>4.9444999999999997</v>
      </c>
      <c r="O421" s="8">
        <v>0.37409999999999999</v>
      </c>
      <c r="P421" s="8">
        <v>1.2927</v>
      </c>
      <c r="Q421" s="8">
        <v>20.2666</v>
      </c>
      <c r="R421" s="8"/>
    </row>
    <row r="422" spans="1:18" ht="14.25" customHeight="1">
      <c r="A422" s="11">
        <v>53965</v>
      </c>
      <c r="B422" s="7">
        <f>CHOOSE( CONTROL!$C$37, 11.1174, 11.1157) * CHOOSE(CONTROL!$C$20, $D$12, 100%, $F$12)</f>
        <v>11.1174</v>
      </c>
      <c r="C422" s="7">
        <f>CHOOSE( CONTROL!$C$37, 11.1254, 11.1237) * CHOOSE(CONTROL!$C$20, $D$12, 100%, $F$12)</f>
        <v>11.125400000000001</v>
      </c>
      <c r="D422" s="7">
        <f>CHOOSE( CONTROL!$C$37, 11.1316, 11.1299) * CHOOSE( CONTROL!$C$20, $D$12, 100%, $F$12)</f>
        <v>11.131600000000001</v>
      </c>
      <c r="E422" s="10">
        <f>CHOOSE( CONTROL!$C$37, 11.1281, 11.1264) * CHOOSE( CONTROL!$C$20, $D$12, 100%, $F$12)</f>
        <v>11.1281</v>
      </c>
      <c r="F422" s="4">
        <f>CHOOSE( CONTROL!$C$37, 11.8427, 11.841) * CHOOSE(CONTROL!$C$20, $D$12, 100%, $F$12)</f>
        <v>11.842700000000001</v>
      </c>
      <c r="G422" s="7">
        <f>CHOOSE( CONTROL!$C$37, 11.0066, 11.005) * CHOOSE( CONTROL!$C$20, $D$12, 100%, $F$12)</f>
        <v>11.006600000000001</v>
      </c>
      <c r="H422" s="4">
        <f>CHOOSE( CONTROL!$C$37, 11.9513, 11.9497) * CHOOSE(CONTROL!$C$20, $D$12, 100%, $F$12)</f>
        <v>11.9513</v>
      </c>
      <c r="I422" s="7">
        <f>CHOOSE( CONTROL!$C$37, 10.9092, 10.9076) * CHOOSE(CONTROL!$C$20, $D$12, 100%, $F$12)</f>
        <v>10.9092</v>
      </c>
      <c r="J422" s="4">
        <f>CHOOSE( CONTROL!$C$37, 10.7796, 10.7779) * CHOOSE(CONTROL!$C$20, $D$12, 100%, $F$12)</f>
        <v>10.7796</v>
      </c>
      <c r="K422" s="4"/>
      <c r="L422" s="8">
        <v>29.7257</v>
      </c>
      <c r="M422" s="8">
        <v>11.6745</v>
      </c>
      <c r="N422" s="8">
        <v>4.7850000000000001</v>
      </c>
      <c r="O422" s="8">
        <v>0.36199999999999999</v>
      </c>
      <c r="P422" s="8">
        <v>1.2509999999999999</v>
      </c>
      <c r="Q422" s="8">
        <v>19.6128</v>
      </c>
      <c r="R422" s="8"/>
    </row>
    <row r="423" spans="1:18" ht="14.25" customHeight="1">
      <c r="A423" s="11">
        <v>53996</v>
      </c>
      <c r="B423" s="7">
        <f>CHOOSE( CONTROL!$C$37, 11.6096, 11.6085) * CHOOSE(CONTROL!$C$20, $D$12, 100%, $F$12)</f>
        <v>11.6096</v>
      </c>
      <c r="C423" s="7">
        <f>CHOOSE( CONTROL!$C$37, 11.6149, 11.6138) * CHOOSE(CONTROL!$C$20, $D$12, 100%, $F$12)</f>
        <v>11.6149</v>
      </c>
      <c r="D423" s="7">
        <f>CHOOSE( CONTROL!$C$37, 11.6269, 11.6258) * CHOOSE( CONTROL!$C$20, $D$12, 100%, $F$12)</f>
        <v>11.626899999999999</v>
      </c>
      <c r="E423" s="10">
        <f>CHOOSE( CONTROL!$C$37, 11.6224, 11.6213) * CHOOSE( CONTROL!$C$20, $D$12, 100%, $F$12)</f>
        <v>11.622400000000001</v>
      </c>
      <c r="F423" s="4">
        <f>CHOOSE( CONTROL!$C$37, 12.3366, 12.3355) * CHOOSE(CONTROL!$C$20, $D$12, 100%, $F$12)</f>
        <v>12.336600000000001</v>
      </c>
      <c r="G423" s="7">
        <f>CHOOSE( CONTROL!$C$37, 11.4937, 11.4927) * CHOOSE( CONTROL!$C$20, $D$12, 100%, $F$12)</f>
        <v>11.4937</v>
      </c>
      <c r="H423" s="4">
        <f>CHOOSE( CONTROL!$C$37, 12.4383, 12.4372) * CHOOSE(CONTROL!$C$20, $D$12, 100%, $F$12)</f>
        <v>12.4383</v>
      </c>
      <c r="I423" s="7">
        <f>CHOOSE( CONTROL!$C$37, 11.3883, 11.3873) * CHOOSE(CONTROL!$C$20, $D$12, 100%, $F$12)</f>
        <v>11.388299999999999</v>
      </c>
      <c r="J423" s="4">
        <f>CHOOSE( CONTROL!$C$37, 11.2578, 11.2567) * CHOOSE(CONTROL!$C$20, $D$12, 100%, $F$12)</f>
        <v>11.2578</v>
      </c>
      <c r="K423" s="4"/>
      <c r="L423" s="8">
        <v>31.095300000000002</v>
      </c>
      <c r="M423" s="8">
        <v>12.063700000000001</v>
      </c>
      <c r="N423" s="8">
        <v>4.9444999999999997</v>
      </c>
      <c r="O423" s="8">
        <v>0.37409999999999999</v>
      </c>
      <c r="P423" s="8">
        <v>1.2927</v>
      </c>
      <c r="Q423" s="8">
        <v>20.2666</v>
      </c>
      <c r="R423" s="8"/>
    </row>
    <row r="424" spans="1:18" ht="14.25" customHeight="1">
      <c r="A424" s="11">
        <v>54026</v>
      </c>
      <c r="B424" s="7">
        <f>CHOOSE( CONTROL!$C$37, 12.5218, 12.5208) * CHOOSE(CONTROL!$C$20, $D$12, 100%, $F$12)</f>
        <v>12.521800000000001</v>
      </c>
      <c r="C424" s="7">
        <f>CHOOSE( CONTROL!$C$37, 12.5269, 12.5258) * CHOOSE(CONTROL!$C$20, $D$12, 100%, $F$12)</f>
        <v>12.526899999999999</v>
      </c>
      <c r="D424" s="7">
        <f>CHOOSE( CONTROL!$C$37, 12.5054, 12.5043) * CHOOSE( CONTROL!$C$20, $D$12, 100%, $F$12)</f>
        <v>12.5054</v>
      </c>
      <c r="E424" s="10">
        <f>CHOOSE( CONTROL!$C$37, 12.5127, 12.5116) * CHOOSE( CONTROL!$C$20, $D$12, 100%, $F$12)</f>
        <v>12.512700000000001</v>
      </c>
      <c r="F424" s="4">
        <f>CHOOSE( CONTROL!$C$37, 13.1744, 13.1733) * CHOOSE(CONTROL!$C$20, $D$12, 100%, $F$12)</f>
        <v>13.1744</v>
      </c>
      <c r="G424" s="7">
        <f>CHOOSE( CONTROL!$C$37, 12.3798, 12.3787) * CHOOSE( CONTROL!$C$20, $D$12, 100%, $F$12)</f>
        <v>12.379799999999999</v>
      </c>
      <c r="H424" s="4">
        <f>CHOOSE( CONTROL!$C$37, 13.2644, 13.2634) * CHOOSE(CONTROL!$C$20, $D$12, 100%, $F$12)</f>
        <v>13.2644</v>
      </c>
      <c r="I424" s="7">
        <f>CHOOSE( CONTROL!$C$37, 12.3237, 12.3226) * CHOOSE(CONTROL!$C$20, $D$12, 100%, $F$12)</f>
        <v>12.323700000000001</v>
      </c>
      <c r="J424" s="4">
        <f>CHOOSE( CONTROL!$C$37, 12.1416, 12.1405) * CHOOSE(CONTROL!$C$20, $D$12, 100%, $F$12)</f>
        <v>12.1416</v>
      </c>
      <c r="K424" s="4"/>
      <c r="L424" s="8">
        <v>28.360600000000002</v>
      </c>
      <c r="M424" s="8">
        <v>11.6745</v>
      </c>
      <c r="N424" s="8">
        <v>4.7850000000000001</v>
      </c>
      <c r="O424" s="8">
        <v>0.36199999999999999</v>
      </c>
      <c r="P424" s="8">
        <v>1.2509999999999999</v>
      </c>
      <c r="Q424" s="8">
        <v>19.6128</v>
      </c>
      <c r="R424" s="8"/>
    </row>
    <row r="425" spans="1:18" ht="14.25" customHeight="1">
      <c r="A425" s="11">
        <v>54057</v>
      </c>
      <c r="B425" s="7">
        <f>CHOOSE( CONTROL!$C$37, 12.499, 12.4979) * CHOOSE(CONTROL!$C$20, $D$12, 100%, $F$12)</f>
        <v>12.499000000000001</v>
      </c>
      <c r="C425" s="7">
        <f>CHOOSE( CONTROL!$C$37, 12.5041, 12.503) * CHOOSE(CONTROL!$C$20, $D$12, 100%, $F$12)</f>
        <v>12.504099999999999</v>
      </c>
      <c r="D425" s="7">
        <f>CHOOSE( CONTROL!$C$37, 12.4842, 12.4831) * CHOOSE( CONTROL!$C$20, $D$12, 100%, $F$12)</f>
        <v>12.4842</v>
      </c>
      <c r="E425" s="10">
        <f>CHOOSE( CONTROL!$C$37, 12.4909, 12.4898) * CHOOSE( CONTROL!$C$20, $D$12, 100%, $F$12)</f>
        <v>12.4909</v>
      </c>
      <c r="F425" s="4">
        <f>CHOOSE( CONTROL!$C$37, 13.1516, 13.1505) * CHOOSE(CONTROL!$C$20, $D$12, 100%, $F$12)</f>
        <v>13.1516</v>
      </c>
      <c r="G425" s="7">
        <f>CHOOSE( CONTROL!$C$37, 12.3585, 12.3574) * CHOOSE( CONTROL!$C$20, $D$12, 100%, $F$12)</f>
        <v>12.358499999999999</v>
      </c>
      <c r="H425" s="4">
        <f>CHOOSE( CONTROL!$C$37, 13.2419, 13.2409) * CHOOSE(CONTROL!$C$20, $D$12, 100%, $F$12)</f>
        <v>13.241899999999999</v>
      </c>
      <c r="I425" s="7">
        <f>CHOOSE( CONTROL!$C$37, 12.3065, 12.3054) * CHOOSE(CONTROL!$C$20, $D$12, 100%, $F$12)</f>
        <v>12.3065</v>
      </c>
      <c r="J425" s="4">
        <f>CHOOSE( CONTROL!$C$37, 12.1195, 12.1184) * CHOOSE(CONTROL!$C$20, $D$12, 100%, $F$12)</f>
        <v>12.1195</v>
      </c>
      <c r="K425" s="4"/>
      <c r="L425" s="8">
        <v>29.306000000000001</v>
      </c>
      <c r="M425" s="8">
        <v>12.063700000000001</v>
      </c>
      <c r="N425" s="8">
        <v>4.9444999999999997</v>
      </c>
      <c r="O425" s="8">
        <v>0.37409999999999999</v>
      </c>
      <c r="P425" s="8">
        <v>1.2927</v>
      </c>
      <c r="Q425" s="8">
        <v>20.2666</v>
      </c>
      <c r="R425" s="8"/>
    </row>
    <row r="426" spans="1:18" ht="14.25" customHeight="1">
      <c r="A426" s="11">
        <v>54088</v>
      </c>
      <c r="B426" s="7">
        <f>CHOOSE( CONTROL!$C$37, 12.8682, 12.8671) * CHOOSE(CONTROL!$C$20, $D$12, 100%, $F$12)</f>
        <v>12.8682</v>
      </c>
      <c r="C426" s="7">
        <f>CHOOSE( CONTROL!$C$37, 12.8733, 12.8722) * CHOOSE(CONTROL!$C$20, $D$12, 100%, $F$12)</f>
        <v>12.8733</v>
      </c>
      <c r="D426" s="7">
        <f>CHOOSE( CONTROL!$C$37, 12.8664, 12.8653) * CHOOSE( CONTROL!$C$20, $D$12, 100%, $F$12)</f>
        <v>12.866400000000001</v>
      </c>
      <c r="E426" s="10">
        <f>CHOOSE( CONTROL!$C$37, 12.8684, 12.8673) * CHOOSE( CONTROL!$C$20, $D$12, 100%, $F$12)</f>
        <v>12.868399999999999</v>
      </c>
      <c r="F426" s="4">
        <f>CHOOSE( CONTROL!$C$37, 13.5207, 13.5196) * CHOOSE(CONTROL!$C$20, $D$12, 100%, $F$12)</f>
        <v>13.5207</v>
      </c>
      <c r="G426" s="7">
        <f>CHOOSE( CONTROL!$C$37, 12.727, 12.7259) * CHOOSE( CONTROL!$C$20, $D$12, 100%, $F$12)</f>
        <v>12.727</v>
      </c>
      <c r="H426" s="4">
        <f>CHOOSE( CONTROL!$C$37, 13.6059, 13.6049) * CHOOSE(CONTROL!$C$20, $D$12, 100%, $F$12)</f>
        <v>13.6059</v>
      </c>
      <c r="I426" s="7">
        <f>CHOOSE( CONTROL!$C$37, 12.6354, 12.6343) * CHOOSE(CONTROL!$C$20, $D$12, 100%, $F$12)</f>
        <v>12.635400000000001</v>
      </c>
      <c r="J426" s="4">
        <f>CHOOSE( CONTROL!$C$37, 12.4769, 12.4759) * CHOOSE(CONTROL!$C$20, $D$12, 100%, $F$12)</f>
        <v>12.476900000000001</v>
      </c>
      <c r="K426" s="4"/>
      <c r="L426" s="8">
        <v>29.306000000000001</v>
      </c>
      <c r="M426" s="8">
        <v>12.063700000000001</v>
      </c>
      <c r="N426" s="8">
        <v>4.9444999999999997</v>
      </c>
      <c r="O426" s="8">
        <v>0.37409999999999999</v>
      </c>
      <c r="P426" s="8">
        <v>1.2927</v>
      </c>
      <c r="Q426" s="8">
        <v>20.201499999999999</v>
      </c>
      <c r="R426" s="8"/>
    </row>
    <row r="427" spans="1:18" ht="14.25" customHeight="1">
      <c r="A427" s="11">
        <v>54116</v>
      </c>
      <c r="B427" s="7">
        <f>CHOOSE( CONTROL!$C$37, 12.0352, 12.0342) * CHOOSE(CONTROL!$C$20, $D$12, 100%, $F$12)</f>
        <v>12.0352</v>
      </c>
      <c r="C427" s="7">
        <f>CHOOSE( CONTROL!$C$37, 12.0403, 12.0393) * CHOOSE(CONTROL!$C$20, $D$12, 100%, $F$12)</f>
        <v>12.0403</v>
      </c>
      <c r="D427" s="7">
        <f>CHOOSE( CONTROL!$C$37, 12.0334, 12.0323) * CHOOSE( CONTROL!$C$20, $D$12, 100%, $F$12)</f>
        <v>12.0334</v>
      </c>
      <c r="E427" s="10">
        <f>CHOOSE( CONTROL!$C$37, 12.0354, 12.0343) * CHOOSE( CONTROL!$C$20, $D$12, 100%, $F$12)</f>
        <v>12.035399999999999</v>
      </c>
      <c r="F427" s="4">
        <f>CHOOSE( CONTROL!$C$37, 12.6878, 12.6867) * CHOOSE(CONTROL!$C$20, $D$12, 100%, $F$12)</f>
        <v>12.687799999999999</v>
      </c>
      <c r="G427" s="7">
        <f>CHOOSE( CONTROL!$C$37, 11.9056, 11.9045) * CHOOSE( CONTROL!$C$20, $D$12, 100%, $F$12)</f>
        <v>11.9056</v>
      </c>
      <c r="H427" s="4">
        <f>CHOOSE( CONTROL!$C$37, 12.7846, 12.7835) * CHOOSE(CONTROL!$C$20, $D$12, 100%, $F$12)</f>
        <v>12.784599999999999</v>
      </c>
      <c r="I427" s="7">
        <f>CHOOSE( CONTROL!$C$37, 11.8282, 11.8271) * CHOOSE(CONTROL!$C$20, $D$12, 100%, $F$12)</f>
        <v>11.828200000000001</v>
      </c>
      <c r="J427" s="4">
        <f>CHOOSE( CONTROL!$C$37, 11.6704, 11.6693) * CHOOSE(CONTROL!$C$20, $D$12, 100%, $F$12)</f>
        <v>11.670400000000001</v>
      </c>
      <c r="K427" s="4"/>
      <c r="L427" s="8">
        <v>27.415299999999998</v>
      </c>
      <c r="M427" s="8">
        <v>11.285299999999999</v>
      </c>
      <c r="N427" s="8">
        <v>4.6254999999999997</v>
      </c>
      <c r="O427" s="8">
        <v>0.34989999999999999</v>
      </c>
      <c r="P427" s="8">
        <v>1.2093</v>
      </c>
      <c r="Q427" s="8">
        <v>18.898099999999999</v>
      </c>
      <c r="R427" s="8"/>
    </row>
    <row r="428" spans="1:18" ht="14.25" customHeight="1">
      <c r="A428" s="11">
        <v>54148</v>
      </c>
      <c r="B428" s="7">
        <f>CHOOSE( CONTROL!$C$37, 11.7787, 11.7776) * CHOOSE(CONTROL!$C$20, $D$12, 100%, $F$12)</f>
        <v>11.778700000000001</v>
      </c>
      <c r="C428" s="7">
        <f>CHOOSE( CONTROL!$C$37, 11.7838, 11.7827) * CHOOSE(CONTROL!$C$20, $D$12, 100%, $F$12)</f>
        <v>11.783799999999999</v>
      </c>
      <c r="D428" s="7">
        <f>CHOOSE( CONTROL!$C$37, 11.7762, 11.7751) * CHOOSE( CONTROL!$C$20, $D$12, 100%, $F$12)</f>
        <v>11.776199999999999</v>
      </c>
      <c r="E428" s="10">
        <f>CHOOSE( CONTROL!$C$37, 11.7784, 11.7773) * CHOOSE( CONTROL!$C$20, $D$12, 100%, $F$12)</f>
        <v>11.7784</v>
      </c>
      <c r="F428" s="4">
        <f>CHOOSE( CONTROL!$C$37, 12.4312, 12.4302) * CHOOSE(CONTROL!$C$20, $D$12, 100%, $F$12)</f>
        <v>12.4312</v>
      </c>
      <c r="G428" s="7">
        <f>CHOOSE( CONTROL!$C$37, 11.6522, 11.6511) * CHOOSE( CONTROL!$C$20, $D$12, 100%, $F$12)</f>
        <v>11.652200000000001</v>
      </c>
      <c r="H428" s="4">
        <f>CHOOSE( CONTROL!$C$37, 12.5317, 12.5306) * CHOOSE(CONTROL!$C$20, $D$12, 100%, $F$12)</f>
        <v>12.531700000000001</v>
      </c>
      <c r="I428" s="7">
        <f>CHOOSE( CONTROL!$C$37, 11.5777, 11.5766) * CHOOSE(CONTROL!$C$20, $D$12, 100%, $F$12)</f>
        <v>11.5777</v>
      </c>
      <c r="J428" s="4">
        <f>CHOOSE( CONTROL!$C$37, 11.422, 11.4209) * CHOOSE(CONTROL!$C$20, $D$12, 100%, $F$12)</f>
        <v>11.422000000000001</v>
      </c>
      <c r="K428" s="4"/>
      <c r="L428" s="8">
        <v>29.306000000000001</v>
      </c>
      <c r="M428" s="8">
        <v>12.063700000000001</v>
      </c>
      <c r="N428" s="8">
        <v>4.9444999999999997</v>
      </c>
      <c r="O428" s="8">
        <v>0.37409999999999999</v>
      </c>
      <c r="P428" s="8">
        <v>1.2927</v>
      </c>
      <c r="Q428" s="8">
        <v>20.201499999999999</v>
      </c>
      <c r="R428" s="8"/>
    </row>
    <row r="429" spans="1:18" ht="14.25" customHeight="1">
      <c r="A429" s="11">
        <v>54178</v>
      </c>
      <c r="B429" s="7">
        <f>CHOOSE( CONTROL!$C$37, 11.9587, 11.9576) * CHOOSE(CONTROL!$C$20, $D$12, 100%, $F$12)</f>
        <v>11.9587</v>
      </c>
      <c r="C429" s="7">
        <f>CHOOSE( CONTROL!$C$37, 11.9633, 11.9622) * CHOOSE(CONTROL!$C$20, $D$12, 100%, $F$12)</f>
        <v>11.9633</v>
      </c>
      <c r="D429" s="7">
        <f>CHOOSE( CONTROL!$C$37, 11.9751, 11.974) * CHOOSE( CONTROL!$C$20, $D$12, 100%, $F$12)</f>
        <v>11.975099999999999</v>
      </c>
      <c r="E429" s="10">
        <f>CHOOSE( CONTROL!$C$37, 11.9707, 11.9696) * CHOOSE( CONTROL!$C$20, $D$12, 100%, $F$12)</f>
        <v>11.970700000000001</v>
      </c>
      <c r="F429" s="4">
        <f>CHOOSE( CONTROL!$C$37, 12.6854, 12.6843) * CHOOSE(CONTROL!$C$20, $D$12, 100%, $F$12)</f>
        <v>12.6854</v>
      </c>
      <c r="G429" s="7">
        <f>CHOOSE( CONTROL!$C$37, 11.8372, 11.8361) * CHOOSE( CONTROL!$C$20, $D$12, 100%, $F$12)</f>
        <v>11.837199999999999</v>
      </c>
      <c r="H429" s="4">
        <f>CHOOSE( CONTROL!$C$37, 12.7822, 12.7812) * CHOOSE(CONTROL!$C$20, $D$12, 100%, $F$12)</f>
        <v>12.7822</v>
      </c>
      <c r="I429" s="7">
        <f>CHOOSE( CONTROL!$C$37, 11.724, 11.7229) * CHOOSE(CONTROL!$C$20, $D$12, 100%, $F$12)</f>
        <v>11.724</v>
      </c>
      <c r="J429" s="4">
        <f>CHOOSE( CONTROL!$C$37, 11.5956, 11.5945) * CHOOSE(CONTROL!$C$20, $D$12, 100%, $F$12)</f>
        <v>11.595599999999999</v>
      </c>
      <c r="K429" s="4"/>
      <c r="L429" s="8">
        <v>30.092199999999998</v>
      </c>
      <c r="M429" s="8">
        <v>11.6745</v>
      </c>
      <c r="N429" s="8">
        <v>4.7850000000000001</v>
      </c>
      <c r="O429" s="8">
        <v>0.36199999999999999</v>
      </c>
      <c r="P429" s="8">
        <v>1.2509999999999999</v>
      </c>
      <c r="Q429" s="8">
        <v>19.549800000000001</v>
      </c>
      <c r="R429" s="8"/>
    </row>
    <row r="430" spans="1:18" ht="14.25" customHeight="1">
      <c r="A430" s="11">
        <v>54209</v>
      </c>
      <c r="B430" s="7">
        <f>CHOOSE( CONTROL!$C$37, 12.2797, 12.2781) * CHOOSE(CONTROL!$C$20, $D$12, 100%, $F$12)</f>
        <v>12.2797</v>
      </c>
      <c r="C430" s="7">
        <f>CHOOSE( CONTROL!$C$37, 12.2877, 12.2861) * CHOOSE(CONTROL!$C$20, $D$12, 100%, $F$12)</f>
        <v>12.287699999999999</v>
      </c>
      <c r="D430" s="7">
        <f>CHOOSE( CONTROL!$C$37, 12.2934, 12.2917) * CHOOSE( CONTROL!$C$20, $D$12, 100%, $F$12)</f>
        <v>12.2934</v>
      </c>
      <c r="E430" s="10">
        <f>CHOOSE( CONTROL!$C$37, 12.2901, 12.2885) * CHOOSE( CONTROL!$C$20, $D$12, 100%, $F$12)</f>
        <v>12.290100000000001</v>
      </c>
      <c r="F430" s="4">
        <f>CHOOSE( CONTROL!$C$37, 13.005, 13.0033) * CHOOSE(CONTROL!$C$20, $D$12, 100%, $F$12)</f>
        <v>13.005000000000001</v>
      </c>
      <c r="G430" s="7">
        <f>CHOOSE( CONTROL!$C$37, 12.1523, 12.1507) * CHOOSE( CONTROL!$C$20, $D$12, 100%, $F$12)</f>
        <v>12.1523</v>
      </c>
      <c r="H430" s="4">
        <f>CHOOSE( CONTROL!$C$37, 13.0974, 13.0958) * CHOOSE(CONTROL!$C$20, $D$12, 100%, $F$12)</f>
        <v>13.0974</v>
      </c>
      <c r="I430" s="7">
        <f>CHOOSE( CONTROL!$C$37, 12.0333, 12.0317) * CHOOSE(CONTROL!$C$20, $D$12, 100%, $F$12)</f>
        <v>12.033300000000001</v>
      </c>
      <c r="J430" s="4">
        <f>CHOOSE( CONTROL!$C$37, 11.9051, 11.9034) * CHOOSE(CONTROL!$C$20, $D$12, 100%, $F$12)</f>
        <v>11.905099999999999</v>
      </c>
      <c r="K430" s="4"/>
      <c r="L430" s="8">
        <v>30.7165</v>
      </c>
      <c r="M430" s="8">
        <v>12.063700000000001</v>
      </c>
      <c r="N430" s="8">
        <v>4.9444999999999997</v>
      </c>
      <c r="O430" s="8">
        <v>0.37409999999999999</v>
      </c>
      <c r="P430" s="8">
        <v>1.2927</v>
      </c>
      <c r="Q430" s="8">
        <v>20.201499999999999</v>
      </c>
      <c r="R430" s="8"/>
    </row>
    <row r="431" spans="1:18" ht="14.25" customHeight="1">
      <c r="A431" s="11">
        <v>54239</v>
      </c>
      <c r="B431" s="7">
        <f>CHOOSE( CONTROL!$C$37, 12.0821, 12.0804) * CHOOSE(CONTROL!$C$20, $D$12, 100%, $F$12)</f>
        <v>12.082100000000001</v>
      </c>
      <c r="C431" s="7">
        <f>CHOOSE( CONTROL!$C$37, 12.0901, 12.0884) * CHOOSE(CONTROL!$C$20, $D$12, 100%, $F$12)</f>
        <v>12.0901</v>
      </c>
      <c r="D431" s="7">
        <f>CHOOSE( CONTROL!$C$37, 12.096, 12.0943) * CHOOSE( CONTROL!$C$20, $D$12, 100%, $F$12)</f>
        <v>12.096</v>
      </c>
      <c r="E431" s="10">
        <f>CHOOSE( CONTROL!$C$37, 12.0926, 12.0909) * CHOOSE( CONTROL!$C$20, $D$12, 100%, $F$12)</f>
        <v>12.092599999999999</v>
      </c>
      <c r="F431" s="4">
        <f>CHOOSE( CONTROL!$C$37, 12.8074, 12.8057) * CHOOSE(CONTROL!$C$20, $D$12, 100%, $F$12)</f>
        <v>12.807399999999999</v>
      </c>
      <c r="G431" s="7">
        <f>CHOOSE( CONTROL!$C$37, 11.9576, 11.956) * CHOOSE( CONTROL!$C$20, $D$12, 100%, $F$12)</f>
        <v>11.957599999999999</v>
      </c>
      <c r="H431" s="4">
        <f>CHOOSE( CONTROL!$C$37, 12.9025, 12.9009) * CHOOSE(CONTROL!$C$20, $D$12, 100%, $F$12)</f>
        <v>12.9025</v>
      </c>
      <c r="I431" s="7">
        <f>CHOOSE( CONTROL!$C$37, 11.8428, 11.8412) * CHOOSE(CONTROL!$C$20, $D$12, 100%, $F$12)</f>
        <v>11.8428</v>
      </c>
      <c r="J431" s="4">
        <f>CHOOSE( CONTROL!$C$37, 11.7137, 11.7121) * CHOOSE(CONTROL!$C$20, $D$12, 100%, $F$12)</f>
        <v>11.713699999999999</v>
      </c>
      <c r="K431" s="4"/>
      <c r="L431" s="8">
        <v>29.7257</v>
      </c>
      <c r="M431" s="8">
        <v>11.6745</v>
      </c>
      <c r="N431" s="8">
        <v>4.7850000000000001</v>
      </c>
      <c r="O431" s="8">
        <v>0.36199999999999999</v>
      </c>
      <c r="P431" s="8">
        <v>1.2509999999999999</v>
      </c>
      <c r="Q431" s="8">
        <v>19.549800000000001</v>
      </c>
      <c r="R431" s="8"/>
    </row>
    <row r="432" spans="1:18" ht="14.25" customHeight="1">
      <c r="A432" s="11">
        <v>54270</v>
      </c>
      <c r="B432" s="7">
        <f>CHOOSE( CONTROL!$C$37, 12.6026, 12.6009) * CHOOSE(CONTROL!$C$20, $D$12, 100%, $F$12)</f>
        <v>12.602600000000001</v>
      </c>
      <c r="C432" s="7">
        <f>CHOOSE( CONTROL!$C$37, 12.6106, 12.6089) * CHOOSE(CONTROL!$C$20, $D$12, 100%, $F$12)</f>
        <v>12.6106</v>
      </c>
      <c r="D432" s="7">
        <f>CHOOSE( CONTROL!$C$37, 12.6168, 12.6151) * CHOOSE( CONTROL!$C$20, $D$12, 100%, $F$12)</f>
        <v>12.6168</v>
      </c>
      <c r="E432" s="10">
        <f>CHOOSE( CONTROL!$C$37, 12.6133, 12.6116) * CHOOSE( CONTROL!$C$20, $D$12, 100%, $F$12)</f>
        <v>12.613300000000001</v>
      </c>
      <c r="F432" s="4">
        <f>CHOOSE( CONTROL!$C$37, 13.3278, 13.3262) * CHOOSE(CONTROL!$C$20, $D$12, 100%, $F$12)</f>
        <v>13.3278</v>
      </c>
      <c r="G432" s="7">
        <f>CHOOSE( CONTROL!$C$37, 12.4711, 12.4695) * CHOOSE( CONTROL!$C$20, $D$12, 100%, $F$12)</f>
        <v>12.4711</v>
      </c>
      <c r="H432" s="4">
        <f>CHOOSE( CONTROL!$C$37, 13.4157, 13.4141) * CHOOSE(CONTROL!$C$20, $D$12, 100%, $F$12)</f>
        <v>13.415699999999999</v>
      </c>
      <c r="I432" s="7">
        <f>CHOOSE( CONTROL!$C$37, 12.3481, 12.3465) * CHOOSE(CONTROL!$C$20, $D$12, 100%, $F$12)</f>
        <v>12.348100000000001</v>
      </c>
      <c r="J432" s="4">
        <f>CHOOSE( CONTROL!$C$37, 12.2176, 12.216) * CHOOSE(CONTROL!$C$20, $D$12, 100%, $F$12)</f>
        <v>12.217599999999999</v>
      </c>
      <c r="K432" s="4"/>
      <c r="L432" s="8">
        <v>30.7165</v>
      </c>
      <c r="M432" s="8">
        <v>12.063700000000001</v>
      </c>
      <c r="N432" s="8">
        <v>4.9444999999999997</v>
      </c>
      <c r="O432" s="8">
        <v>0.37409999999999999</v>
      </c>
      <c r="P432" s="8">
        <v>1.2927</v>
      </c>
      <c r="Q432" s="8">
        <v>20.201499999999999</v>
      </c>
      <c r="R432" s="8"/>
    </row>
    <row r="433" spans="1:18" ht="14.25" customHeight="1">
      <c r="A433" s="11">
        <v>54301</v>
      </c>
      <c r="B433" s="7">
        <f>CHOOSE( CONTROL!$C$37, 11.6287, 11.627) * CHOOSE(CONTROL!$C$20, $D$12, 100%, $F$12)</f>
        <v>11.6287</v>
      </c>
      <c r="C433" s="7">
        <f>CHOOSE( CONTROL!$C$37, 11.6367, 11.635) * CHOOSE(CONTROL!$C$20, $D$12, 100%, $F$12)</f>
        <v>11.636699999999999</v>
      </c>
      <c r="D433" s="7">
        <f>CHOOSE( CONTROL!$C$37, 11.643, 11.6413) * CHOOSE( CONTROL!$C$20, $D$12, 100%, $F$12)</f>
        <v>11.643000000000001</v>
      </c>
      <c r="E433" s="10">
        <f>CHOOSE( CONTROL!$C$37, 11.6395, 11.6378) * CHOOSE( CONTROL!$C$20, $D$12, 100%, $F$12)</f>
        <v>11.6395</v>
      </c>
      <c r="F433" s="4">
        <f>CHOOSE( CONTROL!$C$37, 12.354, 12.3523) * CHOOSE(CONTROL!$C$20, $D$12, 100%, $F$12)</f>
        <v>12.353999999999999</v>
      </c>
      <c r="G433" s="7">
        <f>CHOOSE( CONTROL!$C$37, 11.5109, 11.5093) * CHOOSE( CONTROL!$C$20, $D$12, 100%, $F$12)</f>
        <v>11.510899999999999</v>
      </c>
      <c r="H433" s="4">
        <f>CHOOSE( CONTROL!$C$37, 12.4555, 12.4538) * CHOOSE(CONTROL!$C$20, $D$12, 100%, $F$12)</f>
        <v>12.455500000000001</v>
      </c>
      <c r="I433" s="7">
        <f>CHOOSE( CONTROL!$C$37, 11.4049, 11.4033) * CHOOSE(CONTROL!$C$20, $D$12, 100%, $F$12)</f>
        <v>11.4049</v>
      </c>
      <c r="J433" s="4">
        <f>CHOOSE( CONTROL!$C$37, 11.2747, 11.2731) * CHOOSE(CONTROL!$C$20, $D$12, 100%, $F$12)</f>
        <v>11.274699999999999</v>
      </c>
      <c r="K433" s="4"/>
      <c r="L433" s="8">
        <v>30.7165</v>
      </c>
      <c r="M433" s="8">
        <v>12.063700000000001</v>
      </c>
      <c r="N433" s="8">
        <v>4.9444999999999997</v>
      </c>
      <c r="O433" s="8">
        <v>0.37409999999999999</v>
      </c>
      <c r="P433" s="8">
        <v>1.2927</v>
      </c>
      <c r="Q433" s="8">
        <v>20.201499999999999</v>
      </c>
      <c r="R433" s="8"/>
    </row>
    <row r="434" spans="1:18" ht="14.25" customHeight="1">
      <c r="A434" s="11">
        <v>54331</v>
      </c>
      <c r="B434" s="7">
        <f>CHOOSE( CONTROL!$C$37, 11.3848, 11.3832) * CHOOSE(CONTROL!$C$20, $D$12, 100%, $F$12)</f>
        <v>11.3848</v>
      </c>
      <c r="C434" s="7">
        <f>CHOOSE( CONTROL!$C$37, 11.3928, 11.3912) * CHOOSE(CONTROL!$C$20, $D$12, 100%, $F$12)</f>
        <v>11.392799999999999</v>
      </c>
      <c r="D434" s="7">
        <f>CHOOSE( CONTROL!$C$37, 11.399, 11.3974) * CHOOSE( CONTROL!$C$20, $D$12, 100%, $F$12)</f>
        <v>11.398999999999999</v>
      </c>
      <c r="E434" s="10">
        <f>CHOOSE( CONTROL!$C$37, 11.3955, 11.3939) * CHOOSE( CONTROL!$C$20, $D$12, 100%, $F$12)</f>
        <v>11.3955</v>
      </c>
      <c r="F434" s="4">
        <f>CHOOSE( CONTROL!$C$37, 12.1101, 12.1085) * CHOOSE(CONTROL!$C$20, $D$12, 100%, $F$12)</f>
        <v>12.110099999999999</v>
      </c>
      <c r="G434" s="7">
        <f>CHOOSE( CONTROL!$C$37, 11.2703, 11.2687) * CHOOSE( CONTROL!$C$20, $D$12, 100%, $F$12)</f>
        <v>11.270300000000001</v>
      </c>
      <c r="H434" s="4">
        <f>CHOOSE( CONTROL!$C$37, 12.215, 12.2134) * CHOOSE(CONTROL!$C$20, $D$12, 100%, $F$12)</f>
        <v>12.215</v>
      </c>
      <c r="I434" s="7">
        <f>CHOOSE( CONTROL!$C$37, 11.1683, 11.1667) * CHOOSE(CONTROL!$C$20, $D$12, 100%, $F$12)</f>
        <v>11.1683</v>
      </c>
      <c r="J434" s="4">
        <f>CHOOSE( CONTROL!$C$37, 11.0385, 11.0369) * CHOOSE(CONTROL!$C$20, $D$12, 100%, $F$12)</f>
        <v>11.038500000000001</v>
      </c>
      <c r="K434" s="4"/>
      <c r="L434" s="8">
        <v>29.7257</v>
      </c>
      <c r="M434" s="8">
        <v>11.6745</v>
      </c>
      <c r="N434" s="8">
        <v>4.7850000000000001</v>
      </c>
      <c r="O434" s="8">
        <v>0.36199999999999999</v>
      </c>
      <c r="P434" s="8">
        <v>1.2509999999999999</v>
      </c>
      <c r="Q434" s="8">
        <v>19.549800000000001</v>
      </c>
      <c r="R434" s="8"/>
    </row>
    <row r="435" spans="1:18" ht="14.25" customHeight="1">
      <c r="A435" s="11">
        <v>54362</v>
      </c>
      <c r="B435" s="7">
        <f>CHOOSE( CONTROL!$C$37, 11.8889, 11.8878) * CHOOSE(CONTROL!$C$20, $D$12, 100%, $F$12)</f>
        <v>11.8889</v>
      </c>
      <c r="C435" s="7">
        <f>CHOOSE( CONTROL!$C$37, 11.8942, 11.8931) * CHOOSE(CONTROL!$C$20, $D$12, 100%, $F$12)</f>
        <v>11.8942</v>
      </c>
      <c r="D435" s="7">
        <f>CHOOSE( CONTROL!$C$37, 11.9062, 11.9052) * CHOOSE( CONTROL!$C$20, $D$12, 100%, $F$12)</f>
        <v>11.9062</v>
      </c>
      <c r="E435" s="10">
        <f>CHOOSE( CONTROL!$C$37, 11.9017, 11.9006) * CHOOSE( CONTROL!$C$20, $D$12, 100%, $F$12)</f>
        <v>11.9017</v>
      </c>
      <c r="F435" s="4">
        <f>CHOOSE( CONTROL!$C$37, 12.6159, 12.6148) * CHOOSE(CONTROL!$C$20, $D$12, 100%, $F$12)</f>
        <v>12.6159</v>
      </c>
      <c r="G435" s="7">
        <f>CHOOSE( CONTROL!$C$37, 11.7692, 11.7681) * CHOOSE( CONTROL!$C$20, $D$12, 100%, $F$12)</f>
        <v>11.7692</v>
      </c>
      <c r="H435" s="4">
        <f>CHOOSE( CONTROL!$C$37, 12.7137, 12.7127) * CHOOSE(CONTROL!$C$20, $D$12, 100%, $F$12)</f>
        <v>12.713699999999999</v>
      </c>
      <c r="I435" s="7">
        <f>CHOOSE( CONTROL!$C$37, 11.6589, 11.6579) * CHOOSE(CONTROL!$C$20, $D$12, 100%, $F$12)</f>
        <v>11.658899999999999</v>
      </c>
      <c r="J435" s="4">
        <f>CHOOSE( CONTROL!$C$37, 11.5283, 11.5272) * CHOOSE(CONTROL!$C$20, $D$12, 100%, $F$12)</f>
        <v>11.5283</v>
      </c>
      <c r="K435" s="4"/>
      <c r="L435" s="8">
        <v>31.095300000000002</v>
      </c>
      <c r="M435" s="8">
        <v>12.063700000000001</v>
      </c>
      <c r="N435" s="8">
        <v>4.9444999999999997</v>
      </c>
      <c r="O435" s="8">
        <v>0.37409999999999999</v>
      </c>
      <c r="P435" s="8">
        <v>1.2927</v>
      </c>
      <c r="Q435" s="8">
        <v>20.201499999999999</v>
      </c>
      <c r="R435" s="8"/>
    </row>
    <row r="436" spans="1:18" ht="14.25" customHeight="1">
      <c r="A436" s="11">
        <v>54392</v>
      </c>
      <c r="B436" s="7">
        <f>CHOOSE( CONTROL!$C$37, 12.8231, 12.822) * CHOOSE(CONTROL!$C$20, $D$12, 100%, $F$12)</f>
        <v>12.8231</v>
      </c>
      <c r="C436" s="7">
        <f>CHOOSE( CONTROL!$C$37, 12.8282, 12.8271) * CHOOSE(CONTROL!$C$20, $D$12, 100%, $F$12)</f>
        <v>12.828200000000001</v>
      </c>
      <c r="D436" s="7">
        <f>CHOOSE( CONTROL!$C$37, 12.8066, 12.8056) * CHOOSE( CONTROL!$C$20, $D$12, 100%, $F$12)</f>
        <v>12.8066</v>
      </c>
      <c r="E436" s="10">
        <f>CHOOSE( CONTROL!$C$37, 12.814, 12.8129) * CHOOSE( CONTROL!$C$20, $D$12, 100%, $F$12)</f>
        <v>12.814</v>
      </c>
      <c r="F436" s="4">
        <f>CHOOSE( CONTROL!$C$37, 13.4756, 13.4745) * CHOOSE(CONTROL!$C$20, $D$12, 100%, $F$12)</f>
        <v>13.4756</v>
      </c>
      <c r="G436" s="7">
        <f>CHOOSE( CONTROL!$C$37, 12.6769, 12.6758) * CHOOSE( CONTROL!$C$20, $D$12, 100%, $F$12)</f>
        <v>12.6769</v>
      </c>
      <c r="H436" s="4">
        <f>CHOOSE( CONTROL!$C$37, 13.5615, 13.5604) * CHOOSE(CONTROL!$C$20, $D$12, 100%, $F$12)</f>
        <v>13.561500000000001</v>
      </c>
      <c r="I436" s="7">
        <f>CHOOSE( CONTROL!$C$37, 12.6155, 12.6145) * CHOOSE(CONTROL!$C$20, $D$12, 100%, $F$12)</f>
        <v>12.615500000000001</v>
      </c>
      <c r="J436" s="4">
        <f>CHOOSE( CONTROL!$C$37, 12.4333, 12.4322) * CHOOSE(CONTROL!$C$20, $D$12, 100%, $F$12)</f>
        <v>12.433299999999999</v>
      </c>
      <c r="K436" s="4"/>
      <c r="L436" s="8">
        <v>28.360600000000002</v>
      </c>
      <c r="M436" s="8">
        <v>11.6745</v>
      </c>
      <c r="N436" s="8">
        <v>4.7850000000000001</v>
      </c>
      <c r="O436" s="8">
        <v>0.36199999999999999</v>
      </c>
      <c r="P436" s="8">
        <v>1.2509999999999999</v>
      </c>
      <c r="Q436" s="8">
        <v>19.549800000000001</v>
      </c>
      <c r="R436" s="8"/>
    </row>
    <row r="437" spans="1:18" ht="14.25" customHeight="1">
      <c r="A437" s="11">
        <v>54423</v>
      </c>
      <c r="B437" s="7">
        <f>CHOOSE( CONTROL!$C$37, 12.7997, 12.7987) * CHOOSE(CONTROL!$C$20, $D$12, 100%, $F$12)</f>
        <v>12.7997</v>
      </c>
      <c r="C437" s="7">
        <f>CHOOSE( CONTROL!$C$37, 12.8048, 12.8038) * CHOOSE(CONTROL!$C$20, $D$12, 100%, $F$12)</f>
        <v>12.8048</v>
      </c>
      <c r="D437" s="7">
        <f>CHOOSE( CONTROL!$C$37, 12.7849, 12.7838) * CHOOSE( CONTROL!$C$20, $D$12, 100%, $F$12)</f>
        <v>12.7849</v>
      </c>
      <c r="E437" s="10">
        <f>CHOOSE( CONTROL!$C$37, 12.7916, 12.7906) * CHOOSE( CONTROL!$C$20, $D$12, 100%, $F$12)</f>
        <v>12.791600000000001</v>
      </c>
      <c r="F437" s="4">
        <f>CHOOSE( CONTROL!$C$37, 13.4523, 13.4512) * CHOOSE(CONTROL!$C$20, $D$12, 100%, $F$12)</f>
        <v>13.452299999999999</v>
      </c>
      <c r="G437" s="7">
        <f>CHOOSE( CONTROL!$C$37, 12.655, 12.6539) * CHOOSE( CONTROL!$C$20, $D$12, 100%, $F$12)</f>
        <v>12.654999999999999</v>
      </c>
      <c r="H437" s="4">
        <f>CHOOSE( CONTROL!$C$37, 13.5385, 13.5374) * CHOOSE(CONTROL!$C$20, $D$12, 100%, $F$12)</f>
        <v>13.538500000000001</v>
      </c>
      <c r="I437" s="7">
        <f>CHOOSE( CONTROL!$C$37, 12.5978, 12.5967) * CHOOSE(CONTROL!$C$20, $D$12, 100%, $F$12)</f>
        <v>12.597799999999999</v>
      </c>
      <c r="J437" s="4">
        <f>CHOOSE( CONTROL!$C$37, 12.4106, 12.4096) * CHOOSE(CONTROL!$C$20, $D$12, 100%, $F$12)</f>
        <v>12.410600000000001</v>
      </c>
      <c r="K437" s="4"/>
      <c r="L437" s="8">
        <v>29.306000000000001</v>
      </c>
      <c r="M437" s="8">
        <v>12.063700000000001</v>
      </c>
      <c r="N437" s="8">
        <v>4.9444999999999997</v>
      </c>
      <c r="O437" s="8">
        <v>0.37409999999999999</v>
      </c>
      <c r="P437" s="8">
        <v>1.2927</v>
      </c>
      <c r="Q437" s="8">
        <v>20.201499999999999</v>
      </c>
      <c r="R437" s="8"/>
    </row>
    <row r="438" spans="1:18" ht="14.25" customHeight="1">
      <c r="A438" s="11">
        <v>54454</v>
      </c>
      <c r="B438" s="7">
        <f>CHOOSE( CONTROL!$C$37, 13.1778, 13.1767) * CHOOSE(CONTROL!$C$20, $D$12, 100%, $F$12)</f>
        <v>13.1778</v>
      </c>
      <c r="C438" s="7">
        <f>CHOOSE( CONTROL!$C$37, 13.1829, 13.1818) * CHOOSE(CONTROL!$C$20, $D$12, 100%, $F$12)</f>
        <v>13.1829</v>
      </c>
      <c r="D438" s="7">
        <f>CHOOSE( CONTROL!$C$37, 13.176, 13.1749) * CHOOSE( CONTROL!$C$20, $D$12, 100%, $F$12)</f>
        <v>13.176</v>
      </c>
      <c r="E438" s="10">
        <f>CHOOSE( CONTROL!$C$37, 13.178, 13.1769) * CHOOSE( CONTROL!$C$20, $D$12, 100%, $F$12)</f>
        <v>13.178000000000001</v>
      </c>
      <c r="F438" s="4">
        <f>CHOOSE( CONTROL!$C$37, 13.8303, 13.8292) * CHOOSE(CONTROL!$C$20, $D$12, 100%, $F$12)</f>
        <v>13.830299999999999</v>
      </c>
      <c r="G438" s="7">
        <f>CHOOSE( CONTROL!$C$37, 13.0322, 13.0312) * CHOOSE( CONTROL!$C$20, $D$12, 100%, $F$12)</f>
        <v>13.0322</v>
      </c>
      <c r="H438" s="4">
        <f>CHOOSE( CONTROL!$C$37, 13.9112, 13.9101) * CHOOSE(CONTROL!$C$20, $D$12, 100%, $F$12)</f>
        <v>13.911199999999999</v>
      </c>
      <c r="I438" s="7">
        <f>CHOOSE( CONTROL!$C$37, 12.9353, 12.9342) * CHOOSE(CONTROL!$C$20, $D$12, 100%, $F$12)</f>
        <v>12.9353</v>
      </c>
      <c r="J438" s="4">
        <f>CHOOSE( CONTROL!$C$37, 12.7767, 12.7756) * CHOOSE(CONTROL!$C$20, $D$12, 100%, $F$12)</f>
        <v>12.7767</v>
      </c>
      <c r="K438" s="4"/>
      <c r="L438" s="8">
        <v>29.306000000000001</v>
      </c>
      <c r="M438" s="8">
        <v>12.063700000000001</v>
      </c>
      <c r="N438" s="8">
        <v>4.9444999999999997</v>
      </c>
      <c r="O438" s="8">
        <v>0.37409999999999999</v>
      </c>
      <c r="P438" s="8">
        <v>1.2927</v>
      </c>
      <c r="Q438" s="8">
        <v>20.136399999999998</v>
      </c>
      <c r="R438" s="8"/>
    </row>
    <row r="439" spans="1:18" ht="14.25" customHeight="1">
      <c r="A439" s="11">
        <v>54482</v>
      </c>
      <c r="B439" s="7">
        <f>CHOOSE( CONTROL!$C$37, 12.3248, 12.3237) * CHOOSE(CONTROL!$C$20, $D$12, 100%, $F$12)</f>
        <v>12.3248</v>
      </c>
      <c r="C439" s="7">
        <f>CHOOSE( CONTROL!$C$37, 12.3299, 12.3288) * CHOOSE(CONTROL!$C$20, $D$12, 100%, $F$12)</f>
        <v>12.3299</v>
      </c>
      <c r="D439" s="7">
        <f>CHOOSE( CONTROL!$C$37, 12.3229, 12.3218) * CHOOSE( CONTROL!$C$20, $D$12, 100%, $F$12)</f>
        <v>12.322900000000001</v>
      </c>
      <c r="E439" s="10">
        <f>CHOOSE( CONTROL!$C$37, 12.3249, 12.3238) * CHOOSE( CONTROL!$C$20, $D$12, 100%, $F$12)</f>
        <v>12.3249</v>
      </c>
      <c r="F439" s="4">
        <f>CHOOSE( CONTROL!$C$37, 12.9773, 12.9763) * CHOOSE(CONTROL!$C$20, $D$12, 100%, $F$12)</f>
        <v>12.9773</v>
      </c>
      <c r="G439" s="7">
        <f>CHOOSE( CONTROL!$C$37, 12.1911, 12.19) * CHOOSE( CONTROL!$C$20, $D$12, 100%, $F$12)</f>
        <v>12.1911</v>
      </c>
      <c r="H439" s="4">
        <f>CHOOSE( CONTROL!$C$37, 13.0701, 13.0691) * CHOOSE(CONTROL!$C$20, $D$12, 100%, $F$12)</f>
        <v>13.0701</v>
      </c>
      <c r="I439" s="7">
        <f>CHOOSE( CONTROL!$C$37, 12.1087, 12.1076) * CHOOSE(CONTROL!$C$20, $D$12, 100%, $F$12)</f>
        <v>12.108700000000001</v>
      </c>
      <c r="J439" s="4">
        <f>CHOOSE( CONTROL!$C$37, 11.9508, 11.9497) * CHOOSE(CONTROL!$C$20, $D$12, 100%, $F$12)</f>
        <v>11.950799999999999</v>
      </c>
      <c r="K439" s="4"/>
      <c r="L439" s="8">
        <v>26.469899999999999</v>
      </c>
      <c r="M439" s="8">
        <v>10.8962</v>
      </c>
      <c r="N439" s="8">
        <v>4.4660000000000002</v>
      </c>
      <c r="O439" s="8">
        <v>0.33789999999999998</v>
      </c>
      <c r="P439" s="8">
        <v>1.1676</v>
      </c>
      <c r="Q439" s="8">
        <v>18.1877</v>
      </c>
      <c r="R439" s="8"/>
    </row>
    <row r="440" spans="1:18" ht="14.25" customHeight="1">
      <c r="A440" s="11">
        <v>54513</v>
      </c>
      <c r="B440" s="7">
        <f>CHOOSE( CONTROL!$C$37, 12.0621, 12.061) * CHOOSE(CONTROL!$C$20, $D$12, 100%, $F$12)</f>
        <v>12.062099999999999</v>
      </c>
      <c r="C440" s="7">
        <f>CHOOSE( CONTROL!$C$37, 12.0672, 12.0661) * CHOOSE(CONTROL!$C$20, $D$12, 100%, $F$12)</f>
        <v>12.0672</v>
      </c>
      <c r="D440" s="7">
        <f>CHOOSE( CONTROL!$C$37, 12.0596, 12.0585) * CHOOSE( CONTROL!$C$20, $D$12, 100%, $F$12)</f>
        <v>12.0596</v>
      </c>
      <c r="E440" s="10">
        <f>CHOOSE( CONTROL!$C$37, 12.0618, 12.0607) * CHOOSE( CONTROL!$C$20, $D$12, 100%, $F$12)</f>
        <v>12.0618</v>
      </c>
      <c r="F440" s="4">
        <f>CHOOSE( CONTROL!$C$37, 12.7146, 12.7136) * CHOOSE(CONTROL!$C$20, $D$12, 100%, $F$12)</f>
        <v>12.714600000000001</v>
      </c>
      <c r="G440" s="7">
        <f>CHOOSE( CONTROL!$C$37, 11.9316, 11.9305) * CHOOSE( CONTROL!$C$20, $D$12, 100%, $F$12)</f>
        <v>11.9316</v>
      </c>
      <c r="H440" s="4">
        <f>CHOOSE( CONTROL!$C$37, 12.8111, 12.81) * CHOOSE(CONTROL!$C$20, $D$12, 100%, $F$12)</f>
        <v>12.8111</v>
      </c>
      <c r="I440" s="7">
        <f>CHOOSE( CONTROL!$C$37, 11.8523, 11.8512) * CHOOSE(CONTROL!$C$20, $D$12, 100%, $F$12)</f>
        <v>11.8523</v>
      </c>
      <c r="J440" s="4">
        <f>CHOOSE( CONTROL!$C$37, 11.6964, 11.6953) * CHOOSE(CONTROL!$C$20, $D$12, 100%, $F$12)</f>
        <v>11.696400000000001</v>
      </c>
      <c r="K440" s="4"/>
      <c r="L440" s="8">
        <v>29.306000000000001</v>
      </c>
      <c r="M440" s="8">
        <v>12.063700000000001</v>
      </c>
      <c r="N440" s="8">
        <v>4.9444999999999997</v>
      </c>
      <c r="O440" s="8">
        <v>0.37409999999999999</v>
      </c>
      <c r="P440" s="8">
        <v>1.2927</v>
      </c>
      <c r="Q440" s="8">
        <v>20.136399999999998</v>
      </c>
      <c r="R440" s="8"/>
    </row>
    <row r="441" spans="1:18" ht="14.25" customHeight="1">
      <c r="A441" s="11">
        <v>54543</v>
      </c>
      <c r="B441" s="7">
        <f>CHOOSE( CONTROL!$C$37, 12.2464, 12.2454) * CHOOSE(CONTROL!$C$20, $D$12, 100%, $F$12)</f>
        <v>12.2464</v>
      </c>
      <c r="C441" s="7">
        <f>CHOOSE( CONTROL!$C$37, 12.251, 12.2499) * CHOOSE(CONTROL!$C$20, $D$12, 100%, $F$12)</f>
        <v>12.250999999999999</v>
      </c>
      <c r="D441" s="7">
        <f>CHOOSE( CONTROL!$C$37, 12.2628, 12.2617) * CHOOSE( CONTROL!$C$20, $D$12, 100%, $F$12)</f>
        <v>12.2628</v>
      </c>
      <c r="E441" s="10">
        <f>CHOOSE( CONTROL!$C$37, 12.2584, 12.2573) * CHOOSE( CONTROL!$C$20, $D$12, 100%, $F$12)</f>
        <v>12.2584</v>
      </c>
      <c r="F441" s="4">
        <f>CHOOSE( CONTROL!$C$37, 12.9731, 12.972) * CHOOSE(CONTROL!$C$20, $D$12, 100%, $F$12)</f>
        <v>12.973100000000001</v>
      </c>
      <c r="G441" s="7">
        <f>CHOOSE( CONTROL!$C$37, 12.1209, 12.1198) * CHOOSE( CONTROL!$C$20, $D$12, 100%, $F$12)</f>
        <v>12.120900000000001</v>
      </c>
      <c r="H441" s="4">
        <f>CHOOSE( CONTROL!$C$37, 13.0659, 13.0649) * CHOOSE(CONTROL!$C$20, $D$12, 100%, $F$12)</f>
        <v>13.065899999999999</v>
      </c>
      <c r="I441" s="7">
        <f>CHOOSE( CONTROL!$C$37, 12.0027, 12.0016) * CHOOSE(CONTROL!$C$20, $D$12, 100%, $F$12)</f>
        <v>12.002700000000001</v>
      </c>
      <c r="J441" s="4">
        <f>CHOOSE( CONTROL!$C$37, 11.8741, 11.8731) * CHOOSE(CONTROL!$C$20, $D$12, 100%, $F$12)</f>
        <v>11.8741</v>
      </c>
      <c r="K441" s="4"/>
      <c r="L441" s="8">
        <v>30.092199999999998</v>
      </c>
      <c r="M441" s="8">
        <v>11.6745</v>
      </c>
      <c r="N441" s="8">
        <v>4.7850000000000001</v>
      </c>
      <c r="O441" s="8">
        <v>0.36199999999999999</v>
      </c>
      <c r="P441" s="8">
        <v>1.2509999999999999</v>
      </c>
      <c r="Q441" s="8">
        <v>19.486799999999999</v>
      </c>
      <c r="R441" s="8"/>
    </row>
    <row r="442" spans="1:18" ht="14.25" customHeight="1">
      <c r="A442" s="11">
        <v>54574</v>
      </c>
      <c r="B442" s="7">
        <f>CHOOSE( CONTROL!$C$37, 12.5751, 12.5734) * CHOOSE(CONTROL!$C$20, $D$12, 100%, $F$12)</f>
        <v>12.575100000000001</v>
      </c>
      <c r="C442" s="7">
        <f>CHOOSE( CONTROL!$C$37, 12.5831, 12.5814) * CHOOSE(CONTROL!$C$20, $D$12, 100%, $F$12)</f>
        <v>12.5831</v>
      </c>
      <c r="D442" s="7">
        <f>CHOOSE( CONTROL!$C$37, 12.5888, 12.5871) * CHOOSE( CONTROL!$C$20, $D$12, 100%, $F$12)</f>
        <v>12.588800000000001</v>
      </c>
      <c r="E442" s="10">
        <f>CHOOSE( CONTROL!$C$37, 12.5855, 12.5838) * CHOOSE( CONTROL!$C$20, $D$12, 100%, $F$12)</f>
        <v>12.5855</v>
      </c>
      <c r="F442" s="4">
        <f>CHOOSE( CONTROL!$C$37, 13.3004, 13.2987) * CHOOSE(CONTROL!$C$20, $D$12, 100%, $F$12)</f>
        <v>13.3004</v>
      </c>
      <c r="G442" s="7">
        <f>CHOOSE( CONTROL!$C$37, 12.4436, 12.4419) * CHOOSE( CONTROL!$C$20, $D$12, 100%, $F$12)</f>
        <v>12.4436</v>
      </c>
      <c r="H442" s="4">
        <f>CHOOSE( CONTROL!$C$37, 13.3887, 13.387) * CHOOSE(CONTROL!$C$20, $D$12, 100%, $F$12)</f>
        <v>13.3887</v>
      </c>
      <c r="I442" s="7">
        <f>CHOOSE( CONTROL!$C$37, 12.3195, 12.3179) * CHOOSE(CONTROL!$C$20, $D$12, 100%, $F$12)</f>
        <v>12.3195</v>
      </c>
      <c r="J442" s="4">
        <f>CHOOSE( CONTROL!$C$37, 12.1911, 12.1895) * CHOOSE(CONTROL!$C$20, $D$12, 100%, $F$12)</f>
        <v>12.1911</v>
      </c>
      <c r="K442" s="4"/>
      <c r="L442" s="8">
        <v>30.7165</v>
      </c>
      <c r="M442" s="8">
        <v>12.063700000000001</v>
      </c>
      <c r="N442" s="8">
        <v>4.9444999999999997</v>
      </c>
      <c r="O442" s="8">
        <v>0.37409999999999999</v>
      </c>
      <c r="P442" s="8">
        <v>1.2927</v>
      </c>
      <c r="Q442" s="8">
        <v>20.136399999999998</v>
      </c>
      <c r="R442" s="8"/>
    </row>
    <row r="443" spans="1:18" ht="14.25" customHeight="1">
      <c r="A443" s="11">
        <v>54604</v>
      </c>
      <c r="B443" s="7">
        <f>CHOOSE( CONTROL!$C$37, 12.3727, 12.371) * CHOOSE(CONTROL!$C$20, $D$12, 100%, $F$12)</f>
        <v>12.3727</v>
      </c>
      <c r="C443" s="7">
        <f>CHOOSE( CONTROL!$C$37, 12.3807, 12.379) * CHOOSE(CONTROL!$C$20, $D$12, 100%, $F$12)</f>
        <v>12.380699999999999</v>
      </c>
      <c r="D443" s="7">
        <f>CHOOSE( CONTROL!$C$37, 12.3866, 12.385) * CHOOSE( CONTROL!$C$20, $D$12, 100%, $F$12)</f>
        <v>12.3866</v>
      </c>
      <c r="E443" s="10">
        <f>CHOOSE( CONTROL!$C$37, 12.3832, 12.3816) * CHOOSE( CONTROL!$C$20, $D$12, 100%, $F$12)</f>
        <v>12.3832</v>
      </c>
      <c r="F443" s="4">
        <f>CHOOSE( CONTROL!$C$37, 13.098, 13.0963) * CHOOSE(CONTROL!$C$20, $D$12, 100%, $F$12)</f>
        <v>13.098000000000001</v>
      </c>
      <c r="G443" s="7">
        <f>CHOOSE( CONTROL!$C$37, 12.2442, 12.2426) * CHOOSE( CONTROL!$C$20, $D$12, 100%, $F$12)</f>
        <v>12.244199999999999</v>
      </c>
      <c r="H443" s="4">
        <f>CHOOSE( CONTROL!$C$37, 13.1891, 13.1875) * CHOOSE(CONTROL!$C$20, $D$12, 100%, $F$12)</f>
        <v>13.1891</v>
      </c>
      <c r="I443" s="7">
        <f>CHOOSE( CONTROL!$C$37, 12.1244, 12.1227) * CHOOSE(CONTROL!$C$20, $D$12, 100%, $F$12)</f>
        <v>12.1244</v>
      </c>
      <c r="J443" s="4">
        <f>CHOOSE( CONTROL!$C$37, 11.9951, 11.9935) * CHOOSE(CONTROL!$C$20, $D$12, 100%, $F$12)</f>
        <v>11.995100000000001</v>
      </c>
      <c r="K443" s="4"/>
      <c r="L443" s="8">
        <v>29.7257</v>
      </c>
      <c r="M443" s="8">
        <v>11.6745</v>
      </c>
      <c r="N443" s="8">
        <v>4.7850000000000001</v>
      </c>
      <c r="O443" s="8">
        <v>0.36199999999999999</v>
      </c>
      <c r="P443" s="8">
        <v>1.2509999999999999</v>
      </c>
      <c r="Q443" s="8">
        <v>19.486799999999999</v>
      </c>
      <c r="R443" s="8"/>
    </row>
    <row r="444" spans="1:18" ht="14.25" customHeight="1">
      <c r="A444" s="11">
        <v>54635</v>
      </c>
      <c r="B444" s="7">
        <f>CHOOSE( CONTROL!$C$37, 12.9057, 12.904) * CHOOSE(CONTROL!$C$20, $D$12, 100%, $F$12)</f>
        <v>12.9057</v>
      </c>
      <c r="C444" s="7">
        <f>CHOOSE( CONTROL!$C$37, 12.9137, 12.912) * CHOOSE(CONTROL!$C$20, $D$12, 100%, $F$12)</f>
        <v>12.9137</v>
      </c>
      <c r="D444" s="7">
        <f>CHOOSE( CONTROL!$C$37, 12.9199, 12.9182) * CHOOSE( CONTROL!$C$20, $D$12, 100%, $F$12)</f>
        <v>12.9199</v>
      </c>
      <c r="E444" s="10">
        <f>CHOOSE( CONTROL!$C$37, 12.9164, 12.9147) * CHOOSE( CONTROL!$C$20, $D$12, 100%, $F$12)</f>
        <v>12.916399999999999</v>
      </c>
      <c r="F444" s="4">
        <f>CHOOSE( CONTROL!$C$37, 13.631, 13.6293) * CHOOSE(CONTROL!$C$20, $D$12, 100%, $F$12)</f>
        <v>13.631</v>
      </c>
      <c r="G444" s="7">
        <f>CHOOSE( CONTROL!$C$37, 12.77, 12.7684) * CHOOSE( CONTROL!$C$20, $D$12, 100%, $F$12)</f>
        <v>12.77</v>
      </c>
      <c r="H444" s="4">
        <f>CHOOSE( CONTROL!$C$37, 13.7146, 13.713) * CHOOSE(CONTROL!$C$20, $D$12, 100%, $F$12)</f>
        <v>13.714600000000001</v>
      </c>
      <c r="I444" s="7">
        <f>CHOOSE( CONTROL!$C$37, 12.6417, 12.6401) * CHOOSE(CONTROL!$C$20, $D$12, 100%, $F$12)</f>
        <v>12.6417</v>
      </c>
      <c r="J444" s="4">
        <f>CHOOSE( CONTROL!$C$37, 12.5112, 12.5096) * CHOOSE(CONTROL!$C$20, $D$12, 100%, $F$12)</f>
        <v>12.511200000000001</v>
      </c>
      <c r="K444" s="4"/>
      <c r="L444" s="8">
        <v>30.7165</v>
      </c>
      <c r="M444" s="8">
        <v>12.063700000000001</v>
      </c>
      <c r="N444" s="8">
        <v>4.9444999999999997</v>
      </c>
      <c r="O444" s="8">
        <v>0.37409999999999999</v>
      </c>
      <c r="P444" s="8">
        <v>1.2927</v>
      </c>
      <c r="Q444" s="8">
        <v>20.136399999999998</v>
      </c>
      <c r="R444" s="8"/>
    </row>
    <row r="445" spans="1:18" ht="14.25" customHeight="1">
      <c r="A445" s="11">
        <v>54666</v>
      </c>
      <c r="B445" s="7">
        <f>CHOOSE( CONTROL!$C$37, 11.9084, 11.9068) * CHOOSE(CONTROL!$C$20, $D$12, 100%, $F$12)</f>
        <v>11.9084</v>
      </c>
      <c r="C445" s="7">
        <f>CHOOSE( CONTROL!$C$37, 11.9164, 11.9148) * CHOOSE(CONTROL!$C$20, $D$12, 100%, $F$12)</f>
        <v>11.916399999999999</v>
      </c>
      <c r="D445" s="7">
        <f>CHOOSE( CONTROL!$C$37, 11.9227, 11.9211) * CHOOSE( CONTROL!$C$20, $D$12, 100%, $F$12)</f>
        <v>11.922700000000001</v>
      </c>
      <c r="E445" s="10">
        <f>CHOOSE( CONTROL!$C$37, 11.9192, 11.9176) * CHOOSE( CONTROL!$C$20, $D$12, 100%, $F$12)</f>
        <v>11.9192</v>
      </c>
      <c r="F445" s="4">
        <f>CHOOSE( CONTROL!$C$37, 12.6337, 12.632) * CHOOSE(CONTROL!$C$20, $D$12, 100%, $F$12)</f>
        <v>12.633699999999999</v>
      </c>
      <c r="G445" s="7">
        <f>CHOOSE( CONTROL!$C$37, 11.7867, 11.7851) * CHOOSE( CONTROL!$C$20, $D$12, 100%, $F$12)</f>
        <v>11.7867</v>
      </c>
      <c r="H445" s="4">
        <f>CHOOSE( CONTROL!$C$37, 12.7313, 12.7297) * CHOOSE(CONTROL!$C$20, $D$12, 100%, $F$12)</f>
        <v>12.731299999999999</v>
      </c>
      <c r="I445" s="7">
        <f>CHOOSE( CONTROL!$C$37, 11.6759, 11.6743) * CHOOSE(CONTROL!$C$20, $D$12, 100%, $F$12)</f>
        <v>11.6759</v>
      </c>
      <c r="J445" s="4">
        <f>CHOOSE( CONTROL!$C$37, 11.5455, 11.5439) * CHOOSE(CONTROL!$C$20, $D$12, 100%, $F$12)</f>
        <v>11.545500000000001</v>
      </c>
      <c r="K445" s="4"/>
      <c r="L445" s="8">
        <v>30.7165</v>
      </c>
      <c r="M445" s="8">
        <v>12.063700000000001</v>
      </c>
      <c r="N445" s="8">
        <v>4.9444999999999997</v>
      </c>
      <c r="O445" s="8">
        <v>0.37409999999999999</v>
      </c>
      <c r="P445" s="8">
        <v>1.2927</v>
      </c>
      <c r="Q445" s="8">
        <v>20.136399999999998</v>
      </c>
      <c r="R445" s="8"/>
    </row>
    <row r="446" spans="1:18" ht="14.25" customHeight="1">
      <c r="A446" s="11">
        <v>54696</v>
      </c>
      <c r="B446" s="7">
        <f>CHOOSE( CONTROL!$C$37, 11.6587, 11.657) * CHOOSE(CONTROL!$C$20, $D$12, 100%, $F$12)</f>
        <v>11.6587</v>
      </c>
      <c r="C446" s="7">
        <f>CHOOSE( CONTROL!$C$37, 11.6667, 11.665) * CHOOSE(CONTROL!$C$20, $D$12, 100%, $F$12)</f>
        <v>11.666700000000001</v>
      </c>
      <c r="D446" s="7">
        <f>CHOOSE( CONTROL!$C$37, 11.6729, 11.6712) * CHOOSE( CONTROL!$C$20, $D$12, 100%, $F$12)</f>
        <v>11.6729</v>
      </c>
      <c r="E446" s="10">
        <f>CHOOSE( CONTROL!$C$37, 11.6694, 11.6677) * CHOOSE( CONTROL!$C$20, $D$12, 100%, $F$12)</f>
        <v>11.6694</v>
      </c>
      <c r="F446" s="4">
        <f>CHOOSE( CONTROL!$C$37, 12.384, 12.3823) * CHOOSE(CONTROL!$C$20, $D$12, 100%, $F$12)</f>
        <v>12.384</v>
      </c>
      <c r="G446" s="7">
        <f>CHOOSE( CONTROL!$C$37, 11.5404, 11.5388) * CHOOSE( CONTROL!$C$20, $D$12, 100%, $F$12)</f>
        <v>11.5404</v>
      </c>
      <c r="H446" s="4">
        <f>CHOOSE( CONTROL!$C$37, 12.4851, 12.4834) * CHOOSE(CONTROL!$C$20, $D$12, 100%, $F$12)</f>
        <v>12.485099999999999</v>
      </c>
      <c r="I446" s="7">
        <f>CHOOSE( CONTROL!$C$37, 11.4336, 11.432) * CHOOSE(CONTROL!$C$20, $D$12, 100%, $F$12)</f>
        <v>11.4336</v>
      </c>
      <c r="J446" s="4">
        <f>CHOOSE( CONTROL!$C$37, 11.3037, 11.3021) * CHOOSE(CONTROL!$C$20, $D$12, 100%, $F$12)</f>
        <v>11.303699999999999</v>
      </c>
      <c r="K446" s="4"/>
      <c r="L446" s="8">
        <v>29.7257</v>
      </c>
      <c r="M446" s="8">
        <v>11.6745</v>
      </c>
      <c r="N446" s="8">
        <v>4.7850000000000001</v>
      </c>
      <c r="O446" s="8">
        <v>0.36199999999999999</v>
      </c>
      <c r="P446" s="8">
        <v>1.2509999999999999</v>
      </c>
      <c r="Q446" s="8">
        <v>19.486799999999999</v>
      </c>
      <c r="R446" s="8"/>
    </row>
    <row r="447" spans="1:18" ht="14.25" customHeight="1">
      <c r="A447" s="11">
        <v>54727</v>
      </c>
      <c r="B447" s="7">
        <f>CHOOSE( CONTROL!$C$37, 12.1749, 12.1738) * CHOOSE(CONTROL!$C$20, $D$12, 100%, $F$12)</f>
        <v>12.174899999999999</v>
      </c>
      <c r="C447" s="7">
        <f>CHOOSE( CONTROL!$C$37, 12.1803, 12.1792) * CHOOSE(CONTROL!$C$20, $D$12, 100%, $F$12)</f>
        <v>12.180300000000001</v>
      </c>
      <c r="D447" s="7">
        <f>CHOOSE( CONTROL!$C$37, 12.1923, 12.1912) * CHOOSE( CONTROL!$C$20, $D$12, 100%, $F$12)</f>
        <v>12.192299999999999</v>
      </c>
      <c r="E447" s="10">
        <f>CHOOSE( CONTROL!$C$37, 12.1878, 12.1867) * CHOOSE( CONTROL!$C$20, $D$12, 100%, $F$12)</f>
        <v>12.187799999999999</v>
      </c>
      <c r="F447" s="4">
        <f>CHOOSE( CONTROL!$C$37, 12.9019, 12.9008) * CHOOSE(CONTROL!$C$20, $D$12, 100%, $F$12)</f>
        <v>12.901899999999999</v>
      </c>
      <c r="G447" s="7">
        <f>CHOOSE( CONTROL!$C$37, 12.0512, 12.0502) * CHOOSE( CONTROL!$C$20, $D$12, 100%, $F$12)</f>
        <v>12.0512</v>
      </c>
      <c r="H447" s="4">
        <f>CHOOSE( CONTROL!$C$37, 12.9958, 12.9947) * CHOOSE(CONTROL!$C$20, $D$12, 100%, $F$12)</f>
        <v>12.995799999999999</v>
      </c>
      <c r="I447" s="7">
        <f>CHOOSE( CONTROL!$C$37, 11.936, 11.935) * CHOOSE(CONTROL!$C$20, $D$12, 100%, $F$12)</f>
        <v>11.936</v>
      </c>
      <c r="J447" s="4">
        <f>CHOOSE( CONTROL!$C$37, 11.8052, 11.8042) * CHOOSE(CONTROL!$C$20, $D$12, 100%, $F$12)</f>
        <v>11.805199999999999</v>
      </c>
      <c r="K447" s="4"/>
      <c r="L447" s="8">
        <v>31.095300000000002</v>
      </c>
      <c r="M447" s="8">
        <v>12.063700000000001</v>
      </c>
      <c r="N447" s="8">
        <v>4.9444999999999997</v>
      </c>
      <c r="O447" s="8">
        <v>0.37409999999999999</v>
      </c>
      <c r="P447" s="8">
        <v>1.2927</v>
      </c>
      <c r="Q447" s="8">
        <v>20.136399999999998</v>
      </c>
      <c r="R447" s="8"/>
    </row>
    <row r="448" spans="1:18" ht="14.25" customHeight="1">
      <c r="A448" s="11">
        <v>54757</v>
      </c>
      <c r="B448" s="7">
        <f>CHOOSE( CONTROL!$C$37, 13.1316, 13.1305) * CHOOSE(CONTROL!$C$20, $D$12, 100%, $F$12)</f>
        <v>13.131600000000001</v>
      </c>
      <c r="C448" s="7">
        <f>CHOOSE( CONTROL!$C$37, 13.1367, 13.1356) * CHOOSE(CONTROL!$C$20, $D$12, 100%, $F$12)</f>
        <v>13.136699999999999</v>
      </c>
      <c r="D448" s="7">
        <f>CHOOSE( CONTROL!$C$37, 13.1151, 13.1141) * CHOOSE( CONTROL!$C$20, $D$12, 100%, $F$12)</f>
        <v>13.1151</v>
      </c>
      <c r="E448" s="10">
        <f>CHOOSE( CONTROL!$C$37, 13.1225, 13.1214) * CHOOSE( CONTROL!$C$20, $D$12, 100%, $F$12)</f>
        <v>13.1225</v>
      </c>
      <c r="F448" s="4">
        <f>CHOOSE( CONTROL!$C$37, 13.7841, 13.783) * CHOOSE(CONTROL!$C$20, $D$12, 100%, $F$12)</f>
        <v>13.7841</v>
      </c>
      <c r="G448" s="7">
        <f>CHOOSE( CONTROL!$C$37, 12.9811, 12.98) * CHOOSE( CONTROL!$C$20, $D$12, 100%, $F$12)</f>
        <v>12.9811</v>
      </c>
      <c r="H448" s="4">
        <f>CHOOSE( CONTROL!$C$37, 13.8657, 13.8646) * CHOOSE(CONTROL!$C$20, $D$12, 100%, $F$12)</f>
        <v>13.8657</v>
      </c>
      <c r="I448" s="7">
        <f>CHOOSE( CONTROL!$C$37, 12.9144, 12.9133) * CHOOSE(CONTROL!$C$20, $D$12, 100%, $F$12)</f>
        <v>12.914400000000001</v>
      </c>
      <c r="J448" s="4">
        <f>CHOOSE( CONTROL!$C$37, 12.732, 12.7309) * CHOOSE(CONTROL!$C$20, $D$12, 100%, $F$12)</f>
        <v>12.731999999999999</v>
      </c>
      <c r="K448" s="4"/>
      <c r="L448" s="8">
        <v>28.360600000000002</v>
      </c>
      <c r="M448" s="8">
        <v>11.6745</v>
      </c>
      <c r="N448" s="8">
        <v>4.7850000000000001</v>
      </c>
      <c r="O448" s="8">
        <v>0.36199999999999999</v>
      </c>
      <c r="P448" s="8">
        <v>1.2509999999999999</v>
      </c>
      <c r="Q448" s="8">
        <v>19.486799999999999</v>
      </c>
      <c r="R448" s="8"/>
    </row>
    <row r="449" spans="1:18" ht="14.25" customHeight="1">
      <c r="A449" s="11">
        <v>54788</v>
      </c>
      <c r="B449" s="7">
        <f>CHOOSE( CONTROL!$C$37, 13.1077, 13.1066) * CHOOSE(CONTROL!$C$20, $D$12, 100%, $F$12)</f>
        <v>13.107699999999999</v>
      </c>
      <c r="C449" s="7">
        <f>CHOOSE( CONTROL!$C$37, 13.1128, 13.1117) * CHOOSE(CONTROL!$C$20, $D$12, 100%, $F$12)</f>
        <v>13.1128</v>
      </c>
      <c r="D449" s="7">
        <f>CHOOSE( CONTROL!$C$37, 13.0928, 13.0917) * CHOOSE( CONTROL!$C$20, $D$12, 100%, $F$12)</f>
        <v>13.0928</v>
      </c>
      <c r="E449" s="10">
        <f>CHOOSE( CONTROL!$C$37, 13.0996, 13.0985) * CHOOSE( CONTROL!$C$20, $D$12, 100%, $F$12)</f>
        <v>13.099600000000001</v>
      </c>
      <c r="F449" s="4">
        <f>CHOOSE( CONTROL!$C$37, 13.7602, 13.7591) * CHOOSE(CONTROL!$C$20, $D$12, 100%, $F$12)</f>
        <v>13.760199999999999</v>
      </c>
      <c r="G449" s="7">
        <f>CHOOSE( CONTROL!$C$37, 12.9586, 12.9575) * CHOOSE( CONTROL!$C$20, $D$12, 100%, $F$12)</f>
        <v>12.958600000000001</v>
      </c>
      <c r="H449" s="4">
        <f>CHOOSE( CONTROL!$C$37, 13.8421, 13.841) * CHOOSE(CONTROL!$C$20, $D$12, 100%, $F$12)</f>
        <v>13.8421</v>
      </c>
      <c r="I449" s="7">
        <f>CHOOSE( CONTROL!$C$37, 12.8961, 12.895) * CHOOSE(CONTROL!$C$20, $D$12, 100%, $F$12)</f>
        <v>12.896100000000001</v>
      </c>
      <c r="J449" s="4">
        <f>CHOOSE( CONTROL!$C$37, 12.7088, 12.7078) * CHOOSE(CONTROL!$C$20, $D$12, 100%, $F$12)</f>
        <v>12.7088</v>
      </c>
      <c r="K449" s="4"/>
      <c r="L449" s="8">
        <v>29.306000000000001</v>
      </c>
      <c r="M449" s="8">
        <v>12.063700000000001</v>
      </c>
      <c r="N449" s="8">
        <v>4.9444999999999997</v>
      </c>
      <c r="O449" s="8">
        <v>0.37409999999999999</v>
      </c>
      <c r="P449" s="8">
        <v>1.2927</v>
      </c>
      <c r="Q449" s="8">
        <v>20.136399999999998</v>
      </c>
      <c r="R449" s="8"/>
    </row>
    <row r="450" spans="1:18" ht="14.25" customHeight="1">
      <c r="A450" s="11">
        <v>54819</v>
      </c>
      <c r="B450" s="7">
        <f>CHOOSE( CONTROL!$C$37, 13.4948, 13.4937) * CHOOSE(CONTROL!$C$20, $D$12, 100%, $F$12)</f>
        <v>13.4948</v>
      </c>
      <c r="C450" s="7">
        <f>CHOOSE( CONTROL!$C$37, 13.4999, 13.4988) * CHOOSE(CONTROL!$C$20, $D$12, 100%, $F$12)</f>
        <v>13.4999</v>
      </c>
      <c r="D450" s="7">
        <f>CHOOSE( CONTROL!$C$37, 13.493, 13.4919) * CHOOSE( CONTROL!$C$20, $D$12, 100%, $F$12)</f>
        <v>13.493</v>
      </c>
      <c r="E450" s="10">
        <f>CHOOSE( CONTROL!$C$37, 13.495, 13.4939) * CHOOSE( CONTROL!$C$20, $D$12, 100%, $F$12)</f>
        <v>13.494999999999999</v>
      </c>
      <c r="F450" s="4">
        <f>CHOOSE( CONTROL!$C$37, 14.1473, 14.1462) * CHOOSE(CONTROL!$C$20, $D$12, 100%, $F$12)</f>
        <v>14.1473</v>
      </c>
      <c r="G450" s="7">
        <f>CHOOSE( CONTROL!$C$37, 13.3448, 13.3437) * CHOOSE( CONTROL!$C$20, $D$12, 100%, $F$12)</f>
        <v>13.344799999999999</v>
      </c>
      <c r="H450" s="4">
        <f>CHOOSE( CONTROL!$C$37, 14.2238, 14.2227) * CHOOSE(CONTROL!$C$20, $D$12, 100%, $F$12)</f>
        <v>14.223800000000001</v>
      </c>
      <c r="I450" s="7">
        <f>CHOOSE( CONTROL!$C$37, 13.2424, 13.2414) * CHOOSE(CONTROL!$C$20, $D$12, 100%, $F$12)</f>
        <v>13.2424</v>
      </c>
      <c r="J450" s="4">
        <f>CHOOSE( CONTROL!$C$37, 13.0837, 13.0826) * CHOOSE(CONTROL!$C$20, $D$12, 100%, $F$12)</f>
        <v>13.0837</v>
      </c>
      <c r="K450" s="4"/>
      <c r="L450" s="8">
        <v>29.306000000000001</v>
      </c>
      <c r="M450" s="8">
        <v>12.063700000000001</v>
      </c>
      <c r="N450" s="8">
        <v>4.9444999999999997</v>
      </c>
      <c r="O450" s="8">
        <v>0.37409999999999999</v>
      </c>
      <c r="P450" s="8">
        <v>1.2927</v>
      </c>
      <c r="Q450" s="8">
        <v>20.071300000000001</v>
      </c>
      <c r="R450" s="8"/>
    </row>
    <row r="451" spans="1:18" ht="14.25" customHeight="1">
      <c r="A451" s="11">
        <v>54847</v>
      </c>
      <c r="B451" s="7">
        <f>CHOOSE( CONTROL!$C$37, 12.6213, 12.6202) * CHOOSE(CONTROL!$C$20, $D$12, 100%, $F$12)</f>
        <v>12.6213</v>
      </c>
      <c r="C451" s="7">
        <f>CHOOSE( CONTROL!$C$37, 12.6264, 12.6253) * CHOOSE(CONTROL!$C$20, $D$12, 100%, $F$12)</f>
        <v>12.6264</v>
      </c>
      <c r="D451" s="7">
        <f>CHOOSE( CONTROL!$C$37, 12.6194, 12.6184) * CHOOSE( CONTROL!$C$20, $D$12, 100%, $F$12)</f>
        <v>12.619400000000001</v>
      </c>
      <c r="E451" s="10">
        <f>CHOOSE( CONTROL!$C$37, 12.6214, 12.6204) * CHOOSE( CONTROL!$C$20, $D$12, 100%, $F$12)</f>
        <v>12.6214</v>
      </c>
      <c r="F451" s="4">
        <f>CHOOSE( CONTROL!$C$37, 13.2739, 13.2728) * CHOOSE(CONTROL!$C$20, $D$12, 100%, $F$12)</f>
        <v>13.273899999999999</v>
      </c>
      <c r="G451" s="7">
        <f>CHOOSE( CONTROL!$C$37, 12.4835, 12.4824) * CHOOSE( CONTROL!$C$20, $D$12, 100%, $F$12)</f>
        <v>12.483499999999999</v>
      </c>
      <c r="H451" s="4">
        <f>CHOOSE( CONTROL!$C$37, 13.3625, 13.3615) * CHOOSE(CONTROL!$C$20, $D$12, 100%, $F$12)</f>
        <v>13.362500000000001</v>
      </c>
      <c r="I451" s="7">
        <f>CHOOSE( CONTROL!$C$37, 12.396, 12.3949) * CHOOSE(CONTROL!$C$20, $D$12, 100%, $F$12)</f>
        <v>12.396000000000001</v>
      </c>
      <c r="J451" s="4">
        <f>CHOOSE( CONTROL!$C$37, 12.2379, 12.2368) * CHOOSE(CONTROL!$C$20, $D$12, 100%, $F$12)</f>
        <v>12.2379</v>
      </c>
      <c r="K451" s="4"/>
      <c r="L451" s="8">
        <v>26.469899999999999</v>
      </c>
      <c r="M451" s="8">
        <v>10.8962</v>
      </c>
      <c r="N451" s="8">
        <v>4.4660000000000002</v>
      </c>
      <c r="O451" s="8">
        <v>0.33789999999999998</v>
      </c>
      <c r="P451" s="8">
        <v>1.1676</v>
      </c>
      <c r="Q451" s="8">
        <v>18.128900000000002</v>
      </c>
      <c r="R451" s="8"/>
    </row>
    <row r="452" spans="1:18" ht="14.25" customHeight="1">
      <c r="A452" s="11">
        <v>54878</v>
      </c>
      <c r="B452" s="7">
        <f>CHOOSE( CONTROL!$C$37, 12.3523, 12.3512) * CHOOSE(CONTROL!$C$20, $D$12, 100%, $F$12)</f>
        <v>12.3523</v>
      </c>
      <c r="C452" s="7">
        <f>CHOOSE( CONTROL!$C$37, 12.3574, 12.3563) * CHOOSE(CONTROL!$C$20, $D$12, 100%, $F$12)</f>
        <v>12.3574</v>
      </c>
      <c r="D452" s="7">
        <f>CHOOSE( CONTROL!$C$37, 12.3498, 12.3487) * CHOOSE( CONTROL!$C$20, $D$12, 100%, $F$12)</f>
        <v>12.3498</v>
      </c>
      <c r="E452" s="10">
        <f>CHOOSE( CONTROL!$C$37, 12.352, 12.3509) * CHOOSE( CONTROL!$C$20, $D$12, 100%, $F$12)</f>
        <v>12.352</v>
      </c>
      <c r="F452" s="4">
        <f>CHOOSE( CONTROL!$C$37, 13.0048, 13.0038) * CHOOSE(CONTROL!$C$20, $D$12, 100%, $F$12)</f>
        <v>13.004799999999999</v>
      </c>
      <c r="G452" s="7">
        <f>CHOOSE( CONTROL!$C$37, 12.2178, 12.2167) * CHOOSE( CONTROL!$C$20, $D$12, 100%, $F$12)</f>
        <v>12.2178</v>
      </c>
      <c r="H452" s="4">
        <f>CHOOSE( CONTROL!$C$37, 13.0973, 13.0962) * CHOOSE(CONTROL!$C$20, $D$12, 100%, $F$12)</f>
        <v>13.097300000000001</v>
      </c>
      <c r="I452" s="7">
        <f>CHOOSE( CONTROL!$C$37, 12.1334, 12.1324) * CHOOSE(CONTROL!$C$20, $D$12, 100%, $F$12)</f>
        <v>12.1334</v>
      </c>
      <c r="J452" s="4">
        <f>CHOOSE( CONTROL!$C$37, 11.9774, 11.9763) * CHOOSE(CONTROL!$C$20, $D$12, 100%, $F$12)</f>
        <v>11.977399999999999</v>
      </c>
      <c r="K452" s="4"/>
      <c r="L452" s="8">
        <v>29.306000000000001</v>
      </c>
      <c r="M452" s="8">
        <v>12.063700000000001</v>
      </c>
      <c r="N452" s="8">
        <v>4.9444999999999997</v>
      </c>
      <c r="O452" s="8">
        <v>0.37409999999999999</v>
      </c>
      <c r="P452" s="8">
        <v>1.2927</v>
      </c>
      <c r="Q452" s="8">
        <v>20.071300000000001</v>
      </c>
      <c r="R452" s="8"/>
    </row>
    <row r="453" spans="1:18" ht="14.25" customHeight="1">
      <c r="A453" s="11">
        <v>54908</v>
      </c>
      <c r="B453" s="7">
        <f>CHOOSE( CONTROL!$C$37, 12.5411, 12.54) * CHOOSE(CONTROL!$C$20, $D$12, 100%, $F$12)</f>
        <v>12.5411</v>
      </c>
      <c r="C453" s="7">
        <f>CHOOSE( CONTROL!$C$37, 12.5456, 12.5445) * CHOOSE(CONTROL!$C$20, $D$12, 100%, $F$12)</f>
        <v>12.5456</v>
      </c>
      <c r="D453" s="7">
        <f>CHOOSE( CONTROL!$C$37, 12.5574, 12.5563) * CHOOSE( CONTROL!$C$20, $D$12, 100%, $F$12)</f>
        <v>12.557399999999999</v>
      </c>
      <c r="E453" s="10">
        <f>CHOOSE( CONTROL!$C$37, 12.553, 12.5519) * CHOOSE( CONTROL!$C$20, $D$12, 100%, $F$12)</f>
        <v>12.553000000000001</v>
      </c>
      <c r="F453" s="4">
        <f>CHOOSE( CONTROL!$C$37, 13.2677, 13.2666) * CHOOSE(CONTROL!$C$20, $D$12, 100%, $F$12)</f>
        <v>13.2677</v>
      </c>
      <c r="G453" s="7">
        <f>CHOOSE( CONTROL!$C$37, 12.4114, 12.4103) * CHOOSE( CONTROL!$C$20, $D$12, 100%, $F$12)</f>
        <v>12.4114</v>
      </c>
      <c r="H453" s="4">
        <f>CHOOSE( CONTROL!$C$37, 13.3564, 13.3554) * CHOOSE(CONTROL!$C$20, $D$12, 100%, $F$12)</f>
        <v>13.356400000000001</v>
      </c>
      <c r="I453" s="7">
        <f>CHOOSE( CONTROL!$C$37, 12.2881, 12.2871) * CHOOSE(CONTROL!$C$20, $D$12, 100%, $F$12)</f>
        <v>12.2881</v>
      </c>
      <c r="J453" s="4">
        <f>CHOOSE( CONTROL!$C$37, 12.1594, 12.1584) * CHOOSE(CONTROL!$C$20, $D$12, 100%, $F$12)</f>
        <v>12.1594</v>
      </c>
      <c r="K453" s="4"/>
      <c r="L453" s="8">
        <v>30.092199999999998</v>
      </c>
      <c r="M453" s="8">
        <v>11.6745</v>
      </c>
      <c r="N453" s="8">
        <v>4.7850000000000001</v>
      </c>
      <c r="O453" s="8">
        <v>0.36199999999999999</v>
      </c>
      <c r="P453" s="8">
        <v>1.2509999999999999</v>
      </c>
      <c r="Q453" s="8">
        <v>19.4238</v>
      </c>
      <c r="R453" s="8"/>
    </row>
    <row r="454" spans="1:18" ht="14.25" customHeight="1">
      <c r="A454" s="11">
        <v>54939</v>
      </c>
      <c r="B454" s="7">
        <f>CHOOSE( CONTROL!$C$37, 12.8776, 12.8759) * CHOOSE(CONTROL!$C$20, $D$12, 100%, $F$12)</f>
        <v>12.877599999999999</v>
      </c>
      <c r="C454" s="7">
        <f>CHOOSE( CONTROL!$C$37, 12.8856, 12.8839) * CHOOSE(CONTROL!$C$20, $D$12, 100%, $F$12)</f>
        <v>12.8856</v>
      </c>
      <c r="D454" s="7">
        <f>CHOOSE( CONTROL!$C$37, 12.8912, 12.8896) * CHOOSE( CONTROL!$C$20, $D$12, 100%, $F$12)</f>
        <v>12.8912</v>
      </c>
      <c r="E454" s="10">
        <f>CHOOSE( CONTROL!$C$37, 12.888, 12.8863) * CHOOSE( CONTROL!$C$20, $D$12, 100%, $F$12)</f>
        <v>12.888</v>
      </c>
      <c r="F454" s="4">
        <f>CHOOSE( CONTROL!$C$37, 13.6029, 13.6012) * CHOOSE(CONTROL!$C$20, $D$12, 100%, $F$12)</f>
        <v>13.6029</v>
      </c>
      <c r="G454" s="7">
        <f>CHOOSE( CONTROL!$C$37, 12.7418, 12.7402) * CHOOSE( CONTROL!$C$20, $D$12, 100%, $F$12)</f>
        <v>12.7418</v>
      </c>
      <c r="H454" s="4">
        <f>CHOOSE( CONTROL!$C$37, 13.6869, 13.6853) * CHOOSE(CONTROL!$C$20, $D$12, 100%, $F$12)</f>
        <v>13.6869</v>
      </c>
      <c r="I454" s="7">
        <f>CHOOSE( CONTROL!$C$37, 12.6125, 12.6109) * CHOOSE(CONTROL!$C$20, $D$12, 100%, $F$12)</f>
        <v>12.612500000000001</v>
      </c>
      <c r="J454" s="4">
        <f>CHOOSE( CONTROL!$C$37, 12.4839, 12.4823) * CHOOSE(CONTROL!$C$20, $D$12, 100%, $F$12)</f>
        <v>12.4839</v>
      </c>
      <c r="K454" s="4"/>
      <c r="L454" s="8">
        <v>30.7165</v>
      </c>
      <c r="M454" s="8">
        <v>12.063700000000001</v>
      </c>
      <c r="N454" s="8">
        <v>4.9444999999999997</v>
      </c>
      <c r="O454" s="8">
        <v>0.37409999999999999</v>
      </c>
      <c r="P454" s="8">
        <v>1.2927</v>
      </c>
      <c r="Q454" s="8">
        <v>20.071300000000001</v>
      </c>
      <c r="R454" s="8"/>
    </row>
    <row r="455" spans="1:18" ht="14.25" customHeight="1">
      <c r="A455" s="11">
        <v>54969</v>
      </c>
      <c r="B455" s="7">
        <f>CHOOSE( CONTROL!$C$37, 12.6703, 12.6687) * CHOOSE(CONTROL!$C$20, $D$12, 100%, $F$12)</f>
        <v>12.670299999999999</v>
      </c>
      <c r="C455" s="7">
        <f>CHOOSE( CONTROL!$C$37, 12.6783, 12.6766) * CHOOSE(CONTROL!$C$20, $D$12, 100%, $F$12)</f>
        <v>12.6783</v>
      </c>
      <c r="D455" s="7">
        <f>CHOOSE( CONTROL!$C$37, 12.6842, 12.6826) * CHOOSE( CONTROL!$C$20, $D$12, 100%, $F$12)</f>
        <v>12.684200000000001</v>
      </c>
      <c r="E455" s="10">
        <f>CHOOSE( CONTROL!$C$37, 12.6808, 12.6792) * CHOOSE( CONTROL!$C$20, $D$12, 100%, $F$12)</f>
        <v>12.6808</v>
      </c>
      <c r="F455" s="4">
        <f>CHOOSE( CONTROL!$C$37, 13.3956, 13.3939) * CHOOSE(CONTROL!$C$20, $D$12, 100%, $F$12)</f>
        <v>13.3956</v>
      </c>
      <c r="G455" s="7">
        <f>CHOOSE( CONTROL!$C$37, 12.5377, 12.536) * CHOOSE( CONTROL!$C$20, $D$12, 100%, $F$12)</f>
        <v>12.537699999999999</v>
      </c>
      <c r="H455" s="4">
        <f>CHOOSE( CONTROL!$C$37, 13.4826, 13.4809) * CHOOSE(CONTROL!$C$20, $D$12, 100%, $F$12)</f>
        <v>13.4826</v>
      </c>
      <c r="I455" s="7">
        <f>CHOOSE( CONTROL!$C$37, 12.4127, 12.4111) * CHOOSE(CONTROL!$C$20, $D$12, 100%, $F$12)</f>
        <v>12.412699999999999</v>
      </c>
      <c r="J455" s="4">
        <f>CHOOSE( CONTROL!$C$37, 12.2833, 12.2817) * CHOOSE(CONTROL!$C$20, $D$12, 100%, $F$12)</f>
        <v>12.283300000000001</v>
      </c>
      <c r="K455" s="4"/>
      <c r="L455" s="8">
        <v>29.7257</v>
      </c>
      <c r="M455" s="8">
        <v>11.6745</v>
      </c>
      <c r="N455" s="8">
        <v>4.7850000000000001</v>
      </c>
      <c r="O455" s="8">
        <v>0.36199999999999999</v>
      </c>
      <c r="P455" s="8">
        <v>1.2509999999999999</v>
      </c>
      <c r="Q455" s="8">
        <v>19.4238</v>
      </c>
      <c r="R455" s="8"/>
    </row>
    <row r="456" spans="1:18" ht="14.25" customHeight="1">
      <c r="A456" s="11">
        <v>55000</v>
      </c>
      <c r="B456" s="7">
        <f>CHOOSE( CONTROL!$C$37, 13.2161, 13.2144) * CHOOSE(CONTROL!$C$20, $D$12, 100%, $F$12)</f>
        <v>13.216100000000001</v>
      </c>
      <c r="C456" s="7">
        <f>CHOOSE( CONTROL!$C$37, 13.2241, 13.2224) * CHOOSE(CONTROL!$C$20, $D$12, 100%, $F$12)</f>
        <v>13.2241</v>
      </c>
      <c r="D456" s="7">
        <f>CHOOSE( CONTROL!$C$37, 13.2303, 13.2287) * CHOOSE( CONTROL!$C$20, $D$12, 100%, $F$12)</f>
        <v>13.2303</v>
      </c>
      <c r="E456" s="10">
        <f>CHOOSE( CONTROL!$C$37, 13.2268, 13.2252) * CHOOSE( CONTROL!$C$20, $D$12, 100%, $F$12)</f>
        <v>13.226800000000001</v>
      </c>
      <c r="F456" s="4">
        <f>CHOOSE( CONTROL!$C$37, 13.9414, 13.9397) * CHOOSE(CONTROL!$C$20, $D$12, 100%, $F$12)</f>
        <v>13.9414</v>
      </c>
      <c r="G456" s="7">
        <f>CHOOSE( CONTROL!$C$37, 13.0761, 13.0744) * CHOOSE( CONTROL!$C$20, $D$12, 100%, $F$12)</f>
        <v>13.0761</v>
      </c>
      <c r="H456" s="4">
        <f>CHOOSE( CONTROL!$C$37, 14.0207, 14.0191) * CHOOSE(CONTROL!$C$20, $D$12, 100%, $F$12)</f>
        <v>14.0207</v>
      </c>
      <c r="I456" s="7">
        <f>CHOOSE( CONTROL!$C$37, 12.9425, 12.9408) * CHOOSE(CONTROL!$C$20, $D$12, 100%, $F$12)</f>
        <v>12.942500000000001</v>
      </c>
      <c r="J456" s="4">
        <f>CHOOSE( CONTROL!$C$37, 12.8117, 12.8101) * CHOOSE(CONTROL!$C$20, $D$12, 100%, $F$12)</f>
        <v>12.8117</v>
      </c>
      <c r="K456" s="4"/>
      <c r="L456" s="8">
        <v>30.7165</v>
      </c>
      <c r="M456" s="8">
        <v>12.063700000000001</v>
      </c>
      <c r="N456" s="8">
        <v>4.9444999999999997</v>
      </c>
      <c r="O456" s="8">
        <v>0.37409999999999999</v>
      </c>
      <c r="P456" s="8">
        <v>1.2927</v>
      </c>
      <c r="Q456" s="8">
        <v>20.071300000000001</v>
      </c>
      <c r="R456" s="8"/>
    </row>
    <row r="457" spans="1:18" ht="14.25" customHeight="1">
      <c r="A457" s="11">
        <v>55031</v>
      </c>
      <c r="B457" s="7">
        <f>CHOOSE( CONTROL!$C$37, 12.1949, 12.1932) * CHOOSE(CONTROL!$C$20, $D$12, 100%, $F$12)</f>
        <v>12.194900000000001</v>
      </c>
      <c r="C457" s="7">
        <f>CHOOSE( CONTROL!$C$37, 12.2029, 12.2012) * CHOOSE(CONTROL!$C$20, $D$12, 100%, $F$12)</f>
        <v>12.2029</v>
      </c>
      <c r="D457" s="7">
        <f>CHOOSE( CONTROL!$C$37, 12.2092, 12.2075) * CHOOSE( CONTROL!$C$20, $D$12, 100%, $F$12)</f>
        <v>12.209199999999999</v>
      </c>
      <c r="E457" s="10">
        <f>CHOOSE( CONTROL!$C$37, 12.2057, 12.204) * CHOOSE( CONTROL!$C$20, $D$12, 100%, $F$12)</f>
        <v>12.2057</v>
      </c>
      <c r="F457" s="4">
        <f>CHOOSE( CONTROL!$C$37, 12.9202, 12.9185) * CHOOSE(CONTROL!$C$20, $D$12, 100%, $F$12)</f>
        <v>12.920199999999999</v>
      </c>
      <c r="G457" s="7">
        <f>CHOOSE( CONTROL!$C$37, 12.0692, 12.0675) * CHOOSE( CONTROL!$C$20, $D$12, 100%, $F$12)</f>
        <v>12.0692</v>
      </c>
      <c r="H457" s="4">
        <f>CHOOSE( CONTROL!$C$37, 13.0138, 13.0121) * CHOOSE(CONTROL!$C$20, $D$12, 100%, $F$12)</f>
        <v>13.0138</v>
      </c>
      <c r="I457" s="7">
        <f>CHOOSE( CONTROL!$C$37, 11.9534, 11.9518) * CHOOSE(CONTROL!$C$20, $D$12, 100%, $F$12)</f>
        <v>11.9534</v>
      </c>
      <c r="J457" s="4">
        <f>CHOOSE( CONTROL!$C$37, 11.8229, 11.8213) * CHOOSE(CONTROL!$C$20, $D$12, 100%, $F$12)</f>
        <v>11.822900000000001</v>
      </c>
      <c r="K457" s="4"/>
      <c r="L457" s="8">
        <v>30.7165</v>
      </c>
      <c r="M457" s="8">
        <v>12.063700000000001</v>
      </c>
      <c r="N457" s="8">
        <v>4.9444999999999997</v>
      </c>
      <c r="O457" s="8">
        <v>0.37409999999999999</v>
      </c>
      <c r="P457" s="8">
        <v>1.2927</v>
      </c>
      <c r="Q457" s="8">
        <v>20.071300000000001</v>
      </c>
      <c r="R457" s="8"/>
    </row>
    <row r="458" spans="1:18" ht="14.25" customHeight="1">
      <c r="A458" s="11">
        <v>55061</v>
      </c>
      <c r="B458" s="7">
        <f>CHOOSE( CONTROL!$C$37, 11.9391, 11.9375) * CHOOSE(CONTROL!$C$20, $D$12, 100%, $F$12)</f>
        <v>11.9391</v>
      </c>
      <c r="C458" s="7">
        <f>CHOOSE( CONTROL!$C$37, 11.9471, 11.9455) * CHOOSE(CONTROL!$C$20, $D$12, 100%, $F$12)</f>
        <v>11.947100000000001</v>
      </c>
      <c r="D458" s="7">
        <f>CHOOSE( CONTROL!$C$37, 11.9534, 11.9517) * CHOOSE( CONTROL!$C$20, $D$12, 100%, $F$12)</f>
        <v>11.9534</v>
      </c>
      <c r="E458" s="10">
        <f>CHOOSE( CONTROL!$C$37, 11.9499, 11.9482) * CHOOSE( CONTROL!$C$20, $D$12, 100%, $F$12)</f>
        <v>11.9499</v>
      </c>
      <c r="F458" s="4">
        <f>CHOOSE( CONTROL!$C$37, 12.6644, 12.6628) * CHOOSE(CONTROL!$C$20, $D$12, 100%, $F$12)</f>
        <v>12.664400000000001</v>
      </c>
      <c r="G458" s="7">
        <f>CHOOSE( CONTROL!$C$37, 11.8169, 11.8153) * CHOOSE( CONTROL!$C$20, $D$12, 100%, $F$12)</f>
        <v>11.8169</v>
      </c>
      <c r="H458" s="4">
        <f>CHOOSE( CONTROL!$C$37, 12.7616, 12.76) * CHOOSE(CONTROL!$C$20, $D$12, 100%, $F$12)</f>
        <v>12.7616</v>
      </c>
      <c r="I458" s="7">
        <f>CHOOSE( CONTROL!$C$37, 11.7053, 11.7037) * CHOOSE(CONTROL!$C$20, $D$12, 100%, $F$12)</f>
        <v>11.705299999999999</v>
      </c>
      <c r="J458" s="4">
        <f>CHOOSE( CONTROL!$C$37, 11.5753, 11.5737) * CHOOSE(CONTROL!$C$20, $D$12, 100%, $F$12)</f>
        <v>11.5753</v>
      </c>
      <c r="K458" s="4"/>
      <c r="L458" s="8">
        <v>29.7257</v>
      </c>
      <c r="M458" s="8">
        <v>11.6745</v>
      </c>
      <c r="N458" s="8">
        <v>4.7850000000000001</v>
      </c>
      <c r="O458" s="8">
        <v>0.36199999999999999</v>
      </c>
      <c r="P458" s="8">
        <v>1.2509999999999999</v>
      </c>
      <c r="Q458" s="8">
        <v>19.4238</v>
      </c>
      <c r="R458" s="8"/>
    </row>
    <row r="459" spans="1:18" ht="14.25" customHeight="1">
      <c r="A459" s="11">
        <v>55092</v>
      </c>
      <c r="B459" s="7">
        <f>CHOOSE( CONTROL!$C$37, 12.4678, 12.4667) * CHOOSE(CONTROL!$C$20, $D$12, 100%, $F$12)</f>
        <v>12.4678</v>
      </c>
      <c r="C459" s="7">
        <f>CHOOSE( CONTROL!$C$37, 12.4732, 12.4721) * CHOOSE(CONTROL!$C$20, $D$12, 100%, $F$12)</f>
        <v>12.4732</v>
      </c>
      <c r="D459" s="7">
        <f>CHOOSE( CONTROL!$C$37, 12.4852, 12.4841) * CHOOSE( CONTROL!$C$20, $D$12, 100%, $F$12)</f>
        <v>12.485200000000001</v>
      </c>
      <c r="E459" s="10">
        <f>CHOOSE( CONTROL!$C$37, 12.4807, 12.4796) * CHOOSE( CONTROL!$C$20, $D$12, 100%, $F$12)</f>
        <v>12.480700000000001</v>
      </c>
      <c r="F459" s="4">
        <f>CHOOSE( CONTROL!$C$37, 13.1948, 13.1937) * CHOOSE(CONTROL!$C$20, $D$12, 100%, $F$12)</f>
        <v>13.194800000000001</v>
      </c>
      <c r="G459" s="7">
        <f>CHOOSE( CONTROL!$C$37, 12.34, 12.339) * CHOOSE( CONTROL!$C$20, $D$12, 100%, $F$12)</f>
        <v>12.34</v>
      </c>
      <c r="H459" s="4">
        <f>CHOOSE( CONTROL!$C$37, 13.2846, 13.2835) * CHOOSE(CONTROL!$C$20, $D$12, 100%, $F$12)</f>
        <v>13.284599999999999</v>
      </c>
      <c r="I459" s="7">
        <f>CHOOSE( CONTROL!$C$37, 12.2198, 12.2187) * CHOOSE(CONTROL!$C$20, $D$12, 100%, $F$12)</f>
        <v>12.219799999999999</v>
      </c>
      <c r="J459" s="4">
        <f>CHOOSE( CONTROL!$C$37, 12.0889, 12.0878) * CHOOSE(CONTROL!$C$20, $D$12, 100%, $F$12)</f>
        <v>12.088900000000001</v>
      </c>
      <c r="K459" s="4"/>
      <c r="L459" s="8">
        <v>31.095300000000002</v>
      </c>
      <c r="M459" s="8">
        <v>12.063700000000001</v>
      </c>
      <c r="N459" s="8">
        <v>4.9444999999999997</v>
      </c>
      <c r="O459" s="8">
        <v>0.37409999999999999</v>
      </c>
      <c r="P459" s="8">
        <v>1.2927</v>
      </c>
      <c r="Q459" s="8">
        <v>20.071300000000001</v>
      </c>
      <c r="R459" s="8"/>
    </row>
    <row r="460" spans="1:18" ht="14.25" customHeight="1">
      <c r="A460" s="11">
        <v>55122</v>
      </c>
      <c r="B460" s="7">
        <f>CHOOSE( CONTROL!$C$37, 13.4475, 13.4464) * CHOOSE(CONTROL!$C$20, $D$12, 100%, $F$12)</f>
        <v>13.4475</v>
      </c>
      <c r="C460" s="7">
        <f>CHOOSE( CONTROL!$C$37, 13.4526, 13.4515) * CHOOSE(CONTROL!$C$20, $D$12, 100%, $F$12)</f>
        <v>13.4526</v>
      </c>
      <c r="D460" s="7">
        <f>CHOOSE( CONTROL!$C$37, 13.431, 13.43) * CHOOSE( CONTROL!$C$20, $D$12, 100%, $F$12)</f>
        <v>13.430999999999999</v>
      </c>
      <c r="E460" s="10">
        <f>CHOOSE( CONTROL!$C$37, 13.4384, 13.4373) * CHOOSE( CONTROL!$C$20, $D$12, 100%, $F$12)</f>
        <v>13.4384</v>
      </c>
      <c r="F460" s="4">
        <f>CHOOSE( CONTROL!$C$37, 14.1, 14.0989) * CHOOSE(CONTROL!$C$20, $D$12, 100%, $F$12)</f>
        <v>14.1</v>
      </c>
      <c r="G460" s="7">
        <f>CHOOSE( CONTROL!$C$37, 13.2926, 13.2915) * CHOOSE( CONTROL!$C$20, $D$12, 100%, $F$12)</f>
        <v>13.2926</v>
      </c>
      <c r="H460" s="4">
        <f>CHOOSE( CONTROL!$C$37, 14.1772, 14.1761) * CHOOSE(CONTROL!$C$20, $D$12, 100%, $F$12)</f>
        <v>14.177199999999999</v>
      </c>
      <c r="I460" s="7">
        <f>CHOOSE( CONTROL!$C$37, 13.2204, 13.2194) * CHOOSE(CONTROL!$C$20, $D$12, 100%, $F$12)</f>
        <v>13.2204</v>
      </c>
      <c r="J460" s="4">
        <f>CHOOSE( CONTROL!$C$37, 13.0379, 13.0368) * CHOOSE(CONTROL!$C$20, $D$12, 100%, $F$12)</f>
        <v>13.0379</v>
      </c>
      <c r="K460" s="4"/>
      <c r="L460" s="8">
        <v>28.360600000000002</v>
      </c>
      <c r="M460" s="8">
        <v>11.6745</v>
      </c>
      <c r="N460" s="8">
        <v>4.7850000000000001</v>
      </c>
      <c r="O460" s="8">
        <v>0.36199999999999999</v>
      </c>
      <c r="P460" s="8">
        <v>1.2509999999999999</v>
      </c>
      <c r="Q460" s="8">
        <v>19.4238</v>
      </c>
      <c r="R460" s="8"/>
    </row>
    <row r="461" spans="1:18" ht="14.25" customHeight="1">
      <c r="A461" s="11">
        <v>55153</v>
      </c>
      <c r="B461" s="7">
        <f>CHOOSE( CONTROL!$C$37, 13.423, 13.4219) * CHOOSE(CONTROL!$C$20, $D$12, 100%, $F$12)</f>
        <v>13.423</v>
      </c>
      <c r="C461" s="7">
        <f>CHOOSE( CONTROL!$C$37, 13.4281, 13.427) * CHOOSE(CONTROL!$C$20, $D$12, 100%, $F$12)</f>
        <v>13.428100000000001</v>
      </c>
      <c r="D461" s="7">
        <f>CHOOSE( CONTROL!$C$37, 13.4081, 13.407) * CHOOSE( CONTROL!$C$20, $D$12, 100%, $F$12)</f>
        <v>13.408099999999999</v>
      </c>
      <c r="E461" s="10">
        <f>CHOOSE( CONTROL!$C$37, 13.4149, 13.4138) * CHOOSE( CONTROL!$C$20, $D$12, 100%, $F$12)</f>
        <v>13.414899999999999</v>
      </c>
      <c r="F461" s="4">
        <f>CHOOSE( CONTROL!$C$37, 14.0755, 14.0745) * CHOOSE(CONTROL!$C$20, $D$12, 100%, $F$12)</f>
        <v>14.0755</v>
      </c>
      <c r="G461" s="7">
        <f>CHOOSE( CONTROL!$C$37, 13.2695, 13.2685) * CHOOSE( CONTROL!$C$20, $D$12, 100%, $F$12)</f>
        <v>13.269500000000001</v>
      </c>
      <c r="H461" s="4">
        <f>CHOOSE( CONTROL!$C$37, 14.153, 14.1519) * CHOOSE(CONTROL!$C$20, $D$12, 100%, $F$12)</f>
        <v>14.153</v>
      </c>
      <c r="I461" s="7">
        <f>CHOOSE( CONTROL!$C$37, 13.2016, 13.2005) * CHOOSE(CONTROL!$C$20, $D$12, 100%, $F$12)</f>
        <v>13.201599999999999</v>
      </c>
      <c r="J461" s="4">
        <f>CHOOSE( CONTROL!$C$37, 13.0142, 13.0131) * CHOOSE(CONTROL!$C$20, $D$12, 100%, $F$12)</f>
        <v>13.014200000000001</v>
      </c>
      <c r="K461" s="4"/>
      <c r="L461" s="8">
        <v>29.306000000000001</v>
      </c>
      <c r="M461" s="8">
        <v>12.063700000000001</v>
      </c>
      <c r="N461" s="8">
        <v>4.9444999999999997</v>
      </c>
      <c r="O461" s="8">
        <v>0.37409999999999999</v>
      </c>
      <c r="P461" s="8">
        <v>1.2927</v>
      </c>
      <c r="Q461" s="8">
        <v>20.071300000000001</v>
      </c>
      <c r="R461" s="8"/>
    </row>
    <row r="462" spans="1:18" ht="14.25" customHeight="1">
      <c r="A462" s="11">
        <v>55184</v>
      </c>
      <c r="B462" s="7">
        <f>CHOOSE( CONTROL!$C$37, 13.8194, 13.8183) * CHOOSE(CONTROL!$C$20, $D$12, 100%, $F$12)</f>
        <v>13.8194</v>
      </c>
      <c r="C462" s="7">
        <f>CHOOSE( CONTROL!$C$37, 13.8245, 13.8234) * CHOOSE(CONTROL!$C$20, $D$12, 100%, $F$12)</f>
        <v>13.8245</v>
      </c>
      <c r="D462" s="7">
        <f>CHOOSE( CONTROL!$C$37, 13.8176, 13.8165) * CHOOSE( CONTROL!$C$20, $D$12, 100%, $F$12)</f>
        <v>13.817600000000001</v>
      </c>
      <c r="E462" s="10">
        <f>CHOOSE( CONTROL!$C$37, 13.8196, 13.8185) * CHOOSE( CONTROL!$C$20, $D$12, 100%, $F$12)</f>
        <v>13.819599999999999</v>
      </c>
      <c r="F462" s="4">
        <f>CHOOSE( CONTROL!$C$37, 14.472, 14.4709) * CHOOSE(CONTROL!$C$20, $D$12, 100%, $F$12)</f>
        <v>14.472</v>
      </c>
      <c r="G462" s="7">
        <f>CHOOSE( CONTROL!$C$37, 13.6649, 13.6639) * CHOOSE( CONTROL!$C$20, $D$12, 100%, $F$12)</f>
        <v>13.664899999999999</v>
      </c>
      <c r="H462" s="4">
        <f>CHOOSE( CONTROL!$C$37, 14.5439, 14.5428) * CHOOSE(CONTROL!$C$20, $D$12, 100%, $F$12)</f>
        <v>14.543900000000001</v>
      </c>
      <c r="I462" s="7">
        <f>CHOOSE( CONTROL!$C$37, 13.5569, 13.5559) * CHOOSE(CONTROL!$C$20, $D$12, 100%, $F$12)</f>
        <v>13.556900000000001</v>
      </c>
      <c r="J462" s="4">
        <f>CHOOSE( CONTROL!$C$37, 13.398, 13.3969) * CHOOSE(CONTROL!$C$20, $D$12, 100%, $F$12)</f>
        <v>13.398</v>
      </c>
      <c r="K462" s="4"/>
      <c r="L462" s="8">
        <v>29.306000000000001</v>
      </c>
      <c r="M462" s="8">
        <v>12.063700000000001</v>
      </c>
      <c r="N462" s="8">
        <v>4.9444999999999997</v>
      </c>
      <c r="O462" s="8">
        <v>0.37409999999999999</v>
      </c>
      <c r="P462" s="8">
        <v>1.2927</v>
      </c>
      <c r="Q462" s="8">
        <v>20.007999999999999</v>
      </c>
      <c r="R462" s="8"/>
    </row>
    <row r="463" spans="1:18" ht="14.25" customHeight="1">
      <c r="A463" s="11">
        <v>55212</v>
      </c>
      <c r="B463" s="7">
        <f>CHOOSE( CONTROL!$C$37, 12.925, 12.9239) * CHOOSE(CONTROL!$C$20, $D$12, 100%, $F$12)</f>
        <v>12.925000000000001</v>
      </c>
      <c r="C463" s="7">
        <f>CHOOSE( CONTROL!$C$37, 12.9301, 12.929) * CHOOSE(CONTROL!$C$20, $D$12, 100%, $F$12)</f>
        <v>12.930099999999999</v>
      </c>
      <c r="D463" s="7">
        <f>CHOOSE( CONTROL!$C$37, 12.9231, 12.922) * CHOOSE( CONTROL!$C$20, $D$12, 100%, $F$12)</f>
        <v>12.9231</v>
      </c>
      <c r="E463" s="10">
        <f>CHOOSE( CONTROL!$C$37, 12.9251, 12.924) * CHOOSE( CONTROL!$C$20, $D$12, 100%, $F$12)</f>
        <v>12.9251</v>
      </c>
      <c r="F463" s="4">
        <f>CHOOSE( CONTROL!$C$37, 13.5775, 13.5764) * CHOOSE(CONTROL!$C$20, $D$12, 100%, $F$12)</f>
        <v>13.577500000000001</v>
      </c>
      <c r="G463" s="7">
        <f>CHOOSE( CONTROL!$C$37, 12.7829, 12.7818) * CHOOSE( CONTROL!$C$20, $D$12, 100%, $F$12)</f>
        <v>12.7829</v>
      </c>
      <c r="H463" s="4">
        <f>CHOOSE( CONTROL!$C$37, 13.6619, 13.6609) * CHOOSE(CONTROL!$C$20, $D$12, 100%, $F$12)</f>
        <v>13.661899999999999</v>
      </c>
      <c r="I463" s="7">
        <f>CHOOSE( CONTROL!$C$37, 12.6901, 12.6891) * CHOOSE(CONTROL!$C$20, $D$12, 100%, $F$12)</f>
        <v>12.690099999999999</v>
      </c>
      <c r="J463" s="4">
        <f>CHOOSE( CONTROL!$C$37, 12.5319, 12.5309) * CHOOSE(CONTROL!$C$20, $D$12, 100%, $F$12)</f>
        <v>12.5319</v>
      </c>
      <c r="K463" s="4"/>
      <c r="L463" s="8">
        <v>26.469899999999999</v>
      </c>
      <c r="M463" s="8">
        <v>10.8962</v>
      </c>
      <c r="N463" s="8">
        <v>4.4660000000000002</v>
      </c>
      <c r="O463" s="8">
        <v>0.33789999999999998</v>
      </c>
      <c r="P463" s="8">
        <v>1.1676</v>
      </c>
      <c r="Q463" s="8">
        <v>18.0718</v>
      </c>
      <c r="R463" s="8"/>
    </row>
    <row r="464" spans="1:18" ht="14.25" customHeight="1">
      <c r="A464" s="11">
        <v>55243</v>
      </c>
      <c r="B464" s="7">
        <f>CHOOSE( CONTROL!$C$37, 12.6495, 12.6484) * CHOOSE(CONTROL!$C$20, $D$12, 100%, $F$12)</f>
        <v>12.6495</v>
      </c>
      <c r="C464" s="7">
        <f>CHOOSE( CONTROL!$C$37, 12.6546, 12.6535) * CHOOSE(CONTROL!$C$20, $D$12, 100%, $F$12)</f>
        <v>12.6546</v>
      </c>
      <c r="D464" s="7">
        <f>CHOOSE( CONTROL!$C$37, 12.647, 12.6459) * CHOOSE( CONTROL!$C$20, $D$12, 100%, $F$12)</f>
        <v>12.647</v>
      </c>
      <c r="E464" s="10">
        <f>CHOOSE( CONTROL!$C$37, 12.6492, 12.6481) * CHOOSE( CONTROL!$C$20, $D$12, 100%, $F$12)</f>
        <v>12.6492</v>
      </c>
      <c r="F464" s="4">
        <f>CHOOSE( CONTROL!$C$37, 13.302, 13.3009) * CHOOSE(CONTROL!$C$20, $D$12, 100%, $F$12)</f>
        <v>13.302</v>
      </c>
      <c r="G464" s="7">
        <f>CHOOSE( CONTROL!$C$37, 12.5108, 12.5097) * CHOOSE( CONTROL!$C$20, $D$12, 100%, $F$12)</f>
        <v>12.5108</v>
      </c>
      <c r="H464" s="4">
        <f>CHOOSE( CONTROL!$C$37, 13.3903, 13.3892) * CHOOSE(CONTROL!$C$20, $D$12, 100%, $F$12)</f>
        <v>13.3903</v>
      </c>
      <c r="I464" s="7">
        <f>CHOOSE( CONTROL!$C$37, 12.4213, 12.4203) * CHOOSE(CONTROL!$C$20, $D$12, 100%, $F$12)</f>
        <v>12.4213</v>
      </c>
      <c r="J464" s="4">
        <f>CHOOSE( CONTROL!$C$37, 12.2652, 12.2641) * CHOOSE(CONTROL!$C$20, $D$12, 100%, $F$12)</f>
        <v>12.2652</v>
      </c>
      <c r="K464" s="4"/>
      <c r="L464" s="8">
        <v>29.306000000000001</v>
      </c>
      <c r="M464" s="8">
        <v>12.063700000000001</v>
      </c>
      <c r="N464" s="8">
        <v>4.9444999999999997</v>
      </c>
      <c r="O464" s="8">
        <v>0.37409999999999999</v>
      </c>
      <c r="P464" s="8">
        <v>1.2927</v>
      </c>
      <c r="Q464" s="8">
        <v>20.007999999999999</v>
      </c>
      <c r="R464" s="8"/>
    </row>
    <row r="465" spans="1:18" ht="14.25" customHeight="1">
      <c r="A465" s="11">
        <v>55273</v>
      </c>
      <c r="B465" s="7">
        <f>CHOOSE( CONTROL!$C$37, 12.8428, 12.8417) * CHOOSE(CONTROL!$C$20, $D$12, 100%, $F$12)</f>
        <v>12.8428</v>
      </c>
      <c r="C465" s="7">
        <f>CHOOSE( CONTROL!$C$37, 12.8473, 12.8462) * CHOOSE(CONTROL!$C$20, $D$12, 100%, $F$12)</f>
        <v>12.847300000000001</v>
      </c>
      <c r="D465" s="7">
        <f>CHOOSE( CONTROL!$C$37, 12.8591, 12.858) * CHOOSE( CONTROL!$C$20, $D$12, 100%, $F$12)</f>
        <v>12.8591</v>
      </c>
      <c r="E465" s="10">
        <f>CHOOSE( CONTROL!$C$37, 12.8547, 12.8536) * CHOOSE( CONTROL!$C$20, $D$12, 100%, $F$12)</f>
        <v>12.854699999999999</v>
      </c>
      <c r="F465" s="4">
        <f>CHOOSE( CONTROL!$C$37, 13.5694, 13.5683) * CHOOSE(CONTROL!$C$20, $D$12, 100%, $F$12)</f>
        <v>13.5694</v>
      </c>
      <c r="G465" s="7">
        <f>CHOOSE( CONTROL!$C$37, 12.7089, 12.7078) * CHOOSE( CONTROL!$C$20, $D$12, 100%, $F$12)</f>
        <v>12.7089</v>
      </c>
      <c r="H465" s="4">
        <f>CHOOSE( CONTROL!$C$37, 13.6539, 13.6529) * CHOOSE(CONTROL!$C$20, $D$12, 100%, $F$12)</f>
        <v>13.6539</v>
      </c>
      <c r="I465" s="7">
        <f>CHOOSE( CONTROL!$C$37, 12.5804, 12.5793) * CHOOSE(CONTROL!$C$20, $D$12, 100%, $F$12)</f>
        <v>12.580399999999999</v>
      </c>
      <c r="J465" s="4">
        <f>CHOOSE( CONTROL!$C$37, 12.4516, 12.4505) * CHOOSE(CONTROL!$C$20, $D$12, 100%, $F$12)</f>
        <v>12.451599999999999</v>
      </c>
      <c r="K465" s="4"/>
      <c r="L465" s="8">
        <v>30.092199999999998</v>
      </c>
      <c r="M465" s="8">
        <v>11.6745</v>
      </c>
      <c r="N465" s="8">
        <v>4.7850000000000001</v>
      </c>
      <c r="O465" s="8">
        <v>0.36199999999999999</v>
      </c>
      <c r="P465" s="8">
        <v>1.2509999999999999</v>
      </c>
      <c r="Q465" s="8">
        <v>19.3626</v>
      </c>
      <c r="R465" s="8"/>
    </row>
    <row r="466" spans="1:18" ht="14.25" customHeight="1">
      <c r="A466" s="11">
        <v>55304</v>
      </c>
      <c r="B466" s="7">
        <f>CHOOSE( CONTROL!$C$37, 13.1873, 13.1856) * CHOOSE(CONTROL!$C$20, $D$12, 100%, $F$12)</f>
        <v>13.1873</v>
      </c>
      <c r="C466" s="7">
        <f>CHOOSE( CONTROL!$C$37, 13.1953, 13.1936) * CHOOSE(CONTROL!$C$20, $D$12, 100%, $F$12)</f>
        <v>13.1953</v>
      </c>
      <c r="D466" s="7">
        <f>CHOOSE( CONTROL!$C$37, 13.201, 13.1993) * CHOOSE( CONTROL!$C$20, $D$12, 100%, $F$12)</f>
        <v>13.201000000000001</v>
      </c>
      <c r="E466" s="10">
        <f>CHOOSE( CONTROL!$C$37, 13.1977, 13.196) * CHOOSE( CONTROL!$C$20, $D$12, 100%, $F$12)</f>
        <v>13.197699999999999</v>
      </c>
      <c r="F466" s="4">
        <f>CHOOSE( CONTROL!$C$37, 13.9126, 13.9109) * CHOOSE(CONTROL!$C$20, $D$12, 100%, $F$12)</f>
        <v>13.912599999999999</v>
      </c>
      <c r="G466" s="7">
        <f>CHOOSE( CONTROL!$C$37, 13.0472, 13.0456) * CHOOSE( CONTROL!$C$20, $D$12, 100%, $F$12)</f>
        <v>13.0472</v>
      </c>
      <c r="H466" s="4">
        <f>CHOOSE( CONTROL!$C$37, 13.9923, 13.9907) * CHOOSE(CONTROL!$C$20, $D$12, 100%, $F$12)</f>
        <v>13.9923</v>
      </c>
      <c r="I466" s="7">
        <f>CHOOSE( CONTROL!$C$37, 12.9126, 12.911) * CHOOSE(CONTROL!$C$20, $D$12, 100%, $F$12)</f>
        <v>12.912599999999999</v>
      </c>
      <c r="J466" s="4">
        <f>CHOOSE( CONTROL!$C$37, 12.7839, 12.7823) * CHOOSE(CONTROL!$C$20, $D$12, 100%, $F$12)</f>
        <v>12.783899999999999</v>
      </c>
      <c r="K466" s="4"/>
      <c r="L466" s="8">
        <v>30.7165</v>
      </c>
      <c r="M466" s="8">
        <v>12.063700000000001</v>
      </c>
      <c r="N466" s="8">
        <v>4.9444999999999997</v>
      </c>
      <c r="O466" s="8">
        <v>0.37409999999999999</v>
      </c>
      <c r="P466" s="8">
        <v>1.2927</v>
      </c>
      <c r="Q466" s="8">
        <v>20.007999999999999</v>
      </c>
      <c r="R466" s="8"/>
    </row>
    <row r="467" spans="1:18" ht="14.25" customHeight="1">
      <c r="A467" s="11">
        <v>55334</v>
      </c>
      <c r="B467" s="7">
        <f>CHOOSE( CONTROL!$C$37, 12.9751, 12.9734) * CHOOSE(CONTROL!$C$20, $D$12, 100%, $F$12)</f>
        <v>12.975099999999999</v>
      </c>
      <c r="C467" s="7">
        <f>CHOOSE( CONTROL!$C$37, 12.9831, 12.9814) * CHOOSE(CONTROL!$C$20, $D$12, 100%, $F$12)</f>
        <v>12.9831</v>
      </c>
      <c r="D467" s="7">
        <f>CHOOSE( CONTROL!$C$37, 12.989, 12.9873) * CHOOSE( CONTROL!$C$20, $D$12, 100%, $F$12)</f>
        <v>12.989000000000001</v>
      </c>
      <c r="E467" s="10">
        <f>CHOOSE( CONTROL!$C$37, 12.9856, 12.9839) * CHOOSE( CONTROL!$C$20, $D$12, 100%, $F$12)</f>
        <v>12.9856</v>
      </c>
      <c r="F467" s="4">
        <f>CHOOSE( CONTROL!$C$37, 13.7004, 13.6987) * CHOOSE(CONTROL!$C$20, $D$12, 100%, $F$12)</f>
        <v>13.7004</v>
      </c>
      <c r="G467" s="7">
        <f>CHOOSE( CONTROL!$C$37, 12.8382, 12.8365) * CHOOSE( CONTROL!$C$20, $D$12, 100%, $F$12)</f>
        <v>12.838200000000001</v>
      </c>
      <c r="H467" s="4">
        <f>CHOOSE( CONTROL!$C$37, 13.7831, 13.7814) * CHOOSE(CONTROL!$C$20, $D$12, 100%, $F$12)</f>
        <v>13.783099999999999</v>
      </c>
      <c r="I467" s="7">
        <f>CHOOSE( CONTROL!$C$37, 12.7079, 12.7063) * CHOOSE(CONTROL!$C$20, $D$12, 100%, $F$12)</f>
        <v>12.7079</v>
      </c>
      <c r="J467" s="4">
        <f>CHOOSE( CONTROL!$C$37, 12.5784, 12.5767) * CHOOSE(CONTROL!$C$20, $D$12, 100%, $F$12)</f>
        <v>12.5784</v>
      </c>
      <c r="K467" s="4"/>
      <c r="L467" s="8">
        <v>29.7257</v>
      </c>
      <c r="M467" s="8">
        <v>11.6745</v>
      </c>
      <c r="N467" s="8">
        <v>4.7850000000000001</v>
      </c>
      <c r="O467" s="8">
        <v>0.36199999999999999</v>
      </c>
      <c r="P467" s="8">
        <v>1.2509999999999999</v>
      </c>
      <c r="Q467" s="8">
        <v>19.3626</v>
      </c>
      <c r="R467" s="8"/>
    </row>
    <row r="468" spans="1:18" ht="14.25" customHeight="1">
      <c r="A468" s="11">
        <v>55365</v>
      </c>
      <c r="B468" s="7">
        <f>CHOOSE( CONTROL!$C$37, 13.534, 13.5323) * CHOOSE(CONTROL!$C$20, $D$12, 100%, $F$12)</f>
        <v>13.534000000000001</v>
      </c>
      <c r="C468" s="7">
        <f>CHOOSE( CONTROL!$C$37, 13.542, 13.5403) * CHOOSE(CONTROL!$C$20, $D$12, 100%, $F$12)</f>
        <v>13.542</v>
      </c>
      <c r="D468" s="7">
        <f>CHOOSE( CONTROL!$C$37, 13.5482, 13.5465) * CHOOSE( CONTROL!$C$20, $D$12, 100%, $F$12)</f>
        <v>13.5482</v>
      </c>
      <c r="E468" s="10">
        <f>CHOOSE( CONTROL!$C$37, 13.5447, 13.543) * CHOOSE( CONTROL!$C$20, $D$12, 100%, $F$12)</f>
        <v>13.544700000000001</v>
      </c>
      <c r="F468" s="4">
        <f>CHOOSE( CONTROL!$C$37, 14.2593, 14.2576) * CHOOSE(CONTROL!$C$20, $D$12, 100%, $F$12)</f>
        <v>14.2593</v>
      </c>
      <c r="G468" s="7">
        <f>CHOOSE( CONTROL!$C$37, 13.3895, 13.3879) * CHOOSE( CONTROL!$C$20, $D$12, 100%, $F$12)</f>
        <v>13.3895</v>
      </c>
      <c r="H468" s="4">
        <f>CHOOSE( CONTROL!$C$37, 14.3342, 14.3325) * CHOOSE(CONTROL!$C$20, $D$12, 100%, $F$12)</f>
        <v>14.334199999999999</v>
      </c>
      <c r="I468" s="7">
        <f>CHOOSE( CONTROL!$C$37, 13.2504, 13.2488) * CHOOSE(CONTROL!$C$20, $D$12, 100%, $F$12)</f>
        <v>13.250400000000001</v>
      </c>
      <c r="J468" s="4">
        <f>CHOOSE( CONTROL!$C$37, 13.1195, 13.1179) * CHOOSE(CONTROL!$C$20, $D$12, 100%, $F$12)</f>
        <v>13.1195</v>
      </c>
      <c r="K468" s="4"/>
      <c r="L468" s="8">
        <v>30.7165</v>
      </c>
      <c r="M468" s="8">
        <v>12.063700000000001</v>
      </c>
      <c r="N468" s="8">
        <v>4.9444999999999997</v>
      </c>
      <c r="O468" s="8">
        <v>0.37409999999999999</v>
      </c>
      <c r="P468" s="8">
        <v>1.2927</v>
      </c>
      <c r="Q468" s="8">
        <v>20.007999999999999</v>
      </c>
      <c r="R468" s="8"/>
    </row>
    <row r="469" spans="1:18" ht="14.25" customHeight="1">
      <c r="A469" s="11">
        <v>55396</v>
      </c>
      <c r="B469" s="7">
        <f>CHOOSE( CONTROL!$C$37, 12.4882, 12.4865) * CHOOSE(CONTROL!$C$20, $D$12, 100%, $F$12)</f>
        <v>12.488200000000001</v>
      </c>
      <c r="C469" s="7">
        <f>CHOOSE( CONTROL!$C$37, 12.4962, 12.4945) * CHOOSE(CONTROL!$C$20, $D$12, 100%, $F$12)</f>
        <v>12.4962</v>
      </c>
      <c r="D469" s="7">
        <f>CHOOSE( CONTROL!$C$37, 12.5025, 12.5009) * CHOOSE( CONTROL!$C$20, $D$12, 100%, $F$12)</f>
        <v>12.5025</v>
      </c>
      <c r="E469" s="10">
        <f>CHOOSE( CONTROL!$C$37, 12.499, 12.4974) * CHOOSE( CONTROL!$C$20, $D$12, 100%, $F$12)</f>
        <v>12.499000000000001</v>
      </c>
      <c r="F469" s="4">
        <f>CHOOSE( CONTROL!$C$37, 13.2135, 13.2118) * CHOOSE(CONTROL!$C$20, $D$12, 100%, $F$12)</f>
        <v>13.2135</v>
      </c>
      <c r="G469" s="7">
        <f>CHOOSE( CONTROL!$C$37, 12.3584, 12.3568) * CHOOSE( CONTROL!$C$20, $D$12, 100%, $F$12)</f>
        <v>12.3584</v>
      </c>
      <c r="H469" s="4">
        <f>CHOOSE( CONTROL!$C$37, 13.303, 13.3014) * CHOOSE(CONTROL!$C$20, $D$12, 100%, $F$12)</f>
        <v>13.303000000000001</v>
      </c>
      <c r="I469" s="7">
        <f>CHOOSE( CONTROL!$C$37, 12.2376, 12.236) * CHOOSE(CONTROL!$C$20, $D$12, 100%, $F$12)</f>
        <v>12.2376</v>
      </c>
      <c r="J469" s="4">
        <f>CHOOSE( CONTROL!$C$37, 12.1069, 12.1053) * CHOOSE(CONTROL!$C$20, $D$12, 100%, $F$12)</f>
        <v>12.1069</v>
      </c>
      <c r="K469" s="4"/>
      <c r="L469" s="8">
        <v>30.7165</v>
      </c>
      <c r="M469" s="8">
        <v>12.063700000000001</v>
      </c>
      <c r="N469" s="8">
        <v>4.9444999999999997</v>
      </c>
      <c r="O469" s="8">
        <v>0.37409999999999999</v>
      </c>
      <c r="P469" s="8">
        <v>1.2927</v>
      </c>
      <c r="Q469" s="8">
        <v>20.007999999999999</v>
      </c>
      <c r="R469" s="8"/>
    </row>
    <row r="470" spans="1:18" ht="14.25" customHeight="1">
      <c r="A470" s="11">
        <v>55426</v>
      </c>
      <c r="B470" s="7">
        <f>CHOOSE( CONTROL!$C$37, 12.2263, 12.2247) * CHOOSE(CONTROL!$C$20, $D$12, 100%, $F$12)</f>
        <v>12.2263</v>
      </c>
      <c r="C470" s="7">
        <f>CHOOSE( CONTROL!$C$37, 12.2343, 12.2327) * CHOOSE(CONTROL!$C$20, $D$12, 100%, $F$12)</f>
        <v>12.234299999999999</v>
      </c>
      <c r="D470" s="7">
        <f>CHOOSE( CONTROL!$C$37, 12.2405, 12.2389) * CHOOSE( CONTROL!$C$20, $D$12, 100%, $F$12)</f>
        <v>12.240500000000001</v>
      </c>
      <c r="E470" s="10">
        <f>CHOOSE( CONTROL!$C$37, 12.237, 12.2354) * CHOOSE( CONTROL!$C$20, $D$12, 100%, $F$12)</f>
        <v>12.237</v>
      </c>
      <c r="F470" s="4">
        <f>CHOOSE( CONTROL!$C$37, 12.9516, 12.95) * CHOOSE(CONTROL!$C$20, $D$12, 100%, $F$12)</f>
        <v>12.951599999999999</v>
      </c>
      <c r="G470" s="7">
        <f>CHOOSE( CONTROL!$C$37, 12.1001, 12.0985) * CHOOSE( CONTROL!$C$20, $D$12, 100%, $F$12)</f>
        <v>12.100099999999999</v>
      </c>
      <c r="H470" s="4">
        <f>CHOOSE( CONTROL!$C$37, 13.0448, 13.0431) * CHOOSE(CONTROL!$C$20, $D$12, 100%, $F$12)</f>
        <v>13.0448</v>
      </c>
      <c r="I470" s="7">
        <f>CHOOSE( CONTROL!$C$37, 11.9835, 11.9819) * CHOOSE(CONTROL!$C$20, $D$12, 100%, $F$12)</f>
        <v>11.983499999999999</v>
      </c>
      <c r="J470" s="4">
        <f>CHOOSE( CONTROL!$C$37, 11.8534, 11.8518) * CHOOSE(CONTROL!$C$20, $D$12, 100%, $F$12)</f>
        <v>11.853400000000001</v>
      </c>
      <c r="K470" s="4"/>
      <c r="L470" s="8">
        <v>29.7257</v>
      </c>
      <c r="M470" s="8">
        <v>11.6745</v>
      </c>
      <c r="N470" s="8">
        <v>4.7850000000000001</v>
      </c>
      <c r="O470" s="8">
        <v>0.36199999999999999</v>
      </c>
      <c r="P470" s="8">
        <v>1.2509999999999999</v>
      </c>
      <c r="Q470" s="8">
        <v>19.3626</v>
      </c>
      <c r="R470" s="8"/>
    </row>
    <row r="471" spans="1:18" ht="14.25" customHeight="1">
      <c r="A471" s="11">
        <v>55457</v>
      </c>
      <c r="B471" s="7">
        <f>CHOOSE( CONTROL!$C$37, 12.7678, 12.7667) * CHOOSE(CONTROL!$C$20, $D$12, 100%, $F$12)</f>
        <v>12.767799999999999</v>
      </c>
      <c r="C471" s="7">
        <f>CHOOSE( CONTROL!$C$37, 12.7731, 12.772) * CHOOSE(CONTROL!$C$20, $D$12, 100%, $F$12)</f>
        <v>12.773099999999999</v>
      </c>
      <c r="D471" s="7">
        <f>CHOOSE( CONTROL!$C$37, 12.7851, 12.784) * CHOOSE( CONTROL!$C$20, $D$12, 100%, $F$12)</f>
        <v>12.7851</v>
      </c>
      <c r="E471" s="10">
        <f>CHOOSE( CONTROL!$C$37, 12.7806, 12.7795) * CHOOSE( CONTROL!$C$20, $D$12, 100%, $F$12)</f>
        <v>12.7806</v>
      </c>
      <c r="F471" s="4">
        <f>CHOOSE( CONTROL!$C$37, 13.4948, 13.4937) * CHOOSE(CONTROL!$C$20, $D$12, 100%, $F$12)</f>
        <v>13.4948</v>
      </c>
      <c r="G471" s="7">
        <f>CHOOSE( CONTROL!$C$37, 12.6358, 12.6347) * CHOOSE( CONTROL!$C$20, $D$12, 100%, $F$12)</f>
        <v>12.6358</v>
      </c>
      <c r="H471" s="4">
        <f>CHOOSE( CONTROL!$C$37, 13.5804, 13.5793) * CHOOSE(CONTROL!$C$20, $D$12, 100%, $F$12)</f>
        <v>13.580399999999999</v>
      </c>
      <c r="I471" s="7">
        <f>CHOOSE( CONTROL!$C$37, 12.5104, 12.5093) * CHOOSE(CONTROL!$C$20, $D$12, 100%, $F$12)</f>
        <v>12.510400000000001</v>
      </c>
      <c r="J471" s="4">
        <f>CHOOSE( CONTROL!$C$37, 12.3793, 12.3782) * CHOOSE(CONTROL!$C$20, $D$12, 100%, $F$12)</f>
        <v>12.379300000000001</v>
      </c>
      <c r="K471" s="4"/>
      <c r="L471" s="8">
        <v>31.095300000000002</v>
      </c>
      <c r="M471" s="8">
        <v>12.063700000000001</v>
      </c>
      <c r="N471" s="8">
        <v>4.9444999999999997</v>
      </c>
      <c r="O471" s="8">
        <v>0.37409999999999999</v>
      </c>
      <c r="P471" s="8">
        <v>1.2927</v>
      </c>
      <c r="Q471" s="8">
        <v>20.007999999999999</v>
      </c>
      <c r="R471" s="8"/>
    </row>
    <row r="472" spans="1:18" ht="14.25" customHeight="1">
      <c r="A472" s="11">
        <v>55487</v>
      </c>
      <c r="B472" s="7">
        <f>CHOOSE( CONTROL!$C$37, 13.771, 13.7699) * CHOOSE(CONTROL!$C$20, $D$12, 100%, $F$12)</f>
        <v>13.771000000000001</v>
      </c>
      <c r="C472" s="7">
        <f>CHOOSE( CONTROL!$C$37, 13.7761, 13.775) * CHOOSE(CONTROL!$C$20, $D$12, 100%, $F$12)</f>
        <v>13.7761</v>
      </c>
      <c r="D472" s="7">
        <f>CHOOSE( CONTROL!$C$37, 13.7545, 13.7535) * CHOOSE( CONTROL!$C$20, $D$12, 100%, $F$12)</f>
        <v>13.7545</v>
      </c>
      <c r="E472" s="10">
        <f>CHOOSE( CONTROL!$C$37, 13.7619, 13.7608) * CHOOSE( CONTROL!$C$20, $D$12, 100%, $F$12)</f>
        <v>13.761900000000001</v>
      </c>
      <c r="F472" s="4">
        <f>CHOOSE( CONTROL!$C$37, 14.4235, 14.4224) * CHOOSE(CONTROL!$C$20, $D$12, 100%, $F$12)</f>
        <v>14.423500000000001</v>
      </c>
      <c r="G472" s="7">
        <f>CHOOSE( CONTROL!$C$37, 13.6115, 13.6105) * CHOOSE( CONTROL!$C$20, $D$12, 100%, $F$12)</f>
        <v>13.611499999999999</v>
      </c>
      <c r="H472" s="4">
        <f>CHOOSE( CONTROL!$C$37, 14.4961, 14.4951) * CHOOSE(CONTROL!$C$20, $D$12, 100%, $F$12)</f>
        <v>14.4961</v>
      </c>
      <c r="I472" s="7">
        <f>CHOOSE( CONTROL!$C$37, 13.5338, 13.5328) * CHOOSE(CONTROL!$C$20, $D$12, 100%, $F$12)</f>
        <v>13.533799999999999</v>
      </c>
      <c r="J472" s="4">
        <f>CHOOSE( CONTROL!$C$37, 13.3511, 13.3501) * CHOOSE(CONTROL!$C$20, $D$12, 100%, $F$12)</f>
        <v>13.351100000000001</v>
      </c>
      <c r="K472" s="4"/>
      <c r="L472" s="8">
        <v>28.360600000000002</v>
      </c>
      <c r="M472" s="8">
        <v>11.6745</v>
      </c>
      <c r="N472" s="8">
        <v>4.7850000000000001</v>
      </c>
      <c r="O472" s="8">
        <v>0.36199999999999999</v>
      </c>
      <c r="P472" s="8">
        <v>1.2509999999999999</v>
      </c>
      <c r="Q472" s="8">
        <v>19.3626</v>
      </c>
      <c r="R472" s="8"/>
    </row>
    <row r="473" spans="1:18" ht="14.25" customHeight="1">
      <c r="A473" s="11">
        <v>55518</v>
      </c>
      <c r="B473" s="7">
        <f>CHOOSE( CONTROL!$C$37, 13.7459, 13.7448) * CHOOSE(CONTROL!$C$20, $D$12, 100%, $F$12)</f>
        <v>13.745900000000001</v>
      </c>
      <c r="C473" s="7">
        <f>CHOOSE( CONTROL!$C$37, 13.751, 13.7499) * CHOOSE(CONTROL!$C$20, $D$12, 100%, $F$12)</f>
        <v>13.750999999999999</v>
      </c>
      <c r="D473" s="7">
        <f>CHOOSE( CONTROL!$C$37, 13.731, 13.7299) * CHOOSE( CONTROL!$C$20, $D$12, 100%, $F$12)</f>
        <v>13.731</v>
      </c>
      <c r="E473" s="10">
        <f>CHOOSE( CONTROL!$C$37, 13.7378, 13.7367) * CHOOSE( CONTROL!$C$20, $D$12, 100%, $F$12)</f>
        <v>13.7378</v>
      </c>
      <c r="F473" s="4">
        <f>CHOOSE( CONTROL!$C$37, 14.3985, 14.3974) * CHOOSE(CONTROL!$C$20, $D$12, 100%, $F$12)</f>
        <v>14.3985</v>
      </c>
      <c r="G473" s="7">
        <f>CHOOSE( CONTROL!$C$37, 13.5879, 13.5869) * CHOOSE( CONTROL!$C$20, $D$12, 100%, $F$12)</f>
        <v>13.587899999999999</v>
      </c>
      <c r="H473" s="4">
        <f>CHOOSE( CONTROL!$C$37, 14.4714, 14.4704) * CHOOSE(CONTROL!$C$20, $D$12, 100%, $F$12)</f>
        <v>14.471399999999999</v>
      </c>
      <c r="I473" s="7">
        <f>CHOOSE( CONTROL!$C$37, 13.5144, 13.5134) * CHOOSE(CONTROL!$C$20, $D$12, 100%, $F$12)</f>
        <v>13.5144</v>
      </c>
      <c r="J473" s="4">
        <f>CHOOSE( CONTROL!$C$37, 13.3268, 13.3258) * CHOOSE(CONTROL!$C$20, $D$12, 100%, $F$12)</f>
        <v>13.3268</v>
      </c>
      <c r="K473" s="4"/>
      <c r="L473" s="8">
        <v>29.306000000000001</v>
      </c>
      <c r="M473" s="8">
        <v>12.063700000000001</v>
      </c>
      <c r="N473" s="8">
        <v>4.9444999999999997</v>
      </c>
      <c r="O473" s="8">
        <v>0.37409999999999999</v>
      </c>
      <c r="P473" s="8">
        <v>1.2927</v>
      </c>
      <c r="Q473" s="8">
        <v>20.007999999999999</v>
      </c>
      <c r="R473" s="8"/>
    </row>
    <row r="474" spans="1:18" ht="14.25" customHeight="1">
      <c r="A474" s="11">
        <v>55549</v>
      </c>
      <c r="B474" s="7">
        <f>CHOOSE( CONTROL!$C$37, 14.1518, 14.1508) * CHOOSE(CONTROL!$C$20, $D$12, 100%, $F$12)</f>
        <v>14.1518</v>
      </c>
      <c r="C474" s="7">
        <f>CHOOSE( CONTROL!$C$37, 14.1569, 14.1559) * CHOOSE(CONTROL!$C$20, $D$12, 100%, $F$12)</f>
        <v>14.1569</v>
      </c>
      <c r="D474" s="7">
        <f>CHOOSE( CONTROL!$C$37, 14.1501, 14.149) * CHOOSE( CONTROL!$C$20, $D$12, 100%, $F$12)</f>
        <v>14.1501</v>
      </c>
      <c r="E474" s="10">
        <f>CHOOSE( CONTROL!$C$37, 14.152, 14.151) * CHOOSE( CONTROL!$C$20, $D$12, 100%, $F$12)</f>
        <v>14.151999999999999</v>
      </c>
      <c r="F474" s="4">
        <f>CHOOSE( CONTROL!$C$37, 14.8044, 14.8033) * CHOOSE(CONTROL!$C$20, $D$12, 100%, $F$12)</f>
        <v>14.804399999999999</v>
      </c>
      <c r="G474" s="7">
        <f>CHOOSE( CONTROL!$C$37, 13.9927, 13.9916) * CHOOSE( CONTROL!$C$20, $D$12, 100%, $F$12)</f>
        <v>13.992699999999999</v>
      </c>
      <c r="H474" s="4">
        <f>CHOOSE( CONTROL!$C$37, 14.8717, 14.8706) * CHOOSE(CONTROL!$C$20, $D$12, 100%, $F$12)</f>
        <v>14.871700000000001</v>
      </c>
      <c r="I474" s="7">
        <f>CHOOSE( CONTROL!$C$37, 13.879, 13.8779) * CHOOSE(CONTROL!$C$20, $D$12, 100%, $F$12)</f>
        <v>13.879</v>
      </c>
      <c r="J474" s="4">
        <f>CHOOSE( CONTROL!$C$37, 13.7199, 13.7188) * CHOOSE(CONTROL!$C$20, $D$12, 100%, $F$12)</f>
        <v>13.719900000000001</v>
      </c>
      <c r="K474" s="4"/>
      <c r="L474" s="8">
        <v>29.306000000000001</v>
      </c>
      <c r="M474" s="8">
        <v>12.063700000000001</v>
      </c>
      <c r="N474" s="8">
        <v>4.9444999999999997</v>
      </c>
      <c r="O474" s="8">
        <v>0.37409999999999999</v>
      </c>
      <c r="P474" s="8">
        <v>1.2927</v>
      </c>
      <c r="Q474" s="8">
        <v>19.942900000000002</v>
      </c>
      <c r="R474" s="8"/>
    </row>
    <row r="475" spans="1:18" ht="14.25" customHeight="1">
      <c r="A475" s="11">
        <v>55577</v>
      </c>
      <c r="B475" s="7">
        <f>CHOOSE( CONTROL!$C$37, 13.2359, 13.2348) * CHOOSE(CONTROL!$C$20, $D$12, 100%, $F$12)</f>
        <v>13.235900000000001</v>
      </c>
      <c r="C475" s="7">
        <f>CHOOSE( CONTROL!$C$37, 13.241, 13.2399) * CHOOSE(CONTROL!$C$20, $D$12, 100%, $F$12)</f>
        <v>13.241</v>
      </c>
      <c r="D475" s="7">
        <f>CHOOSE( CONTROL!$C$37, 13.234, 13.2329) * CHOOSE( CONTROL!$C$20, $D$12, 100%, $F$12)</f>
        <v>13.234</v>
      </c>
      <c r="E475" s="10">
        <f>CHOOSE( CONTROL!$C$37, 13.236, 13.2349) * CHOOSE( CONTROL!$C$20, $D$12, 100%, $F$12)</f>
        <v>13.236000000000001</v>
      </c>
      <c r="F475" s="4">
        <f>CHOOSE( CONTROL!$C$37, 13.8885, 13.8874) * CHOOSE(CONTROL!$C$20, $D$12, 100%, $F$12)</f>
        <v>13.888500000000001</v>
      </c>
      <c r="G475" s="7">
        <f>CHOOSE( CONTROL!$C$37, 13.0895, 13.0884) * CHOOSE( CONTROL!$C$20, $D$12, 100%, $F$12)</f>
        <v>13.089499999999999</v>
      </c>
      <c r="H475" s="4">
        <f>CHOOSE( CONTROL!$C$37, 13.9685, 13.9675) * CHOOSE(CONTROL!$C$20, $D$12, 100%, $F$12)</f>
        <v>13.968500000000001</v>
      </c>
      <c r="I475" s="7">
        <f>CHOOSE( CONTROL!$C$37, 12.9914, 12.9903) * CHOOSE(CONTROL!$C$20, $D$12, 100%, $F$12)</f>
        <v>12.991400000000001</v>
      </c>
      <c r="J475" s="4">
        <f>CHOOSE( CONTROL!$C$37, 12.833, 12.8319) * CHOOSE(CONTROL!$C$20, $D$12, 100%, $F$12)</f>
        <v>12.833</v>
      </c>
      <c r="K475" s="4"/>
      <c r="L475" s="8">
        <v>27.415299999999998</v>
      </c>
      <c r="M475" s="8">
        <v>11.285299999999999</v>
      </c>
      <c r="N475" s="8">
        <v>4.6254999999999997</v>
      </c>
      <c r="O475" s="8">
        <v>0.34989999999999999</v>
      </c>
      <c r="P475" s="8">
        <v>1.2093</v>
      </c>
      <c r="Q475" s="8">
        <v>18.656300000000002</v>
      </c>
      <c r="R475" s="8"/>
    </row>
    <row r="476" spans="1:18" ht="14.25" customHeight="1">
      <c r="A476" s="11">
        <v>55609</v>
      </c>
      <c r="B476" s="7">
        <f>CHOOSE( CONTROL!$C$37, 12.9538, 12.9527) * CHOOSE(CONTROL!$C$20, $D$12, 100%, $F$12)</f>
        <v>12.953799999999999</v>
      </c>
      <c r="C476" s="7">
        <f>CHOOSE( CONTROL!$C$37, 12.9589, 12.9578) * CHOOSE(CONTROL!$C$20, $D$12, 100%, $F$12)</f>
        <v>12.9589</v>
      </c>
      <c r="D476" s="7">
        <f>CHOOSE( CONTROL!$C$37, 12.9513, 12.9502) * CHOOSE( CONTROL!$C$20, $D$12, 100%, $F$12)</f>
        <v>12.9513</v>
      </c>
      <c r="E476" s="10">
        <f>CHOOSE( CONTROL!$C$37, 12.9535, 12.9524) * CHOOSE( CONTROL!$C$20, $D$12, 100%, $F$12)</f>
        <v>12.9535</v>
      </c>
      <c r="F476" s="4">
        <f>CHOOSE( CONTROL!$C$37, 13.6063, 13.6053) * CHOOSE(CONTROL!$C$20, $D$12, 100%, $F$12)</f>
        <v>13.606299999999999</v>
      </c>
      <c r="G476" s="7">
        <f>CHOOSE( CONTROL!$C$37, 12.8109, 12.8098) * CHOOSE( CONTROL!$C$20, $D$12, 100%, $F$12)</f>
        <v>12.8109</v>
      </c>
      <c r="H476" s="4">
        <f>CHOOSE( CONTROL!$C$37, 13.6904, 13.6893) * CHOOSE(CONTROL!$C$20, $D$12, 100%, $F$12)</f>
        <v>13.6904</v>
      </c>
      <c r="I476" s="7">
        <f>CHOOSE( CONTROL!$C$37, 12.7161, 12.7151) * CHOOSE(CONTROL!$C$20, $D$12, 100%, $F$12)</f>
        <v>12.716100000000001</v>
      </c>
      <c r="J476" s="4">
        <f>CHOOSE( CONTROL!$C$37, 12.5598, 12.5588) * CHOOSE(CONTROL!$C$20, $D$12, 100%, $F$12)</f>
        <v>12.559799999999999</v>
      </c>
      <c r="K476" s="4"/>
      <c r="L476" s="8">
        <v>29.306000000000001</v>
      </c>
      <c r="M476" s="8">
        <v>12.063700000000001</v>
      </c>
      <c r="N476" s="8">
        <v>4.9444999999999997</v>
      </c>
      <c r="O476" s="8">
        <v>0.37409999999999999</v>
      </c>
      <c r="P476" s="8">
        <v>1.2927</v>
      </c>
      <c r="Q476" s="8">
        <v>19.942900000000002</v>
      </c>
      <c r="R476" s="8"/>
    </row>
    <row r="477" spans="1:18" ht="14.25" customHeight="1">
      <c r="A477" s="11">
        <v>55639</v>
      </c>
      <c r="B477" s="7">
        <f>CHOOSE( CONTROL!$C$37, 13.1517, 13.1506) * CHOOSE(CONTROL!$C$20, $D$12, 100%, $F$12)</f>
        <v>13.1517</v>
      </c>
      <c r="C477" s="7">
        <f>CHOOSE( CONTROL!$C$37, 13.1562, 13.1551) * CHOOSE(CONTROL!$C$20, $D$12, 100%, $F$12)</f>
        <v>13.1562</v>
      </c>
      <c r="D477" s="7">
        <f>CHOOSE( CONTROL!$C$37, 13.1681, 13.167) * CHOOSE( CONTROL!$C$20, $D$12, 100%, $F$12)</f>
        <v>13.168100000000001</v>
      </c>
      <c r="E477" s="10">
        <f>CHOOSE( CONTROL!$C$37, 13.1637, 13.1626) * CHOOSE( CONTROL!$C$20, $D$12, 100%, $F$12)</f>
        <v>13.1637</v>
      </c>
      <c r="F477" s="4">
        <f>CHOOSE( CONTROL!$C$37, 13.8784, 13.8773) * CHOOSE(CONTROL!$C$20, $D$12, 100%, $F$12)</f>
        <v>13.878399999999999</v>
      </c>
      <c r="G477" s="7">
        <f>CHOOSE( CONTROL!$C$37, 13.0135, 13.0124) * CHOOSE( CONTROL!$C$20, $D$12, 100%, $F$12)</f>
        <v>13.013500000000001</v>
      </c>
      <c r="H477" s="4">
        <f>CHOOSE( CONTROL!$C$37, 13.9586, 13.9575) * CHOOSE(CONTROL!$C$20, $D$12, 100%, $F$12)</f>
        <v>13.958600000000001</v>
      </c>
      <c r="I477" s="7">
        <f>CHOOSE( CONTROL!$C$37, 12.8797, 12.8786) * CHOOSE(CONTROL!$C$20, $D$12, 100%, $F$12)</f>
        <v>12.8797</v>
      </c>
      <c r="J477" s="4">
        <f>CHOOSE( CONTROL!$C$37, 12.7507, 12.7497) * CHOOSE(CONTROL!$C$20, $D$12, 100%, $F$12)</f>
        <v>12.7507</v>
      </c>
      <c r="K477" s="4"/>
      <c r="L477" s="8">
        <v>30.092199999999998</v>
      </c>
      <c r="M477" s="8">
        <v>11.6745</v>
      </c>
      <c r="N477" s="8">
        <v>4.7850000000000001</v>
      </c>
      <c r="O477" s="8">
        <v>0.36199999999999999</v>
      </c>
      <c r="P477" s="8">
        <v>1.2509999999999999</v>
      </c>
      <c r="Q477" s="8">
        <v>19.299600000000002</v>
      </c>
      <c r="R477" s="8"/>
    </row>
    <row r="478" spans="1:18" ht="14.25" customHeight="1">
      <c r="A478" s="11">
        <v>55670</v>
      </c>
      <c r="B478" s="7">
        <f>CHOOSE( CONTROL!$C$37, 13.5045, 13.5028) * CHOOSE(CONTROL!$C$20, $D$12, 100%, $F$12)</f>
        <v>13.5045</v>
      </c>
      <c r="C478" s="7">
        <f>CHOOSE( CONTROL!$C$37, 13.5125, 13.5108) * CHOOSE(CONTROL!$C$20, $D$12, 100%, $F$12)</f>
        <v>13.512499999999999</v>
      </c>
      <c r="D478" s="7">
        <f>CHOOSE( CONTROL!$C$37, 13.5181, 13.5165) * CHOOSE( CONTROL!$C$20, $D$12, 100%, $F$12)</f>
        <v>13.5181</v>
      </c>
      <c r="E478" s="10">
        <f>CHOOSE( CONTROL!$C$37, 13.5149, 13.5132) * CHOOSE( CONTROL!$C$20, $D$12, 100%, $F$12)</f>
        <v>13.514900000000001</v>
      </c>
      <c r="F478" s="4">
        <f>CHOOSE( CONTROL!$C$37, 14.2298, 14.2281) * CHOOSE(CONTROL!$C$20, $D$12, 100%, $F$12)</f>
        <v>14.229799999999999</v>
      </c>
      <c r="G478" s="7">
        <f>CHOOSE( CONTROL!$C$37, 13.36, 13.3583) * CHOOSE( CONTROL!$C$20, $D$12, 100%, $F$12)</f>
        <v>13.36</v>
      </c>
      <c r="H478" s="4">
        <f>CHOOSE( CONTROL!$C$37, 14.3051, 14.3035) * CHOOSE(CONTROL!$C$20, $D$12, 100%, $F$12)</f>
        <v>14.305099999999999</v>
      </c>
      <c r="I478" s="7">
        <f>CHOOSE( CONTROL!$C$37, 13.2199, 13.2182) * CHOOSE(CONTROL!$C$20, $D$12, 100%, $F$12)</f>
        <v>13.219900000000001</v>
      </c>
      <c r="J478" s="4">
        <f>CHOOSE( CONTROL!$C$37, 13.091, 13.0894) * CHOOSE(CONTROL!$C$20, $D$12, 100%, $F$12)</f>
        <v>13.090999999999999</v>
      </c>
      <c r="K478" s="4"/>
      <c r="L478" s="8">
        <v>30.7165</v>
      </c>
      <c r="M478" s="8">
        <v>12.063700000000001</v>
      </c>
      <c r="N478" s="8">
        <v>4.9444999999999997</v>
      </c>
      <c r="O478" s="8">
        <v>0.37409999999999999</v>
      </c>
      <c r="P478" s="8">
        <v>1.2927</v>
      </c>
      <c r="Q478" s="8">
        <v>19.942900000000002</v>
      </c>
      <c r="R478" s="8"/>
    </row>
    <row r="479" spans="1:18" ht="14.25" customHeight="1">
      <c r="A479" s="11">
        <v>55700</v>
      </c>
      <c r="B479" s="7">
        <f>CHOOSE( CONTROL!$C$37, 13.2872, 13.2855) * CHOOSE(CONTROL!$C$20, $D$12, 100%, $F$12)</f>
        <v>13.2872</v>
      </c>
      <c r="C479" s="7">
        <f>CHOOSE( CONTROL!$C$37, 13.2951, 13.2935) * CHOOSE(CONTROL!$C$20, $D$12, 100%, $F$12)</f>
        <v>13.2951</v>
      </c>
      <c r="D479" s="7">
        <f>CHOOSE( CONTROL!$C$37, 13.3011, 13.2994) * CHOOSE( CONTROL!$C$20, $D$12, 100%, $F$12)</f>
        <v>13.3011</v>
      </c>
      <c r="E479" s="10">
        <f>CHOOSE( CONTROL!$C$37, 13.2977, 13.296) * CHOOSE( CONTROL!$C$20, $D$12, 100%, $F$12)</f>
        <v>13.297700000000001</v>
      </c>
      <c r="F479" s="4">
        <f>CHOOSE( CONTROL!$C$37, 14.0124, 14.0108) * CHOOSE(CONTROL!$C$20, $D$12, 100%, $F$12)</f>
        <v>14.0124</v>
      </c>
      <c r="G479" s="7">
        <f>CHOOSE( CONTROL!$C$37, 13.1459, 13.1443) * CHOOSE( CONTROL!$C$20, $D$12, 100%, $F$12)</f>
        <v>13.145899999999999</v>
      </c>
      <c r="H479" s="4">
        <f>CHOOSE( CONTROL!$C$37, 14.0908, 14.0892) * CHOOSE(CONTROL!$C$20, $D$12, 100%, $F$12)</f>
        <v>14.0908</v>
      </c>
      <c r="I479" s="7">
        <f>CHOOSE( CONTROL!$C$37, 13.0103, 13.0086) * CHOOSE(CONTROL!$C$20, $D$12, 100%, $F$12)</f>
        <v>13.010300000000001</v>
      </c>
      <c r="J479" s="4">
        <f>CHOOSE( CONTROL!$C$37, 12.8805, 12.8789) * CHOOSE(CONTROL!$C$20, $D$12, 100%, $F$12)</f>
        <v>12.8805</v>
      </c>
      <c r="K479" s="4"/>
      <c r="L479" s="8">
        <v>29.7257</v>
      </c>
      <c r="M479" s="8">
        <v>11.6745</v>
      </c>
      <c r="N479" s="8">
        <v>4.7850000000000001</v>
      </c>
      <c r="O479" s="8">
        <v>0.36199999999999999</v>
      </c>
      <c r="P479" s="8">
        <v>1.2509999999999999</v>
      </c>
      <c r="Q479" s="8">
        <v>19.299600000000002</v>
      </c>
      <c r="R479" s="8"/>
    </row>
    <row r="480" spans="1:18" ht="14.25" customHeight="1">
      <c r="A480" s="11">
        <v>55731</v>
      </c>
      <c r="B480" s="7">
        <f>CHOOSE( CONTROL!$C$37, 13.8595, 13.8578) * CHOOSE(CONTROL!$C$20, $D$12, 100%, $F$12)</f>
        <v>13.859500000000001</v>
      </c>
      <c r="C480" s="7">
        <f>CHOOSE( CONTROL!$C$37, 13.8675, 13.8658) * CHOOSE(CONTROL!$C$20, $D$12, 100%, $F$12)</f>
        <v>13.8675</v>
      </c>
      <c r="D480" s="7">
        <f>CHOOSE( CONTROL!$C$37, 13.8737, 13.872) * CHOOSE( CONTROL!$C$20, $D$12, 100%, $F$12)</f>
        <v>13.873699999999999</v>
      </c>
      <c r="E480" s="10">
        <f>CHOOSE( CONTROL!$C$37, 13.8702, 13.8685) * CHOOSE( CONTROL!$C$20, $D$12, 100%, $F$12)</f>
        <v>13.870200000000001</v>
      </c>
      <c r="F480" s="4">
        <f>CHOOSE( CONTROL!$C$37, 14.5848, 14.5831) * CHOOSE(CONTROL!$C$20, $D$12, 100%, $F$12)</f>
        <v>14.5848</v>
      </c>
      <c r="G480" s="7">
        <f>CHOOSE( CONTROL!$C$37, 13.7105, 13.7088) * CHOOSE( CONTROL!$C$20, $D$12, 100%, $F$12)</f>
        <v>13.7105</v>
      </c>
      <c r="H480" s="4">
        <f>CHOOSE( CONTROL!$C$37, 14.6551, 14.6535) * CHOOSE(CONTROL!$C$20, $D$12, 100%, $F$12)</f>
        <v>14.655099999999999</v>
      </c>
      <c r="I480" s="7">
        <f>CHOOSE( CONTROL!$C$37, 13.5657, 13.5641) * CHOOSE(CONTROL!$C$20, $D$12, 100%, $F$12)</f>
        <v>13.5657</v>
      </c>
      <c r="J480" s="4">
        <f>CHOOSE( CONTROL!$C$37, 13.4347, 13.4331) * CHOOSE(CONTROL!$C$20, $D$12, 100%, $F$12)</f>
        <v>13.434699999999999</v>
      </c>
      <c r="K480" s="4"/>
      <c r="L480" s="8">
        <v>30.7165</v>
      </c>
      <c r="M480" s="8">
        <v>12.063700000000001</v>
      </c>
      <c r="N480" s="8">
        <v>4.9444999999999997</v>
      </c>
      <c r="O480" s="8">
        <v>0.37409999999999999</v>
      </c>
      <c r="P480" s="8">
        <v>1.2927</v>
      </c>
      <c r="Q480" s="8">
        <v>19.942900000000002</v>
      </c>
      <c r="R480" s="8"/>
    </row>
    <row r="481" spans="1:18" ht="14.25" customHeight="1">
      <c r="A481" s="11">
        <v>55762</v>
      </c>
      <c r="B481" s="7">
        <f>CHOOSE( CONTROL!$C$37, 12.7886, 12.7869) * CHOOSE(CONTROL!$C$20, $D$12, 100%, $F$12)</f>
        <v>12.788600000000001</v>
      </c>
      <c r="C481" s="7">
        <f>CHOOSE( CONTROL!$C$37, 12.7966, 12.7949) * CHOOSE(CONTROL!$C$20, $D$12, 100%, $F$12)</f>
        <v>12.7966</v>
      </c>
      <c r="D481" s="7">
        <f>CHOOSE( CONTROL!$C$37, 12.8029, 12.8012) * CHOOSE( CONTROL!$C$20, $D$12, 100%, $F$12)</f>
        <v>12.802899999999999</v>
      </c>
      <c r="E481" s="10">
        <f>CHOOSE( CONTROL!$C$37, 12.7994, 12.7977) * CHOOSE( CONTROL!$C$20, $D$12, 100%, $F$12)</f>
        <v>12.7994</v>
      </c>
      <c r="F481" s="4">
        <f>CHOOSE( CONTROL!$C$37, 13.5139, 13.5122) * CHOOSE(CONTROL!$C$20, $D$12, 100%, $F$12)</f>
        <v>13.5139</v>
      </c>
      <c r="G481" s="7">
        <f>CHOOSE( CONTROL!$C$37, 12.6546, 12.653) * CHOOSE( CONTROL!$C$20, $D$12, 100%, $F$12)</f>
        <v>12.6546</v>
      </c>
      <c r="H481" s="4">
        <f>CHOOSE( CONTROL!$C$37, 13.5992, 13.5975) * CHOOSE(CONTROL!$C$20, $D$12, 100%, $F$12)</f>
        <v>13.5992</v>
      </c>
      <c r="I481" s="7">
        <f>CHOOSE( CONTROL!$C$37, 12.5286, 12.527) * CHOOSE(CONTROL!$C$20, $D$12, 100%, $F$12)</f>
        <v>12.528600000000001</v>
      </c>
      <c r="J481" s="4">
        <f>CHOOSE( CONTROL!$C$37, 12.3978, 12.3962) * CHOOSE(CONTROL!$C$20, $D$12, 100%, $F$12)</f>
        <v>12.3978</v>
      </c>
      <c r="K481" s="4"/>
      <c r="L481" s="8">
        <v>30.7165</v>
      </c>
      <c r="M481" s="8">
        <v>12.063700000000001</v>
      </c>
      <c r="N481" s="8">
        <v>4.9444999999999997</v>
      </c>
      <c r="O481" s="8">
        <v>0.37409999999999999</v>
      </c>
      <c r="P481" s="8">
        <v>1.2927</v>
      </c>
      <c r="Q481" s="8">
        <v>19.942900000000002</v>
      </c>
      <c r="R481" s="8"/>
    </row>
    <row r="482" spans="1:18" ht="14.25" customHeight="1">
      <c r="A482" s="11">
        <v>55792</v>
      </c>
      <c r="B482" s="7">
        <f>CHOOSE( CONTROL!$C$37, 12.5204, 12.5188) * CHOOSE(CONTROL!$C$20, $D$12, 100%, $F$12)</f>
        <v>12.5204</v>
      </c>
      <c r="C482" s="7">
        <f>CHOOSE( CONTROL!$C$37, 12.5284, 12.5268) * CHOOSE(CONTROL!$C$20, $D$12, 100%, $F$12)</f>
        <v>12.5284</v>
      </c>
      <c r="D482" s="7">
        <f>CHOOSE( CONTROL!$C$37, 12.5346, 12.533) * CHOOSE( CONTROL!$C$20, $D$12, 100%, $F$12)</f>
        <v>12.534599999999999</v>
      </c>
      <c r="E482" s="10">
        <f>CHOOSE( CONTROL!$C$37, 12.5311, 12.5295) * CHOOSE( CONTROL!$C$20, $D$12, 100%, $F$12)</f>
        <v>12.5311</v>
      </c>
      <c r="F482" s="4">
        <f>CHOOSE( CONTROL!$C$37, 13.2457, 13.2441) * CHOOSE(CONTROL!$C$20, $D$12, 100%, $F$12)</f>
        <v>13.245699999999999</v>
      </c>
      <c r="G482" s="7">
        <f>CHOOSE( CONTROL!$C$37, 12.3901, 12.3885) * CHOOSE( CONTROL!$C$20, $D$12, 100%, $F$12)</f>
        <v>12.3901</v>
      </c>
      <c r="H482" s="4">
        <f>CHOOSE( CONTROL!$C$37, 13.3348, 13.3331) * CHOOSE(CONTROL!$C$20, $D$12, 100%, $F$12)</f>
        <v>13.3348</v>
      </c>
      <c r="I482" s="7">
        <f>CHOOSE( CONTROL!$C$37, 12.2684, 12.2668) * CHOOSE(CONTROL!$C$20, $D$12, 100%, $F$12)</f>
        <v>12.2684</v>
      </c>
      <c r="J482" s="4">
        <f>CHOOSE( CONTROL!$C$37, 12.1381, 12.1365) * CHOOSE(CONTROL!$C$20, $D$12, 100%, $F$12)</f>
        <v>12.1381</v>
      </c>
      <c r="K482" s="4"/>
      <c r="L482" s="8">
        <v>29.7257</v>
      </c>
      <c r="M482" s="8">
        <v>11.6745</v>
      </c>
      <c r="N482" s="8">
        <v>4.7850000000000001</v>
      </c>
      <c r="O482" s="8">
        <v>0.36199999999999999</v>
      </c>
      <c r="P482" s="8">
        <v>1.2509999999999999</v>
      </c>
      <c r="Q482" s="8">
        <v>19.299600000000002</v>
      </c>
      <c r="R482" s="8"/>
    </row>
    <row r="483" spans="1:18" ht="14.25" customHeight="1">
      <c r="A483" s="11">
        <v>55823</v>
      </c>
      <c r="B483" s="7">
        <f>CHOOSE( CONTROL!$C$37, 13.0749, 13.0738) * CHOOSE(CONTROL!$C$20, $D$12, 100%, $F$12)</f>
        <v>13.0749</v>
      </c>
      <c r="C483" s="7">
        <f>CHOOSE( CONTROL!$C$37, 13.0803, 13.0792) * CHOOSE(CONTROL!$C$20, $D$12, 100%, $F$12)</f>
        <v>13.080299999999999</v>
      </c>
      <c r="D483" s="7">
        <f>CHOOSE( CONTROL!$C$37, 13.0923, 13.0912) * CHOOSE( CONTROL!$C$20, $D$12, 100%, $F$12)</f>
        <v>13.0923</v>
      </c>
      <c r="E483" s="10">
        <f>CHOOSE( CONTROL!$C$37, 13.0878, 13.0867) * CHOOSE( CONTROL!$C$20, $D$12, 100%, $F$12)</f>
        <v>13.0878</v>
      </c>
      <c r="F483" s="4">
        <f>CHOOSE( CONTROL!$C$37, 13.8019, 13.8008) * CHOOSE(CONTROL!$C$20, $D$12, 100%, $F$12)</f>
        <v>13.8019</v>
      </c>
      <c r="G483" s="7">
        <f>CHOOSE( CONTROL!$C$37, 12.9387, 12.9376) * CHOOSE( CONTROL!$C$20, $D$12, 100%, $F$12)</f>
        <v>12.938700000000001</v>
      </c>
      <c r="H483" s="4">
        <f>CHOOSE( CONTROL!$C$37, 13.8832, 13.8822) * CHOOSE(CONTROL!$C$20, $D$12, 100%, $F$12)</f>
        <v>13.8832</v>
      </c>
      <c r="I483" s="7">
        <f>CHOOSE( CONTROL!$C$37, 12.8079, 12.8069) * CHOOSE(CONTROL!$C$20, $D$12, 100%, $F$12)</f>
        <v>12.8079</v>
      </c>
      <c r="J483" s="4">
        <f>CHOOSE( CONTROL!$C$37, 12.6767, 12.6757) * CHOOSE(CONTROL!$C$20, $D$12, 100%, $F$12)</f>
        <v>12.6767</v>
      </c>
      <c r="K483" s="4"/>
      <c r="L483" s="8">
        <v>31.095300000000002</v>
      </c>
      <c r="M483" s="8">
        <v>12.063700000000001</v>
      </c>
      <c r="N483" s="8">
        <v>4.9444999999999997</v>
      </c>
      <c r="O483" s="8">
        <v>0.37409999999999999</v>
      </c>
      <c r="P483" s="8">
        <v>1.2927</v>
      </c>
      <c r="Q483" s="8">
        <v>19.942900000000002</v>
      </c>
      <c r="R483" s="8"/>
    </row>
    <row r="484" spans="1:18" ht="14.25" customHeight="1">
      <c r="A484" s="11">
        <v>55853</v>
      </c>
      <c r="B484" s="7">
        <f>CHOOSE( CONTROL!$C$37, 14.1023, 14.1012) * CHOOSE(CONTROL!$C$20, $D$12, 100%, $F$12)</f>
        <v>14.1023</v>
      </c>
      <c r="C484" s="7">
        <f>CHOOSE( CONTROL!$C$37, 14.1074, 14.1063) * CHOOSE(CONTROL!$C$20, $D$12, 100%, $F$12)</f>
        <v>14.1074</v>
      </c>
      <c r="D484" s="7">
        <f>CHOOSE( CONTROL!$C$37, 14.0858, 14.0847) * CHOOSE( CONTROL!$C$20, $D$12, 100%, $F$12)</f>
        <v>14.085800000000001</v>
      </c>
      <c r="E484" s="10">
        <f>CHOOSE( CONTROL!$C$37, 14.0932, 14.0921) * CHOOSE( CONTROL!$C$20, $D$12, 100%, $F$12)</f>
        <v>14.0932</v>
      </c>
      <c r="F484" s="4">
        <f>CHOOSE( CONTROL!$C$37, 14.7548, 14.7537) * CHOOSE(CONTROL!$C$20, $D$12, 100%, $F$12)</f>
        <v>14.754799999999999</v>
      </c>
      <c r="G484" s="7">
        <f>CHOOSE( CONTROL!$C$37, 13.9382, 13.9371) * CHOOSE( CONTROL!$C$20, $D$12, 100%, $F$12)</f>
        <v>13.9382</v>
      </c>
      <c r="H484" s="4">
        <f>CHOOSE( CONTROL!$C$37, 14.8228, 14.8217) * CHOOSE(CONTROL!$C$20, $D$12, 100%, $F$12)</f>
        <v>14.822800000000001</v>
      </c>
      <c r="I484" s="7">
        <f>CHOOSE( CONTROL!$C$37, 13.8548, 13.8537) * CHOOSE(CONTROL!$C$20, $D$12, 100%, $F$12)</f>
        <v>13.854799999999999</v>
      </c>
      <c r="J484" s="4">
        <f>CHOOSE( CONTROL!$C$37, 13.6719, 13.6708) * CHOOSE(CONTROL!$C$20, $D$12, 100%, $F$12)</f>
        <v>13.671900000000001</v>
      </c>
      <c r="K484" s="4"/>
      <c r="L484" s="8">
        <v>28.360600000000002</v>
      </c>
      <c r="M484" s="8">
        <v>11.6745</v>
      </c>
      <c r="N484" s="8">
        <v>4.7850000000000001</v>
      </c>
      <c r="O484" s="8">
        <v>0.36199999999999999</v>
      </c>
      <c r="P484" s="8">
        <v>1.2509999999999999</v>
      </c>
      <c r="Q484" s="8">
        <v>19.299600000000002</v>
      </c>
      <c r="R484" s="8"/>
    </row>
    <row r="485" spans="1:18" ht="14.25" customHeight="1">
      <c r="A485" s="11">
        <v>55884</v>
      </c>
      <c r="B485" s="7">
        <f>CHOOSE( CONTROL!$C$37, 14.0766, 14.0755) * CHOOSE(CONTROL!$C$20, $D$12, 100%, $F$12)</f>
        <v>14.076599999999999</v>
      </c>
      <c r="C485" s="7">
        <f>CHOOSE( CONTROL!$C$37, 14.0817, 14.0806) * CHOOSE(CONTROL!$C$20, $D$12, 100%, $F$12)</f>
        <v>14.0817</v>
      </c>
      <c r="D485" s="7">
        <f>CHOOSE( CONTROL!$C$37, 14.0617, 14.0606) * CHOOSE( CONTROL!$C$20, $D$12, 100%, $F$12)</f>
        <v>14.0617</v>
      </c>
      <c r="E485" s="10">
        <f>CHOOSE( CONTROL!$C$37, 14.0685, 14.0674) * CHOOSE( CONTROL!$C$20, $D$12, 100%, $F$12)</f>
        <v>14.0685</v>
      </c>
      <c r="F485" s="4">
        <f>CHOOSE( CONTROL!$C$37, 14.7291, 14.728) * CHOOSE(CONTROL!$C$20, $D$12, 100%, $F$12)</f>
        <v>14.729100000000001</v>
      </c>
      <c r="G485" s="7">
        <f>CHOOSE( CONTROL!$C$37, 13.914, 13.9129) * CHOOSE( CONTROL!$C$20, $D$12, 100%, $F$12)</f>
        <v>13.914</v>
      </c>
      <c r="H485" s="4">
        <f>CHOOSE( CONTROL!$C$37, 14.7975, 14.7964) * CHOOSE(CONTROL!$C$20, $D$12, 100%, $F$12)</f>
        <v>14.797499999999999</v>
      </c>
      <c r="I485" s="7">
        <f>CHOOSE( CONTROL!$C$37, 13.8348, 13.8337) * CHOOSE(CONTROL!$C$20, $D$12, 100%, $F$12)</f>
        <v>13.8348</v>
      </c>
      <c r="J485" s="4">
        <f>CHOOSE( CONTROL!$C$37, 13.647, 13.646) * CHOOSE(CONTROL!$C$20, $D$12, 100%, $F$12)</f>
        <v>13.647</v>
      </c>
      <c r="K485" s="4"/>
      <c r="L485" s="8">
        <v>29.306000000000001</v>
      </c>
      <c r="M485" s="8">
        <v>12.063700000000001</v>
      </c>
      <c r="N485" s="8">
        <v>4.9444999999999997</v>
      </c>
      <c r="O485" s="8">
        <v>0.37409999999999999</v>
      </c>
      <c r="P485" s="8">
        <v>1.2927</v>
      </c>
      <c r="Q485" s="8">
        <v>19.942900000000002</v>
      </c>
      <c r="R485" s="8"/>
    </row>
    <row r="486" spans="1:18" ht="14.25" customHeight="1">
      <c r="A486" s="11">
        <v>55915</v>
      </c>
      <c r="B486" s="7">
        <f>CHOOSE( CONTROL!$C$37, 14.4923, 14.4912) * CHOOSE(CONTROL!$C$20, $D$12, 100%, $F$12)</f>
        <v>14.4923</v>
      </c>
      <c r="C486" s="7">
        <f>CHOOSE( CONTROL!$C$37, 14.4974, 14.4963) * CHOOSE(CONTROL!$C$20, $D$12, 100%, $F$12)</f>
        <v>14.497400000000001</v>
      </c>
      <c r="D486" s="7">
        <f>CHOOSE( CONTROL!$C$37, 14.4905, 14.4894) * CHOOSE( CONTROL!$C$20, $D$12, 100%, $F$12)</f>
        <v>14.490500000000001</v>
      </c>
      <c r="E486" s="10">
        <f>CHOOSE( CONTROL!$C$37, 14.4925, 14.4914) * CHOOSE( CONTROL!$C$20, $D$12, 100%, $F$12)</f>
        <v>14.4925</v>
      </c>
      <c r="F486" s="4">
        <f>CHOOSE( CONTROL!$C$37, 15.1448, 15.1437) * CHOOSE(CONTROL!$C$20, $D$12, 100%, $F$12)</f>
        <v>15.1448</v>
      </c>
      <c r="G486" s="7">
        <f>CHOOSE( CONTROL!$C$37, 14.3284, 14.3273) * CHOOSE( CONTROL!$C$20, $D$12, 100%, $F$12)</f>
        <v>14.3284</v>
      </c>
      <c r="H486" s="4">
        <f>CHOOSE( CONTROL!$C$37, 15.2074, 15.2063) * CHOOSE(CONTROL!$C$20, $D$12, 100%, $F$12)</f>
        <v>15.2074</v>
      </c>
      <c r="I486" s="7">
        <f>CHOOSE( CONTROL!$C$37, 14.2088, 14.2077) * CHOOSE(CONTROL!$C$20, $D$12, 100%, $F$12)</f>
        <v>14.2088</v>
      </c>
      <c r="J486" s="4">
        <f>CHOOSE( CONTROL!$C$37, 14.0495, 14.0485) * CHOOSE(CONTROL!$C$20, $D$12, 100%, $F$12)</f>
        <v>14.0495</v>
      </c>
      <c r="K486" s="4"/>
      <c r="L486" s="8">
        <v>29.306000000000001</v>
      </c>
      <c r="M486" s="8">
        <v>12.063700000000001</v>
      </c>
      <c r="N486" s="8">
        <v>4.9444999999999997</v>
      </c>
      <c r="O486" s="8">
        <v>0.37409999999999999</v>
      </c>
      <c r="P486" s="8">
        <v>1.2927</v>
      </c>
      <c r="Q486" s="8">
        <v>19.877800000000001</v>
      </c>
      <c r="R486" s="8"/>
    </row>
    <row r="487" spans="1:18" ht="14.25" customHeight="1">
      <c r="A487" s="11">
        <v>55943</v>
      </c>
      <c r="B487" s="7">
        <f>CHOOSE( CONTROL!$C$37, 13.5543, 13.5532) * CHOOSE(CONTROL!$C$20, $D$12, 100%, $F$12)</f>
        <v>13.5543</v>
      </c>
      <c r="C487" s="7">
        <f>CHOOSE( CONTROL!$C$37, 13.5594, 13.5583) * CHOOSE(CONTROL!$C$20, $D$12, 100%, $F$12)</f>
        <v>13.5594</v>
      </c>
      <c r="D487" s="7">
        <f>CHOOSE( CONTROL!$C$37, 13.5524, 13.5514) * CHOOSE( CONTROL!$C$20, $D$12, 100%, $F$12)</f>
        <v>13.5524</v>
      </c>
      <c r="E487" s="10">
        <f>CHOOSE( CONTROL!$C$37, 13.5544, 13.5534) * CHOOSE( CONTROL!$C$20, $D$12, 100%, $F$12)</f>
        <v>13.554399999999999</v>
      </c>
      <c r="F487" s="4">
        <f>CHOOSE( CONTROL!$C$37, 14.2069, 14.2058) * CHOOSE(CONTROL!$C$20, $D$12, 100%, $F$12)</f>
        <v>14.206899999999999</v>
      </c>
      <c r="G487" s="7">
        <f>CHOOSE( CONTROL!$C$37, 13.4035, 13.4024) * CHOOSE( CONTROL!$C$20, $D$12, 100%, $F$12)</f>
        <v>13.403499999999999</v>
      </c>
      <c r="H487" s="4">
        <f>CHOOSE( CONTROL!$C$37, 14.2825, 14.2814) * CHOOSE(CONTROL!$C$20, $D$12, 100%, $F$12)</f>
        <v>14.282500000000001</v>
      </c>
      <c r="I487" s="7">
        <f>CHOOSE( CONTROL!$C$37, 13.2998, 13.2988) * CHOOSE(CONTROL!$C$20, $D$12, 100%, $F$12)</f>
        <v>13.299799999999999</v>
      </c>
      <c r="J487" s="4">
        <f>CHOOSE( CONTROL!$C$37, 13.1413, 13.1403) * CHOOSE(CONTROL!$C$20, $D$12, 100%, $F$12)</f>
        <v>13.141299999999999</v>
      </c>
      <c r="K487" s="4"/>
      <c r="L487" s="8">
        <v>26.469899999999999</v>
      </c>
      <c r="M487" s="8">
        <v>10.8962</v>
      </c>
      <c r="N487" s="8">
        <v>4.4660000000000002</v>
      </c>
      <c r="O487" s="8">
        <v>0.33789999999999998</v>
      </c>
      <c r="P487" s="8">
        <v>1.1676</v>
      </c>
      <c r="Q487" s="8">
        <v>17.9542</v>
      </c>
      <c r="R487" s="8"/>
    </row>
    <row r="488" spans="1:18" ht="14.25" customHeight="1">
      <c r="A488" s="11">
        <v>55974</v>
      </c>
      <c r="B488" s="7">
        <f>CHOOSE( CONTROL!$C$37, 13.2654, 13.2644) * CHOOSE(CONTROL!$C$20, $D$12, 100%, $F$12)</f>
        <v>13.2654</v>
      </c>
      <c r="C488" s="7">
        <f>CHOOSE( CONTROL!$C$37, 13.2705, 13.2695) * CHOOSE(CONTROL!$C$20, $D$12, 100%, $F$12)</f>
        <v>13.2705</v>
      </c>
      <c r="D488" s="7">
        <f>CHOOSE( CONTROL!$C$37, 13.2629, 13.2619) * CHOOSE( CONTROL!$C$20, $D$12, 100%, $F$12)</f>
        <v>13.2629</v>
      </c>
      <c r="E488" s="10">
        <f>CHOOSE( CONTROL!$C$37, 13.2651, 13.2641) * CHOOSE( CONTROL!$C$20, $D$12, 100%, $F$12)</f>
        <v>13.2651</v>
      </c>
      <c r="F488" s="4">
        <f>CHOOSE( CONTROL!$C$37, 13.918, 13.9169) * CHOOSE(CONTROL!$C$20, $D$12, 100%, $F$12)</f>
        <v>13.917999999999999</v>
      </c>
      <c r="G488" s="7">
        <f>CHOOSE( CONTROL!$C$37, 13.1182, 13.1171) * CHOOSE( CONTROL!$C$20, $D$12, 100%, $F$12)</f>
        <v>13.1182</v>
      </c>
      <c r="H488" s="4">
        <f>CHOOSE( CONTROL!$C$37, 13.9977, 13.9966) * CHOOSE(CONTROL!$C$20, $D$12, 100%, $F$12)</f>
        <v>13.9977</v>
      </c>
      <c r="I488" s="7">
        <f>CHOOSE( CONTROL!$C$37, 13.018, 13.017) * CHOOSE(CONTROL!$C$20, $D$12, 100%, $F$12)</f>
        <v>13.018000000000001</v>
      </c>
      <c r="J488" s="4">
        <f>CHOOSE( CONTROL!$C$37, 12.8616, 12.8605) * CHOOSE(CONTROL!$C$20, $D$12, 100%, $F$12)</f>
        <v>12.861599999999999</v>
      </c>
      <c r="K488" s="4"/>
      <c r="L488" s="8">
        <v>29.306000000000001</v>
      </c>
      <c r="M488" s="8">
        <v>12.063700000000001</v>
      </c>
      <c r="N488" s="8">
        <v>4.9444999999999997</v>
      </c>
      <c r="O488" s="8">
        <v>0.37409999999999999</v>
      </c>
      <c r="P488" s="8">
        <v>1.2927</v>
      </c>
      <c r="Q488" s="8">
        <v>19.877800000000001</v>
      </c>
      <c r="R488" s="8"/>
    </row>
    <row r="489" spans="1:18" ht="14.25" customHeight="1">
      <c r="A489" s="11">
        <v>56004</v>
      </c>
      <c r="B489" s="7">
        <f>CHOOSE( CONTROL!$C$37, 13.4681, 13.467) * CHOOSE(CONTROL!$C$20, $D$12, 100%, $F$12)</f>
        <v>13.4681</v>
      </c>
      <c r="C489" s="7">
        <f>CHOOSE( CONTROL!$C$37, 13.4726, 13.4715) * CHOOSE(CONTROL!$C$20, $D$12, 100%, $F$12)</f>
        <v>13.4726</v>
      </c>
      <c r="D489" s="7">
        <f>CHOOSE( CONTROL!$C$37, 13.4844, 13.4833) * CHOOSE( CONTROL!$C$20, $D$12, 100%, $F$12)</f>
        <v>13.484400000000001</v>
      </c>
      <c r="E489" s="10">
        <f>CHOOSE( CONTROL!$C$37, 13.48, 13.4789) * CHOOSE( CONTROL!$C$20, $D$12, 100%, $F$12)</f>
        <v>13.48</v>
      </c>
      <c r="F489" s="4">
        <f>CHOOSE( CONTROL!$C$37, 14.1947, 14.1936) * CHOOSE(CONTROL!$C$20, $D$12, 100%, $F$12)</f>
        <v>14.194699999999999</v>
      </c>
      <c r="G489" s="7">
        <f>CHOOSE( CONTROL!$C$37, 13.3255, 13.3244) * CHOOSE( CONTROL!$C$20, $D$12, 100%, $F$12)</f>
        <v>13.3255</v>
      </c>
      <c r="H489" s="4">
        <f>CHOOSE( CONTROL!$C$37, 14.2705, 14.2695) * CHOOSE(CONTROL!$C$20, $D$12, 100%, $F$12)</f>
        <v>14.2705</v>
      </c>
      <c r="I489" s="7">
        <f>CHOOSE( CONTROL!$C$37, 13.1862, 13.1851) * CHOOSE(CONTROL!$C$20, $D$12, 100%, $F$12)</f>
        <v>13.186199999999999</v>
      </c>
      <c r="J489" s="4">
        <f>CHOOSE( CONTROL!$C$37, 13.0571, 13.056) * CHOOSE(CONTROL!$C$20, $D$12, 100%, $F$12)</f>
        <v>13.0571</v>
      </c>
      <c r="K489" s="4"/>
      <c r="L489" s="8">
        <v>30.092199999999998</v>
      </c>
      <c r="M489" s="8">
        <v>11.6745</v>
      </c>
      <c r="N489" s="8">
        <v>4.7850000000000001</v>
      </c>
      <c r="O489" s="8">
        <v>0.36199999999999999</v>
      </c>
      <c r="P489" s="8">
        <v>1.2509999999999999</v>
      </c>
      <c r="Q489" s="8">
        <v>19.236599999999999</v>
      </c>
      <c r="R489" s="8"/>
    </row>
    <row r="490" spans="1:18" ht="14.25" customHeight="1">
      <c r="A490" s="11">
        <v>56035</v>
      </c>
      <c r="B490" s="7">
        <f>CHOOSE( CONTROL!$C$37, 13.8293, 13.8276) * CHOOSE(CONTROL!$C$20, $D$12, 100%, $F$12)</f>
        <v>13.8293</v>
      </c>
      <c r="C490" s="7">
        <f>CHOOSE( CONTROL!$C$37, 13.8373, 13.8356) * CHOOSE(CONTROL!$C$20, $D$12, 100%, $F$12)</f>
        <v>13.837300000000001</v>
      </c>
      <c r="D490" s="7">
        <f>CHOOSE( CONTROL!$C$37, 13.8429, 13.8413) * CHOOSE( CONTROL!$C$20, $D$12, 100%, $F$12)</f>
        <v>13.8429</v>
      </c>
      <c r="E490" s="10">
        <f>CHOOSE( CONTROL!$C$37, 13.8397, 13.838) * CHOOSE( CONTROL!$C$20, $D$12, 100%, $F$12)</f>
        <v>13.839700000000001</v>
      </c>
      <c r="F490" s="4">
        <f>CHOOSE( CONTROL!$C$37, 14.5546, 14.5529) * CHOOSE(CONTROL!$C$20, $D$12, 100%, $F$12)</f>
        <v>14.554600000000001</v>
      </c>
      <c r="G490" s="7">
        <f>CHOOSE( CONTROL!$C$37, 13.6803, 13.6786) * CHOOSE( CONTROL!$C$20, $D$12, 100%, $F$12)</f>
        <v>13.680300000000001</v>
      </c>
      <c r="H490" s="4">
        <f>CHOOSE( CONTROL!$C$37, 14.6254, 14.6237) * CHOOSE(CONTROL!$C$20, $D$12, 100%, $F$12)</f>
        <v>14.625400000000001</v>
      </c>
      <c r="I490" s="7">
        <f>CHOOSE( CONTROL!$C$37, 13.5345, 13.5329) * CHOOSE(CONTROL!$C$20, $D$12, 100%, $F$12)</f>
        <v>13.5345</v>
      </c>
      <c r="J490" s="4">
        <f>CHOOSE( CONTROL!$C$37, 13.4055, 13.4039) * CHOOSE(CONTROL!$C$20, $D$12, 100%, $F$12)</f>
        <v>13.4055</v>
      </c>
      <c r="K490" s="4"/>
      <c r="L490" s="8">
        <v>30.7165</v>
      </c>
      <c r="M490" s="8">
        <v>12.063700000000001</v>
      </c>
      <c r="N490" s="8">
        <v>4.9444999999999997</v>
      </c>
      <c r="O490" s="8">
        <v>0.37409999999999999</v>
      </c>
      <c r="P490" s="8">
        <v>1.2927</v>
      </c>
      <c r="Q490" s="8">
        <v>19.877800000000001</v>
      </c>
      <c r="R490" s="8"/>
    </row>
    <row r="491" spans="1:18" ht="14.25" customHeight="1">
      <c r="A491" s="11">
        <v>56065</v>
      </c>
      <c r="B491" s="7">
        <f>CHOOSE( CONTROL!$C$37, 13.6067, 13.6051) * CHOOSE(CONTROL!$C$20, $D$12, 100%, $F$12)</f>
        <v>13.6067</v>
      </c>
      <c r="C491" s="7">
        <f>CHOOSE( CONTROL!$C$37, 13.6147, 13.6131) * CHOOSE(CONTROL!$C$20, $D$12, 100%, $F$12)</f>
        <v>13.614699999999999</v>
      </c>
      <c r="D491" s="7">
        <f>CHOOSE( CONTROL!$C$37, 13.6207, 13.619) * CHOOSE( CONTROL!$C$20, $D$12, 100%, $F$12)</f>
        <v>13.620699999999999</v>
      </c>
      <c r="E491" s="10">
        <f>CHOOSE( CONTROL!$C$37, 13.6173, 13.6156) * CHOOSE( CONTROL!$C$20, $D$12, 100%, $F$12)</f>
        <v>13.6173</v>
      </c>
      <c r="F491" s="4">
        <f>CHOOSE( CONTROL!$C$37, 14.332, 14.3304) * CHOOSE(CONTROL!$C$20, $D$12, 100%, $F$12)</f>
        <v>14.332000000000001</v>
      </c>
      <c r="G491" s="7">
        <f>CHOOSE( CONTROL!$C$37, 13.461, 13.4594) * CHOOSE( CONTROL!$C$20, $D$12, 100%, $F$12)</f>
        <v>13.461</v>
      </c>
      <c r="H491" s="4">
        <f>CHOOSE( CONTROL!$C$37, 14.4059, 14.4043) * CHOOSE(CONTROL!$C$20, $D$12, 100%, $F$12)</f>
        <v>14.405900000000001</v>
      </c>
      <c r="I491" s="7">
        <f>CHOOSE( CONTROL!$C$37, 13.3199, 13.3182) * CHOOSE(CONTROL!$C$20, $D$12, 100%, $F$12)</f>
        <v>13.319900000000001</v>
      </c>
      <c r="J491" s="4">
        <f>CHOOSE( CONTROL!$C$37, 13.19, 13.1884) * CHOOSE(CONTROL!$C$20, $D$12, 100%, $F$12)</f>
        <v>13.19</v>
      </c>
      <c r="K491" s="4"/>
      <c r="L491" s="8">
        <v>29.7257</v>
      </c>
      <c r="M491" s="8">
        <v>11.6745</v>
      </c>
      <c r="N491" s="8">
        <v>4.7850000000000001</v>
      </c>
      <c r="O491" s="8">
        <v>0.36199999999999999</v>
      </c>
      <c r="P491" s="8">
        <v>1.2509999999999999</v>
      </c>
      <c r="Q491" s="8">
        <v>19.236599999999999</v>
      </c>
      <c r="R491" s="8"/>
    </row>
    <row r="492" spans="1:18" ht="14.25" customHeight="1">
      <c r="A492" s="11">
        <v>56096</v>
      </c>
      <c r="B492" s="7">
        <f>CHOOSE( CONTROL!$C$37, 14.1928, 14.1911) * CHOOSE(CONTROL!$C$20, $D$12, 100%, $F$12)</f>
        <v>14.1928</v>
      </c>
      <c r="C492" s="7">
        <f>CHOOSE( CONTROL!$C$37, 14.2008, 14.1991) * CHOOSE(CONTROL!$C$20, $D$12, 100%, $F$12)</f>
        <v>14.200799999999999</v>
      </c>
      <c r="D492" s="7">
        <f>CHOOSE( CONTROL!$C$37, 14.207, 14.2054) * CHOOSE( CONTROL!$C$20, $D$12, 100%, $F$12)</f>
        <v>14.207000000000001</v>
      </c>
      <c r="E492" s="10">
        <f>CHOOSE( CONTROL!$C$37, 14.2035, 14.2019) * CHOOSE( CONTROL!$C$20, $D$12, 100%, $F$12)</f>
        <v>14.2035</v>
      </c>
      <c r="F492" s="4">
        <f>CHOOSE( CONTROL!$C$37, 14.9181, 14.9164) * CHOOSE(CONTROL!$C$20, $D$12, 100%, $F$12)</f>
        <v>14.918100000000001</v>
      </c>
      <c r="G492" s="7">
        <f>CHOOSE( CONTROL!$C$37, 14.0392, 14.0375) * CHOOSE( CONTROL!$C$20, $D$12, 100%, $F$12)</f>
        <v>14.039199999999999</v>
      </c>
      <c r="H492" s="4">
        <f>CHOOSE( CONTROL!$C$37, 14.9838, 14.9822) * CHOOSE(CONTROL!$C$20, $D$12, 100%, $F$12)</f>
        <v>14.9838</v>
      </c>
      <c r="I492" s="7">
        <f>CHOOSE( CONTROL!$C$37, 13.8887, 13.8871) * CHOOSE(CONTROL!$C$20, $D$12, 100%, $F$12)</f>
        <v>13.8887</v>
      </c>
      <c r="J492" s="4">
        <f>CHOOSE( CONTROL!$C$37, 13.7575, 13.7559) * CHOOSE(CONTROL!$C$20, $D$12, 100%, $F$12)</f>
        <v>13.7575</v>
      </c>
      <c r="K492" s="4"/>
      <c r="L492" s="8">
        <v>30.7165</v>
      </c>
      <c r="M492" s="8">
        <v>12.063700000000001</v>
      </c>
      <c r="N492" s="8">
        <v>4.9444999999999997</v>
      </c>
      <c r="O492" s="8">
        <v>0.37409999999999999</v>
      </c>
      <c r="P492" s="8">
        <v>1.2927</v>
      </c>
      <c r="Q492" s="8">
        <v>19.877800000000001</v>
      </c>
      <c r="R492" s="8"/>
    </row>
    <row r="493" spans="1:18" ht="14.25" customHeight="1">
      <c r="A493" s="11">
        <v>56127</v>
      </c>
      <c r="B493" s="7">
        <f>CHOOSE( CONTROL!$C$37, 13.0962, 13.0945) * CHOOSE(CONTROL!$C$20, $D$12, 100%, $F$12)</f>
        <v>13.0962</v>
      </c>
      <c r="C493" s="7">
        <f>CHOOSE( CONTROL!$C$37, 13.1042, 13.1025) * CHOOSE(CONTROL!$C$20, $D$12, 100%, $F$12)</f>
        <v>13.104200000000001</v>
      </c>
      <c r="D493" s="7">
        <f>CHOOSE( CONTROL!$C$37, 13.1105, 13.1088) * CHOOSE( CONTROL!$C$20, $D$12, 100%, $F$12)</f>
        <v>13.1105</v>
      </c>
      <c r="E493" s="10">
        <f>CHOOSE( CONTROL!$C$37, 13.107, 13.1053) * CHOOSE( CONTROL!$C$20, $D$12, 100%, $F$12)</f>
        <v>13.106999999999999</v>
      </c>
      <c r="F493" s="4">
        <f>CHOOSE( CONTROL!$C$37, 13.8215, 13.8198) * CHOOSE(CONTROL!$C$20, $D$12, 100%, $F$12)</f>
        <v>13.8215</v>
      </c>
      <c r="G493" s="7">
        <f>CHOOSE( CONTROL!$C$37, 12.9579, 12.9563) * CHOOSE( CONTROL!$C$20, $D$12, 100%, $F$12)</f>
        <v>12.9579</v>
      </c>
      <c r="H493" s="4">
        <f>CHOOSE( CONTROL!$C$37, 13.9025, 13.9009) * CHOOSE(CONTROL!$C$20, $D$12, 100%, $F$12)</f>
        <v>13.9025</v>
      </c>
      <c r="I493" s="7">
        <f>CHOOSE( CONTROL!$C$37, 12.8266, 12.825) * CHOOSE(CONTROL!$C$20, $D$12, 100%, $F$12)</f>
        <v>12.826599999999999</v>
      </c>
      <c r="J493" s="4">
        <f>CHOOSE( CONTROL!$C$37, 12.6956, 12.694) * CHOOSE(CONTROL!$C$20, $D$12, 100%, $F$12)</f>
        <v>12.695600000000001</v>
      </c>
      <c r="K493" s="4"/>
      <c r="L493" s="8">
        <v>30.7165</v>
      </c>
      <c r="M493" s="8">
        <v>12.063700000000001</v>
      </c>
      <c r="N493" s="8">
        <v>4.9444999999999997</v>
      </c>
      <c r="O493" s="8">
        <v>0.37409999999999999</v>
      </c>
      <c r="P493" s="8">
        <v>1.2927</v>
      </c>
      <c r="Q493" s="8">
        <v>19.877800000000001</v>
      </c>
      <c r="R493" s="8"/>
    </row>
    <row r="494" spans="1:18" ht="14.25" customHeight="1">
      <c r="A494" s="11">
        <v>56157</v>
      </c>
      <c r="B494" s="7">
        <f>CHOOSE( CONTROL!$C$37, 12.8216, 12.8199) * CHOOSE(CONTROL!$C$20, $D$12, 100%, $F$12)</f>
        <v>12.8216</v>
      </c>
      <c r="C494" s="7">
        <f>CHOOSE( CONTROL!$C$37, 12.8296, 12.8279) * CHOOSE(CONTROL!$C$20, $D$12, 100%, $F$12)</f>
        <v>12.829599999999999</v>
      </c>
      <c r="D494" s="7">
        <f>CHOOSE( CONTROL!$C$37, 12.8358, 12.8341) * CHOOSE( CONTROL!$C$20, $D$12, 100%, $F$12)</f>
        <v>12.835800000000001</v>
      </c>
      <c r="E494" s="10">
        <f>CHOOSE( CONTROL!$C$37, 12.8323, 12.8306) * CHOOSE( CONTROL!$C$20, $D$12, 100%, $F$12)</f>
        <v>12.8323</v>
      </c>
      <c r="F494" s="4">
        <f>CHOOSE( CONTROL!$C$37, 13.5469, 13.5452) * CHOOSE(CONTROL!$C$20, $D$12, 100%, $F$12)</f>
        <v>13.546900000000001</v>
      </c>
      <c r="G494" s="7">
        <f>CHOOSE( CONTROL!$C$37, 12.6871, 12.6854) * CHOOSE( CONTROL!$C$20, $D$12, 100%, $F$12)</f>
        <v>12.687099999999999</v>
      </c>
      <c r="H494" s="4">
        <f>CHOOSE( CONTROL!$C$37, 13.6317, 13.6301) * CHOOSE(CONTROL!$C$20, $D$12, 100%, $F$12)</f>
        <v>13.6317</v>
      </c>
      <c r="I494" s="7">
        <f>CHOOSE( CONTROL!$C$37, 12.5602, 12.5586) * CHOOSE(CONTROL!$C$20, $D$12, 100%, $F$12)</f>
        <v>12.5602</v>
      </c>
      <c r="J494" s="4">
        <f>CHOOSE( CONTROL!$C$37, 12.4297, 12.4281) * CHOOSE(CONTROL!$C$20, $D$12, 100%, $F$12)</f>
        <v>12.4297</v>
      </c>
      <c r="K494" s="4"/>
      <c r="L494" s="8">
        <v>29.7257</v>
      </c>
      <c r="M494" s="8">
        <v>11.6745</v>
      </c>
      <c r="N494" s="8">
        <v>4.7850000000000001</v>
      </c>
      <c r="O494" s="8">
        <v>0.36199999999999999</v>
      </c>
      <c r="P494" s="8">
        <v>1.2509999999999999</v>
      </c>
      <c r="Q494" s="8">
        <v>19.236599999999999</v>
      </c>
      <c r="R494" s="8"/>
    </row>
    <row r="495" spans="1:18" ht="14.25" customHeight="1">
      <c r="A495" s="11">
        <v>56188</v>
      </c>
      <c r="B495" s="7">
        <f>CHOOSE( CONTROL!$C$37, 13.3895, 13.3884) * CHOOSE(CONTROL!$C$20, $D$12, 100%, $F$12)</f>
        <v>13.3895</v>
      </c>
      <c r="C495" s="7">
        <f>CHOOSE( CONTROL!$C$37, 13.3948, 13.3937) * CHOOSE(CONTROL!$C$20, $D$12, 100%, $F$12)</f>
        <v>13.3948</v>
      </c>
      <c r="D495" s="7">
        <f>CHOOSE( CONTROL!$C$37, 13.4068, 13.4057) * CHOOSE( CONTROL!$C$20, $D$12, 100%, $F$12)</f>
        <v>13.4068</v>
      </c>
      <c r="E495" s="10">
        <f>CHOOSE( CONTROL!$C$37, 13.4023, 13.4012) * CHOOSE( CONTROL!$C$20, $D$12, 100%, $F$12)</f>
        <v>13.4023</v>
      </c>
      <c r="F495" s="4">
        <f>CHOOSE( CONTROL!$C$37, 14.1165, 14.1154) * CHOOSE(CONTROL!$C$20, $D$12, 100%, $F$12)</f>
        <v>14.1165</v>
      </c>
      <c r="G495" s="7">
        <f>CHOOSE( CONTROL!$C$37, 13.2488, 13.2478) * CHOOSE( CONTROL!$C$20, $D$12, 100%, $F$12)</f>
        <v>13.248799999999999</v>
      </c>
      <c r="H495" s="4">
        <f>CHOOSE( CONTROL!$C$37, 14.1934, 14.1923) * CHOOSE(CONTROL!$C$20, $D$12, 100%, $F$12)</f>
        <v>14.1934</v>
      </c>
      <c r="I495" s="7">
        <f>CHOOSE( CONTROL!$C$37, 13.1127, 13.1116) * CHOOSE(CONTROL!$C$20, $D$12, 100%, $F$12)</f>
        <v>13.1127</v>
      </c>
      <c r="J495" s="4">
        <f>CHOOSE( CONTROL!$C$37, 12.9813, 12.9802) * CHOOSE(CONTROL!$C$20, $D$12, 100%, $F$12)</f>
        <v>12.981299999999999</v>
      </c>
      <c r="K495" s="4"/>
      <c r="L495" s="8">
        <v>31.095300000000002</v>
      </c>
      <c r="M495" s="8">
        <v>12.063700000000001</v>
      </c>
      <c r="N495" s="8">
        <v>4.9444999999999997</v>
      </c>
      <c r="O495" s="8">
        <v>0.37409999999999999</v>
      </c>
      <c r="P495" s="8">
        <v>1.2927</v>
      </c>
      <c r="Q495" s="8">
        <v>19.877800000000001</v>
      </c>
      <c r="R495" s="8"/>
    </row>
    <row r="496" spans="1:18" ht="14.25" customHeight="1">
      <c r="A496" s="11">
        <v>56218</v>
      </c>
      <c r="B496" s="7">
        <f>CHOOSE( CONTROL!$C$37, 14.4415, 14.4404) * CHOOSE(CONTROL!$C$20, $D$12, 100%, $F$12)</f>
        <v>14.4415</v>
      </c>
      <c r="C496" s="7">
        <f>CHOOSE( CONTROL!$C$37, 14.4466, 14.4455) * CHOOSE(CONTROL!$C$20, $D$12, 100%, $F$12)</f>
        <v>14.4466</v>
      </c>
      <c r="D496" s="7">
        <f>CHOOSE( CONTROL!$C$37, 14.425, 14.424) * CHOOSE( CONTROL!$C$20, $D$12, 100%, $F$12)</f>
        <v>14.425000000000001</v>
      </c>
      <c r="E496" s="10">
        <f>CHOOSE( CONTROL!$C$37, 14.4324, 14.4313) * CHOOSE( CONTROL!$C$20, $D$12, 100%, $F$12)</f>
        <v>14.432399999999999</v>
      </c>
      <c r="F496" s="4">
        <f>CHOOSE( CONTROL!$C$37, 15.094, 15.0929) * CHOOSE(CONTROL!$C$20, $D$12, 100%, $F$12)</f>
        <v>15.093999999999999</v>
      </c>
      <c r="G496" s="7">
        <f>CHOOSE( CONTROL!$C$37, 14.2727, 14.2716) * CHOOSE( CONTROL!$C$20, $D$12, 100%, $F$12)</f>
        <v>14.2727</v>
      </c>
      <c r="H496" s="4">
        <f>CHOOSE( CONTROL!$C$37, 15.1573, 15.1562) * CHOOSE(CONTROL!$C$20, $D$12, 100%, $F$12)</f>
        <v>15.157299999999999</v>
      </c>
      <c r="I496" s="7">
        <f>CHOOSE( CONTROL!$C$37, 14.1834, 14.1823) * CHOOSE(CONTROL!$C$20, $D$12, 100%, $F$12)</f>
        <v>14.183400000000001</v>
      </c>
      <c r="J496" s="4">
        <f>CHOOSE( CONTROL!$C$37, 14.0003, 13.9993) * CHOOSE(CONTROL!$C$20, $D$12, 100%, $F$12)</f>
        <v>14.000299999999999</v>
      </c>
      <c r="K496" s="4"/>
      <c r="L496" s="8">
        <v>28.360600000000002</v>
      </c>
      <c r="M496" s="8">
        <v>11.6745</v>
      </c>
      <c r="N496" s="8">
        <v>4.7850000000000001</v>
      </c>
      <c r="O496" s="8">
        <v>0.36199999999999999</v>
      </c>
      <c r="P496" s="8">
        <v>1.2509999999999999</v>
      </c>
      <c r="Q496" s="8">
        <v>19.236599999999999</v>
      </c>
      <c r="R496" s="8"/>
    </row>
    <row r="497" spans="1:18" ht="14.25" customHeight="1">
      <c r="A497" s="11">
        <v>56249</v>
      </c>
      <c r="B497" s="7">
        <f>CHOOSE( CONTROL!$C$37, 14.4152, 14.4141) * CHOOSE(CONTROL!$C$20, $D$12, 100%, $F$12)</f>
        <v>14.4152</v>
      </c>
      <c r="C497" s="7">
        <f>CHOOSE( CONTROL!$C$37, 14.4203, 14.4192) * CHOOSE(CONTROL!$C$20, $D$12, 100%, $F$12)</f>
        <v>14.420299999999999</v>
      </c>
      <c r="D497" s="7">
        <f>CHOOSE( CONTROL!$C$37, 14.4003, 14.3992) * CHOOSE( CONTROL!$C$20, $D$12, 100%, $F$12)</f>
        <v>14.4003</v>
      </c>
      <c r="E497" s="10">
        <f>CHOOSE( CONTROL!$C$37, 14.4071, 14.406) * CHOOSE( CONTROL!$C$20, $D$12, 100%, $F$12)</f>
        <v>14.4071</v>
      </c>
      <c r="F497" s="4">
        <f>CHOOSE( CONTROL!$C$37, 15.0677, 15.0666) * CHOOSE(CONTROL!$C$20, $D$12, 100%, $F$12)</f>
        <v>15.0677</v>
      </c>
      <c r="G497" s="7">
        <f>CHOOSE( CONTROL!$C$37, 14.2479, 14.2468) * CHOOSE( CONTROL!$C$20, $D$12, 100%, $F$12)</f>
        <v>14.2479</v>
      </c>
      <c r="H497" s="4">
        <f>CHOOSE( CONTROL!$C$37, 15.1314, 15.1303) * CHOOSE(CONTROL!$C$20, $D$12, 100%, $F$12)</f>
        <v>15.131399999999999</v>
      </c>
      <c r="I497" s="7">
        <f>CHOOSE( CONTROL!$C$37, 14.1628, 14.1617) * CHOOSE(CONTROL!$C$20, $D$12, 100%, $F$12)</f>
        <v>14.162800000000001</v>
      </c>
      <c r="J497" s="4">
        <f>CHOOSE( CONTROL!$C$37, 13.9749, 13.9738) * CHOOSE(CONTROL!$C$20, $D$12, 100%, $F$12)</f>
        <v>13.9749</v>
      </c>
      <c r="K497" s="4"/>
      <c r="L497" s="8">
        <v>29.306000000000001</v>
      </c>
      <c r="M497" s="8">
        <v>12.063700000000001</v>
      </c>
      <c r="N497" s="8">
        <v>4.9444999999999997</v>
      </c>
      <c r="O497" s="8">
        <v>0.37409999999999999</v>
      </c>
      <c r="P497" s="8">
        <v>1.2927</v>
      </c>
      <c r="Q497" s="8">
        <v>19.877800000000001</v>
      </c>
      <c r="R497" s="8"/>
    </row>
    <row r="498" spans="1:18" ht="14.25" customHeight="1">
      <c r="A498" s="11">
        <v>56280</v>
      </c>
      <c r="B498" s="7">
        <f>CHOOSE( CONTROL!$C$37, 14.8409, 14.8398) * CHOOSE(CONTROL!$C$20, $D$12, 100%, $F$12)</f>
        <v>14.8409</v>
      </c>
      <c r="C498" s="7">
        <f>CHOOSE( CONTROL!$C$37, 14.846, 14.8449) * CHOOSE(CONTROL!$C$20, $D$12, 100%, $F$12)</f>
        <v>14.846</v>
      </c>
      <c r="D498" s="7">
        <f>CHOOSE( CONTROL!$C$37, 14.8391, 14.838) * CHOOSE( CONTROL!$C$20, $D$12, 100%, $F$12)</f>
        <v>14.8391</v>
      </c>
      <c r="E498" s="10">
        <f>CHOOSE( CONTROL!$C$37, 14.8411, 14.84) * CHOOSE( CONTROL!$C$20, $D$12, 100%, $F$12)</f>
        <v>14.841100000000001</v>
      </c>
      <c r="F498" s="4">
        <f>CHOOSE( CONTROL!$C$37, 15.4934, 15.4923) * CHOOSE(CONTROL!$C$20, $D$12, 100%, $F$12)</f>
        <v>15.493399999999999</v>
      </c>
      <c r="G498" s="7">
        <f>CHOOSE( CONTROL!$C$37, 14.6721, 14.6711) * CHOOSE( CONTROL!$C$20, $D$12, 100%, $F$12)</f>
        <v>14.6721</v>
      </c>
      <c r="H498" s="4">
        <f>CHOOSE( CONTROL!$C$37, 15.5511, 15.55) * CHOOSE(CONTROL!$C$20, $D$12, 100%, $F$12)</f>
        <v>15.5511</v>
      </c>
      <c r="I498" s="7">
        <f>CHOOSE( CONTROL!$C$37, 14.5465, 14.5454) * CHOOSE(CONTROL!$C$20, $D$12, 100%, $F$12)</f>
        <v>14.5465</v>
      </c>
      <c r="J498" s="4">
        <f>CHOOSE( CONTROL!$C$37, 14.3871, 14.386) * CHOOSE(CONTROL!$C$20, $D$12, 100%, $F$12)</f>
        <v>14.3871</v>
      </c>
      <c r="K498" s="4"/>
      <c r="L498" s="8">
        <v>29.306000000000001</v>
      </c>
      <c r="M498" s="8">
        <v>12.063700000000001</v>
      </c>
      <c r="N498" s="8">
        <v>4.9444999999999997</v>
      </c>
      <c r="O498" s="8">
        <v>0.37409999999999999</v>
      </c>
      <c r="P498" s="8">
        <v>1.2927</v>
      </c>
      <c r="Q498" s="8">
        <v>19.814599999999999</v>
      </c>
      <c r="R498" s="8"/>
    </row>
    <row r="499" spans="1:18" ht="14.25" customHeight="1">
      <c r="A499" s="11">
        <v>56308</v>
      </c>
      <c r="B499" s="7">
        <f>CHOOSE( CONTROL!$C$37, 13.8804, 13.8793) * CHOOSE(CONTROL!$C$20, $D$12, 100%, $F$12)</f>
        <v>13.8804</v>
      </c>
      <c r="C499" s="7">
        <f>CHOOSE( CONTROL!$C$37, 13.8855, 13.8844) * CHOOSE(CONTROL!$C$20, $D$12, 100%, $F$12)</f>
        <v>13.8855</v>
      </c>
      <c r="D499" s="7">
        <f>CHOOSE( CONTROL!$C$37, 13.8785, 13.8774) * CHOOSE( CONTROL!$C$20, $D$12, 100%, $F$12)</f>
        <v>13.878500000000001</v>
      </c>
      <c r="E499" s="10">
        <f>CHOOSE( CONTROL!$C$37, 13.8805, 13.8794) * CHOOSE( CONTROL!$C$20, $D$12, 100%, $F$12)</f>
        <v>13.8805</v>
      </c>
      <c r="F499" s="4">
        <f>CHOOSE( CONTROL!$C$37, 14.5329, 14.5318) * CHOOSE(CONTROL!$C$20, $D$12, 100%, $F$12)</f>
        <v>14.5329</v>
      </c>
      <c r="G499" s="7">
        <f>CHOOSE( CONTROL!$C$37, 13.725, 13.7239) * CHOOSE( CONTROL!$C$20, $D$12, 100%, $F$12)</f>
        <v>13.725</v>
      </c>
      <c r="H499" s="4">
        <f>CHOOSE( CONTROL!$C$37, 14.604, 14.603) * CHOOSE(CONTROL!$C$20, $D$12, 100%, $F$12)</f>
        <v>14.603999999999999</v>
      </c>
      <c r="I499" s="7">
        <f>CHOOSE( CONTROL!$C$37, 13.6157, 13.6147) * CHOOSE(CONTROL!$C$20, $D$12, 100%, $F$12)</f>
        <v>13.6157</v>
      </c>
      <c r="J499" s="4">
        <f>CHOOSE( CONTROL!$C$37, 13.457, 13.456) * CHOOSE(CONTROL!$C$20, $D$12, 100%, $F$12)</f>
        <v>13.457000000000001</v>
      </c>
      <c r="K499" s="4"/>
      <c r="L499" s="8">
        <v>26.469899999999999</v>
      </c>
      <c r="M499" s="8">
        <v>10.8962</v>
      </c>
      <c r="N499" s="8">
        <v>4.4660000000000002</v>
      </c>
      <c r="O499" s="8">
        <v>0.33789999999999998</v>
      </c>
      <c r="P499" s="8">
        <v>1.1676</v>
      </c>
      <c r="Q499" s="8">
        <v>17.896999999999998</v>
      </c>
      <c r="R499" s="8"/>
    </row>
    <row r="500" spans="1:18" ht="14.25" customHeight="1">
      <c r="A500" s="11">
        <v>56339</v>
      </c>
      <c r="B500" s="7">
        <f>CHOOSE( CONTROL!$C$37, 13.5846, 13.5835) * CHOOSE(CONTROL!$C$20, $D$12, 100%, $F$12)</f>
        <v>13.5846</v>
      </c>
      <c r="C500" s="7">
        <f>CHOOSE( CONTROL!$C$37, 13.5897, 13.5886) * CHOOSE(CONTROL!$C$20, $D$12, 100%, $F$12)</f>
        <v>13.589700000000001</v>
      </c>
      <c r="D500" s="7">
        <f>CHOOSE( CONTROL!$C$37, 13.5821, 13.581) * CHOOSE( CONTROL!$C$20, $D$12, 100%, $F$12)</f>
        <v>13.582100000000001</v>
      </c>
      <c r="E500" s="10">
        <f>CHOOSE( CONTROL!$C$37, 13.5843, 13.5832) * CHOOSE( CONTROL!$C$20, $D$12, 100%, $F$12)</f>
        <v>13.584300000000001</v>
      </c>
      <c r="F500" s="4">
        <f>CHOOSE( CONTROL!$C$37, 14.2371, 14.236) * CHOOSE(CONTROL!$C$20, $D$12, 100%, $F$12)</f>
        <v>14.2371</v>
      </c>
      <c r="G500" s="7">
        <f>CHOOSE( CONTROL!$C$37, 13.4328, 13.4318) * CHOOSE( CONTROL!$C$20, $D$12, 100%, $F$12)</f>
        <v>13.4328</v>
      </c>
      <c r="H500" s="4">
        <f>CHOOSE( CONTROL!$C$37, 14.3123, 14.3113) * CHOOSE(CONTROL!$C$20, $D$12, 100%, $F$12)</f>
        <v>14.3123</v>
      </c>
      <c r="I500" s="7">
        <f>CHOOSE( CONTROL!$C$37, 13.3272, 13.3261) * CHOOSE(CONTROL!$C$20, $D$12, 100%, $F$12)</f>
        <v>13.327199999999999</v>
      </c>
      <c r="J500" s="4">
        <f>CHOOSE( CONTROL!$C$37, 13.1706, 13.1695) * CHOOSE(CONTROL!$C$20, $D$12, 100%, $F$12)</f>
        <v>13.1706</v>
      </c>
      <c r="K500" s="4"/>
      <c r="L500" s="8">
        <v>29.306000000000001</v>
      </c>
      <c r="M500" s="8">
        <v>12.063700000000001</v>
      </c>
      <c r="N500" s="8">
        <v>4.9444999999999997</v>
      </c>
      <c r="O500" s="8">
        <v>0.37409999999999999</v>
      </c>
      <c r="P500" s="8">
        <v>1.2927</v>
      </c>
      <c r="Q500" s="8">
        <v>19.814599999999999</v>
      </c>
      <c r="R500" s="8"/>
    </row>
    <row r="501" spans="1:18" ht="14.25" customHeight="1">
      <c r="A501" s="11">
        <v>56369</v>
      </c>
      <c r="B501" s="7">
        <f>CHOOSE( CONTROL!$C$37, 13.792, 13.791) * CHOOSE(CONTROL!$C$20, $D$12, 100%, $F$12)</f>
        <v>13.792</v>
      </c>
      <c r="C501" s="7">
        <f>CHOOSE( CONTROL!$C$37, 13.7966, 13.7955) * CHOOSE(CONTROL!$C$20, $D$12, 100%, $F$12)</f>
        <v>13.7966</v>
      </c>
      <c r="D501" s="7">
        <f>CHOOSE( CONTROL!$C$37, 13.8084, 13.8073) * CHOOSE( CONTROL!$C$20, $D$12, 100%, $F$12)</f>
        <v>13.808400000000001</v>
      </c>
      <c r="E501" s="10">
        <f>CHOOSE( CONTROL!$C$37, 13.804, 13.8029) * CHOOSE( CONTROL!$C$20, $D$12, 100%, $F$12)</f>
        <v>13.804</v>
      </c>
      <c r="F501" s="4">
        <f>CHOOSE( CONTROL!$C$37, 14.5187, 14.5176) * CHOOSE(CONTROL!$C$20, $D$12, 100%, $F$12)</f>
        <v>14.518700000000001</v>
      </c>
      <c r="G501" s="7">
        <f>CHOOSE( CONTROL!$C$37, 13.6449, 13.6438) * CHOOSE( CONTROL!$C$20, $D$12, 100%, $F$12)</f>
        <v>13.6449</v>
      </c>
      <c r="H501" s="4">
        <f>CHOOSE( CONTROL!$C$37, 14.59, 14.5889) * CHOOSE(CONTROL!$C$20, $D$12, 100%, $F$12)</f>
        <v>14.59</v>
      </c>
      <c r="I501" s="7">
        <f>CHOOSE( CONTROL!$C$37, 13.5, 13.499) * CHOOSE(CONTROL!$C$20, $D$12, 100%, $F$12)</f>
        <v>13.5</v>
      </c>
      <c r="J501" s="4">
        <f>CHOOSE( CONTROL!$C$37, 13.3708, 13.3697) * CHOOSE(CONTROL!$C$20, $D$12, 100%, $F$12)</f>
        <v>13.370799999999999</v>
      </c>
      <c r="K501" s="4"/>
      <c r="L501" s="8">
        <v>30.092199999999998</v>
      </c>
      <c r="M501" s="8">
        <v>11.6745</v>
      </c>
      <c r="N501" s="8">
        <v>4.7850000000000001</v>
      </c>
      <c r="O501" s="8">
        <v>0.36199999999999999</v>
      </c>
      <c r="P501" s="8">
        <v>1.2509999999999999</v>
      </c>
      <c r="Q501" s="8">
        <v>19.1754</v>
      </c>
      <c r="R501" s="8"/>
    </row>
    <row r="502" spans="1:18" ht="14.25" customHeight="1">
      <c r="A502" s="11">
        <v>56400</v>
      </c>
      <c r="B502" s="7">
        <f>CHOOSE( CONTROL!$C$37, 14.1619, 14.1602) * CHOOSE(CONTROL!$C$20, $D$12, 100%, $F$12)</f>
        <v>14.161899999999999</v>
      </c>
      <c r="C502" s="7">
        <f>CHOOSE( CONTROL!$C$37, 14.1699, 14.1682) * CHOOSE(CONTROL!$C$20, $D$12, 100%, $F$12)</f>
        <v>14.1699</v>
      </c>
      <c r="D502" s="7">
        <f>CHOOSE( CONTROL!$C$37, 14.1755, 14.1739) * CHOOSE( CONTROL!$C$20, $D$12, 100%, $F$12)</f>
        <v>14.1755</v>
      </c>
      <c r="E502" s="10">
        <f>CHOOSE( CONTROL!$C$37, 14.1723, 14.1706) * CHOOSE( CONTROL!$C$20, $D$12, 100%, $F$12)</f>
        <v>14.1723</v>
      </c>
      <c r="F502" s="4">
        <f>CHOOSE( CONTROL!$C$37, 14.8872, 14.8855) * CHOOSE(CONTROL!$C$20, $D$12, 100%, $F$12)</f>
        <v>14.8872</v>
      </c>
      <c r="G502" s="7">
        <f>CHOOSE( CONTROL!$C$37, 14.0082, 14.0066) * CHOOSE( CONTROL!$C$20, $D$12, 100%, $F$12)</f>
        <v>14.0082</v>
      </c>
      <c r="H502" s="4">
        <f>CHOOSE( CONTROL!$C$37, 14.9533, 14.9517) * CHOOSE(CONTROL!$C$20, $D$12, 100%, $F$12)</f>
        <v>14.9533</v>
      </c>
      <c r="I502" s="7">
        <f>CHOOSE( CONTROL!$C$37, 13.8567, 13.8551) * CHOOSE(CONTROL!$C$20, $D$12, 100%, $F$12)</f>
        <v>13.8567</v>
      </c>
      <c r="J502" s="4">
        <f>CHOOSE( CONTROL!$C$37, 13.7276, 13.7259) * CHOOSE(CONTROL!$C$20, $D$12, 100%, $F$12)</f>
        <v>13.727600000000001</v>
      </c>
      <c r="K502" s="4"/>
      <c r="L502" s="8">
        <v>30.7165</v>
      </c>
      <c r="M502" s="8">
        <v>12.063700000000001</v>
      </c>
      <c r="N502" s="8">
        <v>4.9444999999999997</v>
      </c>
      <c r="O502" s="8">
        <v>0.37409999999999999</v>
      </c>
      <c r="P502" s="8">
        <v>1.2927</v>
      </c>
      <c r="Q502" s="8">
        <v>19.814599999999999</v>
      </c>
      <c r="R502" s="8"/>
    </row>
    <row r="503" spans="1:18" ht="14.25" customHeight="1">
      <c r="A503" s="11">
        <v>56430</v>
      </c>
      <c r="B503" s="7">
        <f>CHOOSE( CONTROL!$C$37, 13.934, 13.9323) * CHOOSE(CONTROL!$C$20, $D$12, 100%, $F$12)</f>
        <v>13.933999999999999</v>
      </c>
      <c r="C503" s="7">
        <f>CHOOSE( CONTROL!$C$37, 13.942, 13.9403) * CHOOSE(CONTROL!$C$20, $D$12, 100%, $F$12)</f>
        <v>13.942</v>
      </c>
      <c r="D503" s="7">
        <f>CHOOSE( CONTROL!$C$37, 13.9479, 13.9463) * CHOOSE( CONTROL!$C$20, $D$12, 100%, $F$12)</f>
        <v>13.947900000000001</v>
      </c>
      <c r="E503" s="10">
        <f>CHOOSE( CONTROL!$C$37, 13.9445, 13.9429) * CHOOSE( CONTROL!$C$20, $D$12, 100%, $F$12)</f>
        <v>13.9445</v>
      </c>
      <c r="F503" s="4">
        <f>CHOOSE( CONTROL!$C$37, 14.6593, 14.6576) * CHOOSE(CONTROL!$C$20, $D$12, 100%, $F$12)</f>
        <v>14.6593</v>
      </c>
      <c r="G503" s="7">
        <f>CHOOSE( CONTROL!$C$37, 13.7837, 13.7821) * CHOOSE( CONTROL!$C$20, $D$12, 100%, $F$12)</f>
        <v>13.7837</v>
      </c>
      <c r="H503" s="4">
        <f>CHOOSE( CONTROL!$C$37, 14.7286, 14.727) * CHOOSE(CONTROL!$C$20, $D$12, 100%, $F$12)</f>
        <v>14.7286</v>
      </c>
      <c r="I503" s="7">
        <f>CHOOSE( CONTROL!$C$37, 13.6369, 13.6353) * CHOOSE(CONTROL!$C$20, $D$12, 100%, $F$12)</f>
        <v>13.636900000000001</v>
      </c>
      <c r="J503" s="4">
        <f>CHOOSE( CONTROL!$C$37, 13.5069, 13.5053) * CHOOSE(CONTROL!$C$20, $D$12, 100%, $F$12)</f>
        <v>13.5069</v>
      </c>
      <c r="K503" s="4"/>
      <c r="L503" s="8">
        <v>29.7257</v>
      </c>
      <c r="M503" s="8">
        <v>11.6745</v>
      </c>
      <c r="N503" s="8">
        <v>4.7850000000000001</v>
      </c>
      <c r="O503" s="8">
        <v>0.36199999999999999</v>
      </c>
      <c r="P503" s="8">
        <v>1.2509999999999999</v>
      </c>
      <c r="Q503" s="8">
        <v>19.1754</v>
      </c>
      <c r="R503" s="8"/>
    </row>
    <row r="504" spans="1:18" ht="14.25" customHeight="1">
      <c r="A504" s="11">
        <v>56461</v>
      </c>
      <c r="B504" s="7">
        <f>CHOOSE( CONTROL!$C$37, 14.5341, 14.5325) * CHOOSE(CONTROL!$C$20, $D$12, 100%, $F$12)</f>
        <v>14.5341</v>
      </c>
      <c r="C504" s="7">
        <f>CHOOSE( CONTROL!$C$37, 14.5421, 14.5405) * CHOOSE(CONTROL!$C$20, $D$12, 100%, $F$12)</f>
        <v>14.5421</v>
      </c>
      <c r="D504" s="7">
        <f>CHOOSE( CONTROL!$C$37, 14.5484, 14.5467) * CHOOSE( CONTROL!$C$20, $D$12, 100%, $F$12)</f>
        <v>14.548400000000001</v>
      </c>
      <c r="E504" s="10">
        <f>CHOOSE( CONTROL!$C$37, 14.5449, 14.5432) * CHOOSE( CONTROL!$C$20, $D$12, 100%, $F$12)</f>
        <v>14.5449</v>
      </c>
      <c r="F504" s="4">
        <f>CHOOSE( CONTROL!$C$37, 15.2594, 15.2578) * CHOOSE(CONTROL!$C$20, $D$12, 100%, $F$12)</f>
        <v>15.259399999999999</v>
      </c>
      <c r="G504" s="7">
        <f>CHOOSE( CONTROL!$C$37, 14.3757, 14.3741) * CHOOSE( CONTROL!$C$20, $D$12, 100%, $F$12)</f>
        <v>14.3757</v>
      </c>
      <c r="H504" s="4">
        <f>CHOOSE( CONTROL!$C$37, 15.3204, 15.3188) * CHOOSE(CONTROL!$C$20, $D$12, 100%, $F$12)</f>
        <v>15.320399999999999</v>
      </c>
      <c r="I504" s="7">
        <f>CHOOSE( CONTROL!$C$37, 14.2194, 14.2178) * CHOOSE(CONTROL!$C$20, $D$12, 100%, $F$12)</f>
        <v>14.2194</v>
      </c>
      <c r="J504" s="4">
        <f>CHOOSE( CONTROL!$C$37, 14.088, 14.0864) * CHOOSE(CONTROL!$C$20, $D$12, 100%, $F$12)</f>
        <v>14.087999999999999</v>
      </c>
      <c r="K504" s="4"/>
      <c r="L504" s="8">
        <v>30.7165</v>
      </c>
      <c r="M504" s="8">
        <v>12.063700000000001</v>
      </c>
      <c r="N504" s="8">
        <v>4.9444999999999997</v>
      </c>
      <c r="O504" s="8">
        <v>0.37409999999999999</v>
      </c>
      <c r="P504" s="8">
        <v>1.2927</v>
      </c>
      <c r="Q504" s="8">
        <v>19.814599999999999</v>
      </c>
      <c r="R504" s="8"/>
    </row>
    <row r="505" spans="1:18" ht="14.25" customHeight="1">
      <c r="A505" s="11">
        <v>56492</v>
      </c>
      <c r="B505" s="7">
        <f>CHOOSE( CONTROL!$C$37, 13.4112, 13.4095) * CHOOSE(CONTROL!$C$20, $D$12, 100%, $F$12)</f>
        <v>13.411199999999999</v>
      </c>
      <c r="C505" s="7">
        <f>CHOOSE( CONTROL!$C$37, 13.4192, 13.4175) * CHOOSE(CONTROL!$C$20, $D$12, 100%, $F$12)</f>
        <v>13.4192</v>
      </c>
      <c r="D505" s="7">
        <f>CHOOSE( CONTROL!$C$37, 13.4255, 13.4238) * CHOOSE( CONTROL!$C$20, $D$12, 100%, $F$12)</f>
        <v>13.4255</v>
      </c>
      <c r="E505" s="10">
        <f>CHOOSE( CONTROL!$C$37, 13.422, 13.4203) * CHOOSE( CONTROL!$C$20, $D$12, 100%, $F$12)</f>
        <v>13.422000000000001</v>
      </c>
      <c r="F505" s="4">
        <f>CHOOSE( CONTROL!$C$37, 14.1365, 14.1348) * CHOOSE(CONTROL!$C$20, $D$12, 100%, $F$12)</f>
        <v>14.1365</v>
      </c>
      <c r="G505" s="7">
        <f>CHOOSE( CONTROL!$C$37, 13.2685, 13.2669) * CHOOSE( CONTROL!$C$20, $D$12, 100%, $F$12)</f>
        <v>13.2685</v>
      </c>
      <c r="H505" s="4">
        <f>CHOOSE( CONTROL!$C$37, 14.2131, 14.2115) * CHOOSE(CONTROL!$C$20, $D$12, 100%, $F$12)</f>
        <v>14.213100000000001</v>
      </c>
      <c r="I505" s="7">
        <f>CHOOSE( CONTROL!$C$37, 13.1317, 13.1301) * CHOOSE(CONTROL!$C$20, $D$12, 100%, $F$12)</f>
        <v>13.1317</v>
      </c>
      <c r="J505" s="4">
        <f>CHOOSE( CONTROL!$C$37, 13.0006, 12.999) * CHOOSE(CONTROL!$C$20, $D$12, 100%, $F$12)</f>
        <v>13.0006</v>
      </c>
      <c r="K505" s="4"/>
      <c r="L505" s="8">
        <v>30.7165</v>
      </c>
      <c r="M505" s="8">
        <v>12.063700000000001</v>
      </c>
      <c r="N505" s="8">
        <v>4.9444999999999997</v>
      </c>
      <c r="O505" s="8">
        <v>0.37409999999999999</v>
      </c>
      <c r="P505" s="8">
        <v>1.2927</v>
      </c>
      <c r="Q505" s="8">
        <v>19.814599999999999</v>
      </c>
      <c r="R505" s="8"/>
    </row>
    <row r="506" spans="1:18" ht="14.25" customHeight="1">
      <c r="A506" s="11">
        <v>56522</v>
      </c>
      <c r="B506" s="7">
        <f>CHOOSE( CONTROL!$C$37, 13.13, 13.1283) * CHOOSE(CONTROL!$C$20, $D$12, 100%, $F$12)</f>
        <v>13.13</v>
      </c>
      <c r="C506" s="7">
        <f>CHOOSE( CONTROL!$C$37, 13.138, 13.1363) * CHOOSE(CONTROL!$C$20, $D$12, 100%, $F$12)</f>
        <v>13.138</v>
      </c>
      <c r="D506" s="7">
        <f>CHOOSE( CONTROL!$C$37, 13.1442, 13.1425) * CHOOSE( CONTROL!$C$20, $D$12, 100%, $F$12)</f>
        <v>13.1442</v>
      </c>
      <c r="E506" s="10">
        <f>CHOOSE( CONTROL!$C$37, 13.1407, 13.139) * CHOOSE( CONTROL!$C$20, $D$12, 100%, $F$12)</f>
        <v>13.140700000000001</v>
      </c>
      <c r="F506" s="4">
        <f>CHOOSE( CONTROL!$C$37, 13.8553, 13.8536) * CHOOSE(CONTROL!$C$20, $D$12, 100%, $F$12)</f>
        <v>13.8553</v>
      </c>
      <c r="G506" s="7">
        <f>CHOOSE( CONTROL!$C$37, 12.9911, 12.9895) * CHOOSE( CONTROL!$C$20, $D$12, 100%, $F$12)</f>
        <v>12.991099999999999</v>
      </c>
      <c r="H506" s="4">
        <f>CHOOSE( CONTROL!$C$37, 13.9358, 13.9342) * CHOOSE(CONTROL!$C$20, $D$12, 100%, $F$12)</f>
        <v>13.9358</v>
      </c>
      <c r="I506" s="7">
        <f>CHOOSE( CONTROL!$C$37, 12.8589, 12.8573) * CHOOSE(CONTROL!$C$20, $D$12, 100%, $F$12)</f>
        <v>12.8589</v>
      </c>
      <c r="J506" s="4">
        <f>CHOOSE( CONTROL!$C$37, 12.7284, 12.7267) * CHOOSE(CONTROL!$C$20, $D$12, 100%, $F$12)</f>
        <v>12.728400000000001</v>
      </c>
      <c r="K506" s="4"/>
      <c r="L506" s="8">
        <v>29.7257</v>
      </c>
      <c r="M506" s="8">
        <v>11.6745</v>
      </c>
      <c r="N506" s="8">
        <v>4.7850000000000001</v>
      </c>
      <c r="O506" s="8">
        <v>0.36199999999999999</v>
      </c>
      <c r="P506" s="8">
        <v>1.2509999999999999</v>
      </c>
      <c r="Q506" s="8">
        <v>19.1754</v>
      </c>
      <c r="R506" s="8"/>
    </row>
    <row r="507" spans="1:18" ht="14.25" customHeight="1">
      <c r="A507" s="11">
        <v>56553</v>
      </c>
      <c r="B507" s="7">
        <f>CHOOSE( CONTROL!$C$37, 13.7116, 13.7105) * CHOOSE(CONTROL!$C$20, $D$12, 100%, $F$12)</f>
        <v>13.711600000000001</v>
      </c>
      <c r="C507" s="7">
        <f>CHOOSE( CONTROL!$C$37, 13.7169, 13.7158) * CHOOSE(CONTROL!$C$20, $D$12, 100%, $F$12)</f>
        <v>13.716900000000001</v>
      </c>
      <c r="D507" s="7">
        <f>CHOOSE( CONTROL!$C$37, 13.7289, 13.7278) * CHOOSE( CONTROL!$C$20, $D$12, 100%, $F$12)</f>
        <v>13.728899999999999</v>
      </c>
      <c r="E507" s="10">
        <f>CHOOSE( CONTROL!$C$37, 13.7244, 13.7233) * CHOOSE( CONTROL!$C$20, $D$12, 100%, $F$12)</f>
        <v>13.724399999999999</v>
      </c>
      <c r="F507" s="4">
        <f>CHOOSE( CONTROL!$C$37, 14.4386, 14.4375) * CHOOSE(CONTROL!$C$20, $D$12, 100%, $F$12)</f>
        <v>14.438599999999999</v>
      </c>
      <c r="G507" s="7">
        <f>CHOOSE( CONTROL!$C$37, 13.5664, 13.5654) * CHOOSE( CONTROL!$C$20, $D$12, 100%, $F$12)</f>
        <v>13.5664</v>
      </c>
      <c r="H507" s="4">
        <f>CHOOSE( CONTROL!$C$37, 14.511, 14.5099) * CHOOSE(CONTROL!$C$20, $D$12, 100%, $F$12)</f>
        <v>14.510999999999999</v>
      </c>
      <c r="I507" s="7">
        <f>CHOOSE( CONTROL!$C$37, 13.4247, 13.4236) * CHOOSE(CONTROL!$C$20, $D$12, 100%, $F$12)</f>
        <v>13.4247</v>
      </c>
      <c r="J507" s="4">
        <f>CHOOSE( CONTROL!$C$37, 13.2932, 13.2921) * CHOOSE(CONTROL!$C$20, $D$12, 100%, $F$12)</f>
        <v>13.293200000000001</v>
      </c>
      <c r="K507" s="4"/>
      <c r="L507" s="8">
        <v>31.095300000000002</v>
      </c>
      <c r="M507" s="8">
        <v>12.063700000000001</v>
      </c>
      <c r="N507" s="8">
        <v>4.9444999999999997</v>
      </c>
      <c r="O507" s="8">
        <v>0.37409999999999999</v>
      </c>
      <c r="P507" s="8">
        <v>1.2927</v>
      </c>
      <c r="Q507" s="8">
        <v>19.814599999999999</v>
      </c>
      <c r="R507" s="8"/>
    </row>
    <row r="508" spans="1:18" ht="14.25" customHeight="1">
      <c r="A508" s="11">
        <v>56583</v>
      </c>
      <c r="B508" s="7">
        <f>CHOOSE( CONTROL!$C$37, 14.7889, 14.7878) * CHOOSE(CONTROL!$C$20, $D$12, 100%, $F$12)</f>
        <v>14.7889</v>
      </c>
      <c r="C508" s="7">
        <f>CHOOSE( CONTROL!$C$37, 14.794, 14.7929) * CHOOSE(CONTROL!$C$20, $D$12, 100%, $F$12)</f>
        <v>14.794</v>
      </c>
      <c r="D508" s="7">
        <f>CHOOSE( CONTROL!$C$37, 14.7724, 14.7713) * CHOOSE( CONTROL!$C$20, $D$12, 100%, $F$12)</f>
        <v>14.772399999999999</v>
      </c>
      <c r="E508" s="10">
        <f>CHOOSE( CONTROL!$C$37, 14.7798, 14.7787) * CHOOSE( CONTROL!$C$20, $D$12, 100%, $F$12)</f>
        <v>14.7798</v>
      </c>
      <c r="F508" s="4">
        <f>CHOOSE( CONTROL!$C$37, 15.4414, 15.4403) * CHOOSE(CONTROL!$C$20, $D$12, 100%, $F$12)</f>
        <v>15.4414</v>
      </c>
      <c r="G508" s="7">
        <f>CHOOSE( CONTROL!$C$37, 14.6152, 14.6141) * CHOOSE( CONTROL!$C$20, $D$12, 100%, $F$12)</f>
        <v>14.6152</v>
      </c>
      <c r="H508" s="4">
        <f>CHOOSE( CONTROL!$C$37, 15.4998, 15.4988) * CHOOSE(CONTROL!$C$20, $D$12, 100%, $F$12)</f>
        <v>15.4998</v>
      </c>
      <c r="I508" s="7">
        <f>CHOOSE( CONTROL!$C$37, 14.5199, 14.5189) * CHOOSE(CONTROL!$C$20, $D$12, 100%, $F$12)</f>
        <v>14.5199</v>
      </c>
      <c r="J508" s="4">
        <f>CHOOSE( CONTROL!$C$37, 14.3367, 14.3357) * CHOOSE(CONTROL!$C$20, $D$12, 100%, $F$12)</f>
        <v>14.3367</v>
      </c>
      <c r="K508" s="4"/>
      <c r="L508" s="8">
        <v>28.360600000000002</v>
      </c>
      <c r="M508" s="8">
        <v>11.6745</v>
      </c>
      <c r="N508" s="8">
        <v>4.7850000000000001</v>
      </c>
      <c r="O508" s="8">
        <v>0.36199999999999999</v>
      </c>
      <c r="P508" s="8">
        <v>1.2509999999999999</v>
      </c>
      <c r="Q508" s="8">
        <v>19.1754</v>
      </c>
      <c r="R508" s="8"/>
    </row>
    <row r="509" spans="1:18" ht="14.25" customHeight="1">
      <c r="A509" s="11">
        <v>56614</v>
      </c>
      <c r="B509" s="7">
        <f>CHOOSE( CONTROL!$C$37, 14.7619, 14.7609) * CHOOSE(CONTROL!$C$20, $D$12, 100%, $F$12)</f>
        <v>14.761900000000001</v>
      </c>
      <c r="C509" s="7">
        <f>CHOOSE( CONTROL!$C$37, 14.767, 14.766) * CHOOSE(CONTROL!$C$20, $D$12, 100%, $F$12)</f>
        <v>14.766999999999999</v>
      </c>
      <c r="D509" s="7">
        <f>CHOOSE( CONTROL!$C$37, 14.7471, 14.746) * CHOOSE( CONTROL!$C$20, $D$12, 100%, $F$12)</f>
        <v>14.7471</v>
      </c>
      <c r="E509" s="10">
        <f>CHOOSE( CONTROL!$C$37, 14.7538, 14.7528) * CHOOSE( CONTROL!$C$20, $D$12, 100%, $F$12)</f>
        <v>14.7538</v>
      </c>
      <c r="F509" s="4">
        <f>CHOOSE( CONTROL!$C$37, 15.4145, 15.4134) * CHOOSE(CONTROL!$C$20, $D$12, 100%, $F$12)</f>
        <v>15.4145</v>
      </c>
      <c r="G509" s="7">
        <f>CHOOSE( CONTROL!$C$37, 14.5898, 14.5887) * CHOOSE( CONTROL!$C$20, $D$12, 100%, $F$12)</f>
        <v>14.5898</v>
      </c>
      <c r="H509" s="4">
        <f>CHOOSE( CONTROL!$C$37, 15.4733, 15.4722) * CHOOSE(CONTROL!$C$20, $D$12, 100%, $F$12)</f>
        <v>15.4733</v>
      </c>
      <c r="I509" s="7">
        <f>CHOOSE( CONTROL!$C$37, 14.4987, 14.4977) * CHOOSE(CONTROL!$C$20, $D$12, 100%, $F$12)</f>
        <v>14.498699999999999</v>
      </c>
      <c r="J509" s="4">
        <f>CHOOSE( CONTROL!$C$37, 14.3106, 14.3096) * CHOOSE(CONTROL!$C$20, $D$12, 100%, $F$12)</f>
        <v>14.310600000000001</v>
      </c>
      <c r="K509" s="4"/>
      <c r="L509" s="8">
        <v>29.306000000000001</v>
      </c>
      <c r="M509" s="8">
        <v>12.063700000000001</v>
      </c>
      <c r="N509" s="8">
        <v>4.9444999999999997</v>
      </c>
      <c r="O509" s="8">
        <v>0.37409999999999999</v>
      </c>
      <c r="P509" s="8">
        <v>1.2927</v>
      </c>
      <c r="Q509" s="8">
        <v>19.814599999999999</v>
      </c>
      <c r="R509" s="8"/>
    </row>
    <row r="510" spans="1:18" ht="14.25" customHeight="1">
      <c r="A510" s="11">
        <v>56645</v>
      </c>
      <c r="B510" s="7">
        <f>CHOOSE( CONTROL!$C$37, 15.1978, 15.1968) * CHOOSE(CONTROL!$C$20, $D$12, 100%, $F$12)</f>
        <v>15.197800000000001</v>
      </c>
      <c r="C510" s="7">
        <f>CHOOSE( CONTROL!$C$37, 15.2029, 15.2019) * CHOOSE(CONTROL!$C$20, $D$12, 100%, $F$12)</f>
        <v>15.2029</v>
      </c>
      <c r="D510" s="7">
        <f>CHOOSE( CONTROL!$C$37, 15.196, 15.195) * CHOOSE( CONTROL!$C$20, $D$12, 100%, $F$12)</f>
        <v>15.196</v>
      </c>
      <c r="E510" s="10">
        <f>CHOOSE( CONTROL!$C$37, 15.198, 15.197) * CHOOSE( CONTROL!$C$20, $D$12, 100%, $F$12)</f>
        <v>15.198</v>
      </c>
      <c r="F510" s="4">
        <f>CHOOSE( CONTROL!$C$37, 15.8504, 15.8493) * CHOOSE(CONTROL!$C$20, $D$12, 100%, $F$12)</f>
        <v>15.8504</v>
      </c>
      <c r="G510" s="7">
        <f>CHOOSE( CONTROL!$C$37, 15.0241, 15.023) * CHOOSE( CONTROL!$C$20, $D$12, 100%, $F$12)</f>
        <v>15.024100000000001</v>
      </c>
      <c r="H510" s="4">
        <f>CHOOSE( CONTROL!$C$37, 15.9031, 15.902) * CHOOSE(CONTROL!$C$20, $D$12, 100%, $F$12)</f>
        <v>15.9031</v>
      </c>
      <c r="I510" s="7">
        <f>CHOOSE( CONTROL!$C$37, 14.8923, 14.8913) * CHOOSE(CONTROL!$C$20, $D$12, 100%, $F$12)</f>
        <v>14.892300000000001</v>
      </c>
      <c r="J510" s="4">
        <f>CHOOSE( CONTROL!$C$37, 14.7327, 14.7317) * CHOOSE(CONTROL!$C$20, $D$12, 100%, $F$12)</f>
        <v>14.732699999999999</v>
      </c>
      <c r="K510" s="4"/>
      <c r="L510" s="8">
        <v>29.306000000000001</v>
      </c>
      <c r="M510" s="8">
        <v>12.063700000000001</v>
      </c>
      <c r="N510" s="8">
        <v>4.9444999999999997</v>
      </c>
      <c r="O510" s="8">
        <v>0.37409999999999999</v>
      </c>
      <c r="P510" s="8">
        <v>1.2927</v>
      </c>
      <c r="Q510" s="8">
        <v>19.751300000000001</v>
      </c>
      <c r="R510" s="8"/>
    </row>
    <row r="511" spans="1:18" ht="14.25" customHeight="1">
      <c r="A511" s="11">
        <v>56673</v>
      </c>
      <c r="B511" s="7">
        <f>CHOOSE( CONTROL!$C$37, 14.2143, 14.2132) * CHOOSE(CONTROL!$C$20, $D$12, 100%, $F$12)</f>
        <v>14.2143</v>
      </c>
      <c r="C511" s="7">
        <f>CHOOSE( CONTROL!$C$37, 14.2194, 14.2183) * CHOOSE(CONTROL!$C$20, $D$12, 100%, $F$12)</f>
        <v>14.2194</v>
      </c>
      <c r="D511" s="7">
        <f>CHOOSE( CONTROL!$C$37, 14.2124, 14.2113) * CHOOSE( CONTROL!$C$20, $D$12, 100%, $F$12)</f>
        <v>14.212400000000001</v>
      </c>
      <c r="E511" s="10">
        <f>CHOOSE( CONTROL!$C$37, 14.2144, 14.2133) * CHOOSE( CONTROL!$C$20, $D$12, 100%, $F$12)</f>
        <v>14.214399999999999</v>
      </c>
      <c r="F511" s="4">
        <f>CHOOSE( CONTROL!$C$37, 14.8668, 14.8657) * CHOOSE(CONTROL!$C$20, $D$12, 100%, $F$12)</f>
        <v>14.8668</v>
      </c>
      <c r="G511" s="7">
        <f>CHOOSE( CONTROL!$C$37, 14.0542, 14.0532) * CHOOSE( CONTROL!$C$20, $D$12, 100%, $F$12)</f>
        <v>14.0542</v>
      </c>
      <c r="H511" s="4">
        <f>CHOOSE( CONTROL!$C$37, 14.9333, 14.9322) * CHOOSE(CONTROL!$C$20, $D$12, 100%, $F$12)</f>
        <v>14.933299999999999</v>
      </c>
      <c r="I511" s="7">
        <f>CHOOSE( CONTROL!$C$37, 13.9392, 13.9381) * CHOOSE(CONTROL!$C$20, $D$12, 100%, $F$12)</f>
        <v>13.9392</v>
      </c>
      <c r="J511" s="4">
        <f>CHOOSE( CONTROL!$C$37, 13.7804, 13.7793) * CHOOSE(CONTROL!$C$20, $D$12, 100%, $F$12)</f>
        <v>13.7804</v>
      </c>
      <c r="K511" s="4"/>
      <c r="L511" s="8">
        <v>26.469899999999999</v>
      </c>
      <c r="M511" s="8">
        <v>10.8962</v>
      </c>
      <c r="N511" s="8">
        <v>4.4660000000000002</v>
      </c>
      <c r="O511" s="8">
        <v>0.33789999999999998</v>
      </c>
      <c r="P511" s="8">
        <v>1.1676</v>
      </c>
      <c r="Q511" s="8">
        <v>17.8399</v>
      </c>
      <c r="R511" s="8"/>
    </row>
    <row r="512" spans="1:18" ht="14.25" customHeight="1">
      <c r="A512" s="11">
        <v>56704</v>
      </c>
      <c r="B512" s="7">
        <f>CHOOSE( CONTROL!$C$37, 13.9114, 13.9103) * CHOOSE(CONTROL!$C$20, $D$12, 100%, $F$12)</f>
        <v>13.9114</v>
      </c>
      <c r="C512" s="7">
        <f>CHOOSE( CONTROL!$C$37, 13.9165, 13.9154) * CHOOSE(CONTROL!$C$20, $D$12, 100%, $F$12)</f>
        <v>13.916499999999999</v>
      </c>
      <c r="D512" s="7">
        <f>CHOOSE( CONTROL!$C$37, 13.9089, 13.9078) * CHOOSE( CONTROL!$C$20, $D$12, 100%, $F$12)</f>
        <v>13.908899999999999</v>
      </c>
      <c r="E512" s="10">
        <f>CHOOSE( CONTROL!$C$37, 13.9111, 13.91) * CHOOSE( CONTROL!$C$20, $D$12, 100%, $F$12)</f>
        <v>13.911099999999999</v>
      </c>
      <c r="F512" s="4">
        <f>CHOOSE( CONTROL!$C$37, 14.5639, 14.5628) * CHOOSE(CONTROL!$C$20, $D$12, 100%, $F$12)</f>
        <v>14.5639</v>
      </c>
      <c r="G512" s="7">
        <f>CHOOSE( CONTROL!$C$37, 13.7551, 13.754) * CHOOSE( CONTROL!$C$20, $D$12, 100%, $F$12)</f>
        <v>13.755100000000001</v>
      </c>
      <c r="H512" s="4">
        <f>CHOOSE( CONTROL!$C$37, 14.6346, 14.6335) * CHOOSE(CONTROL!$C$20, $D$12, 100%, $F$12)</f>
        <v>14.634600000000001</v>
      </c>
      <c r="I512" s="7">
        <f>CHOOSE( CONTROL!$C$37, 13.6438, 13.6427) * CHOOSE(CONTROL!$C$20, $D$12, 100%, $F$12)</f>
        <v>13.643800000000001</v>
      </c>
      <c r="J512" s="4">
        <f>CHOOSE( CONTROL!$C$37, 13.487, 13.486) * CHOOSE(CONTROL!$C$20, $D$12, 100%, $F$12)</f>
        <v>13.487</v>
      </c>
      <c r="K512" s="4"/>
      <c r="L512" s="8">
        <v>29.306000000000001</v>
      </c>
      <c r="M512" s="8">
        <v>12.063700000000001</v>
      </c>
      <c r="N512" s="8">
        <v>4.9444999999999997</v>
      </c>
      <c r="O512" s="8">
        <v>0.37409999999999999</v>
      </c>
      <c r="P512" s="8">
        <v>1.2927</v>
      </c>
      <c r="Q512" s="8">
        <v>19.751300000000001</v>
      </c>
      <c r="R512" s="8"/>
    </row>
    <row r="513" spans="1:18" ht="14.25" customHeight="1">
      <c r="A513" s="11">
        <v>56734</v>
      </c>
      <c r="B513" s="7">
        <f>CHOOSE( CONTROL!$C$37, 14.1238, 14.1227) * CHOOSE(CONTROL!$C$20, $D$12, 100%, $F$12)</f>
        <v>14.123799999999999</v>
      </c>
      <c r="C513" s="7">
        <f>CHOOSE( CONTROL!$C$37, 14.1283, 14.1272) * CHOOSE(CONTROL!$C$20, $D$12, 100%, $F$12)</f>
        <v>14.128299999999999</v>
      </c>
      <c r="D513" s="7">
        <f>CHOOSE( CONTROL!$C$37, 14.1402, 14.1391) * CHOOSE( CONTROL!$C$20, $D$12, 100%, $F$12)</f>
        <v>14.1402</v>
      </c>
      <c r="E513" s="10">
        <f>CHOOSE( CONTROL!$C$37, 14.1358, 14.1347) * CHOOSE( CONTROL!$C$20, $D$12, 100%, $F$12)</f>
        <v>14.1358</v>
      </c>
      <c r="F513" s="4">
        <f>CHOOSE( CONTROL!$C$37, 14.8505, 14.8494) * CHOOSE(CONTROL!$C$20, $D$12, 100%, $F$12)</f>
        <v>14.8505</v>
      </c>
      <c r="G513" s="7">
        <f>CHOOSE( CONTROL!$C$37, 13.972, 13.971) * CHOOSE( CONTROL!$C$20, $D$12, 100%, $F$12)</f>
        <v>13.972</v>
      </c>
      <c r="H513" s="4">
        <f>CHOOSE( CONTROL!$C$37, 14.9171, 14.916) * CHOOSE(CONTROL!$C$20, $D$12, 100%, $F$12)</f>
        <v>14.9171</v>
      </c>
      <c r="I513" s="7">
        <f>CHOOSE( CONTROL!$C$37, 13.8214, 13.8204) * CHOOSE(CONTROL!$C$20, $D$12, 100%, $F$12)</f>
        <v>13.821400000000001</v>
      </c>
      <c r="J513" s="4">
        <f>CHOOSE( CONTROL!$C$37, 13.692, 13.6909) * CHOOSE(CONTROL!$C$20, $D$12, 100%, $F$12)</f>
        <v>13.692</v>
      </c>
      <c r="K513" s="4"/>
      <c r="L513" s="8">
        <v>30.092199999999998</v>
      </c>
      <c r="M513" s="8">
        <v>11.6745</v>
      </c>
      <c r="N513" s="8">
        <v>4.7850000000000001</v>
      </c>
      <c r="O513" s="8">
        <v>0.36199999999999999</v>
      </c>
      <c r="P513" s="8">
        <v>1.2509999999999999</v>
      </c>
      <c r="Q513" s="8">
        <v>19.1142</v>
      </c>
      <c r="R513" s="8"/>
    </row>
    <row r="514" spans="1:18" ht="14.25" customHeight="1">
      <c r="A514" s="11">
        <v>56765</v>
      </c>
      <c r="B514" s="7">
        <f>CHOOSE( CONTROL!$C$37, 14.5025, 14.5008) * CHOOSE(CONTROL!$C$20, $D$12, 100%, $F$12)</f>
        <v>14.5025</v>
      </c>
      <c r="C514" s="7">
        <f>CHOOSE( CONTROL!$C$37, 14.5105, 14.5088) * CHOOSE(CONTROL!$C$20, $D$12, 100%, $F$12)</f>
        <v>14.5105</v>
      </c>
      <c r="D514" s="7">
        <f>CHOOSE( CONTROL!$C$37, 14.5161, 14.5145) * CHOOSE( CONTROL!$C$20, $D$12, 100%, $F$12)</f>
        <v>14.5161</v>
      </c>
      <c r="E514" s="10">
        <f>CHOOSE( CONTROL!$C$37, 14.5129, 14.5112) * CHOOSE( CONTROL!$C$20, $D$12, 100%, $F$12)</f>
        <v>14.5129</v>
      </c>
      <c r="F514" s="4">
        <f>CHOOSE( CONTROL!$C$37, 15.2278, 15.2261) * CHOOSE(CONTROL!$C$20, $D$12, 100%, $F$12)</f>
        <v>15.2278</v>
      </c>
      <c r="G514" s="7">
        <f>CHOOSE( CONTROL!$C$37, 14.3441, 14.3424) * CHOOSE( CONTROL!$C$20, $D$12, 100%, $F$12)</f>
        <v>14.344099999999999</v>
      </c>
      <c r="H514" s="4">
        <f>CHOOSE( CONTROL!$C$37, 15.2892, 15.2875) * CHOOSE(CONTROL!$C$20, $D$12, 100%, $F$12)</f>
        <v>15.289199999999999</v>
      </c>
      <c r="I514" s="7">
        <f>CHOOSE( CONTROL!$C$37, 14.1867, 14.1851) * CHOOSE(CONTROL!$C$20, $D$12, 100%, $F$12)</f>
        <v>14.1867</v>
      </c>
      <c r="J514" s="4">
        <f>CHOOSE( CONTROL!$C$37, 14.0574, 14.0557) * CHOOSE(CONTROL!$C$20, $D$12, 100%, $F$12)</f>
        <v>14.057399999999999</v>
      </c>
      <c r="K514" s="4"/>
      <c r="L514" s="8">
        <v>30.7165</v>
      </c>
      <c r="M514" s="8">
        <v>12.063700000000001</v>
      </c>
      <c r="N514" s="8">
        <v>4.9444999999999997</v>
      </c>
      <c r="O514" s="8">
        <v>0.37409999999999999</v>
      </c>
      <c r="P514" s="8">
        <v>1.2927</v>
      </c>
      <c r="Q514" s="8">
        <v>19.751300000000001</v>
      </c>
      <c r="R514" s="8"/>
    </row>
    <row r="515" spans="1:18" ht="14.25" customHeight="1">
      <c r="A515" s="11">
        <v>56795</v>
      </c>
      <c r="B515" s="7">
        <f>CHOOSE( CONTROL!$C$37, 14.2691, 14.2674) * CHOOSE(CONTROL!$C$20, $D$12, 100%, $F$12)</f>
        <v>14.2691</v>
      </c>
      <c r="C515" s="7">
        <f>CHOOSE( CONTROL!$C$37, 14.2771, 14.2754) * CHOOSE(CONTROL!$C$20, $D$12, 100%, $F$12)</f>
        <v>14.277100000000001</v>
      </c>
      <c r="D515" s="7">
        <f>CHOOSE( CONTROL!$C$37, 14.283, 14.2814) * CHOOSE( CONTROL!$C$20, $D$12, 100%, $F$12)</f>
        <v>14.282999999999999</v>
      </c>
      <c r="E515" s="10">
        <f>CHOOSE( CONTROL!$C$37, 14.2796, 14.278) * CHOOSE( CONTROL!$C$20, $D$12, 100%, $F$12)</f>
        <v>14.2796</v>
      </c>
      <c r="F515" s="4">
        <f>CHOOSE( CONTROL!$C$37, 14.9944, 14.9927) * CHOOSE(CONTROL!$C$20, $D$12, 100%, $F$12)</f>
        <v>14.994400000000001</v>
      </c>
      <c r="G515" s="7">
        <f>CHOOSE( CONTROL!$C$37, 14.1142, 14.1125) * CHOOSE( CONTROL!$C$20, $D$12, 100%, $F$12)</f>
        <v>14.1142</v>
      </c>
      <c r="H515" s="4">
        <f>CHOOSE( CONTROL!$C$37, 15.059, 15.0574) * CHOOSE(CONTROL!$C$20, $D$12, 100%, $F$12)</f>
        <v>15.058999999999999</v>
      </c>
      <c r="I515" s="7">
        <f>CHOOSE( CONTROL!$C$37, 13.9616, 13.9599) * CHOOSE(CONTROL!$C$20, $D$12, 100%, $F$12)</f>
        <v>13.961600000000001</v>
      </c>
      <c r="J515" s="4">
        <f>CHOOSE( CONTROL!$C$37, 13.8314, 13.8298) * CHOOSE(CONTROL!$C$20, $D$12, 100%, $F$12)</f>
        <v>13.8314</v>
      </c>
      <c r="K515" s="4"/>
      <c r="L515" s="8">
        <v>29.7257</v>
      </c>
      <c r="M515" s="8">
        <v>11.6745</v>
      </c>
      <c r="N515" s="8">
        <v>4.7850000000000001</v>
      </c>
      <c r="O515" s="8">
        <v>0.36199999999999999</v>
      </c>
      <c r="P515" s="8">
        <v>1.2509999999999999</v>
      </c>
      <c r="Q515" s="8">
        <v>19.1142</v>
      </c>
      <c r="R515" s="8"/>
    </row>
    <row r="516" spans="1:18" ht="14.25" customHeight="1">
      <c r="A516" s="11">
        <v>56826</v>
      </c>
      <c r="B516" s="7">
        <f>CHOOSE( CONTROL!$C$37, 14.8837, 14.882) * CHOOSE(CONTROL!$C$20, $D$12, 100%, $F$12)</f>
        <v>14.883699999999999</v>
      </c>
      <c r="C516" s="7">
        <f>CHOOSE( CONTROL!$C$37, 14.8917, 14.89) * CHOOSE(CONTROL!$C$20, $D$12, 100%, $F$12)</f>
        <v>14.8917</v>
      </c>
      <c r="D516" s="7">
        <f>CHOOSE( CONTROL!$C$37, 14.8979, 14.8963) * CHOOSE( CONTROL!$C$20, $D$12, 100%, $F$12)</f>
        <v>14.8979</v>
      </c>
      <c r="E516" s="10">
        <f>CHOOSE( CONTROL!$C$37, 14.8944, 14.8928) * CHOOSE( CONTROL!$C$20, $D$12, 100%, $F$12)</f>
        <v>14.894399999999999</v>
      </c>
      <c r="F516" s="4">
        <f>CHOOSE( CONTROL!$C$37, 15.609, 15.6073) * CHOOSE(CONTROL!$C$20, $D$12, 100%, $F$12)</f>
        <v>15.609</v>
      </c>
      <c r="G516" s="7">
        <f>CHOOSE( CONTROL!$C$37, 14.7204, 14.7188) * CHOOSE( CONTROL!$C$20, $D$12, 100%, $F$12)</f>
        <v>14.7204</v>
      </c>
      <c r="H516" s="4">
        <f>CHOOSE( CONTROL!$C$37, 15.6651, 15.6634) * CHOOSE(CONTROL!$C$20, $D$12, 100%, $F$12)</f>
        <v>15.665100000000001</v>
      </c>
      <c r="I516" s="7">
        <f>CHOOSE( CONTROL!$C$37, 14.558, 14.5564) * CHOOSE(CONTROL!$C$20, $D$12, 100%, $F$12)</f>
        <v>14.558</v>
      </c>
      <c r="J516" s="4">
        <f>CHOOSE( CONTROL!$C$37, 14.4265, 14.4249) * CHOOSE(CONTROL!$C$20, $D$12, 100%, $F$12)</f>
        <v>14.426500000000001</v>
      </c>
      <c r="K516" s="4"/>
      <c r="L516" s="8">
        <v>30.7165</v>
      </c>
      <c r="M516" s="8">
        <v>12.063700000000001</v>
      </c>
      <c r="N516" s="8">
        <v>4.9444999999999997</v>
      </c>
      <c r="O516" s="8">
        <v>0.37409999999999999</v>
      </c>
      <c r="P516" s="8">
        <v>1.2927</v>
      </c>
      <c r="Q516" s="8">
        <v>19.751300000000001</v>
      </c>
      <c r="R516" s="8"/>
    </row>
    <row r="517" spans="1:18" ht="14.25" customHeight="1">
      <c r="A517" s="11">
        <v>56857</v>
      </c>
      <c r="B517" s="7">
        <f>CHOOSE( CONTROL!$C$37, 13.7337, 13.7321) * CHOOSE(CONTROL!$C$20, $D$12, 100%, $F$12)</f>
        <v>13.733700000000001</v>
      </c>
      <c r="C517" s="7">
        <f>CHOOSE( CONTROL!$C$37, 13.7417, 13.7401) * CHOOSE(CONTROL!$C$20, $D$12, 100%, $F$12)</f>
        <v>13.7417</v>
      </c>
      <c r="D517" s="7">
        <f>CHOOSE( CONTROL!$C$37, 13.7481, 13.7464) * CHOOSE( CONTROL!$C$20, $D$12, 100%, $F$12)</f>
        <v>13.748100000000001</v>
      </c>
      <c r="E517" s="10">
        <f>CHOOSE( CONTROL!$C$37, 13.7446, 13.7429) * CHOOSE( CONTROL!$C$20, $D$12, 100%, $F$12)</f>
        <v>13.7446</v>
      </c>
      <c r="F517" s="4">
        <f>CHOOSE( CONTROL!$C$37, 14.459, 14.4574) * CHOOSE(CONTROL!$C$20, $D$12, 100%, $F$12)</f>
        <v>14.459</v>
      </c>
      <c r="G517" s="7">
        <f>CHOOSE( CONTROL!$C$37, 13.5866, 13.5849) * CHOOSE( CONTROL!$C$20, $D$12, 100%, $F$12)</f>
        <v>13.586600000000001</v>
      </c>
      <c r="H517" s="4">
        <f>CHOOSE( CONTROL!$C$37, 14.5311, 14.5295) * CHOOSE(CONTROL!$C$20, $D$12, 100%, $F$12)</f>
        <v>14.5311</v>
      </c>
      <c r="I517" s="7">
        <f>CHOOSE( CONTROL!$C$37, 13.4442, 13.4426) * CHOOSE(CONTROL!$C$20, $D$12, 100%, $F$12)</f>
        <v>13.4442</v>
      </c>
      <c r="J517" s="4">
        <f>CHOOSE( CONTROL!$C$37, 13.313, 13.3114) * CHOOSE(CONTROL!$C$20, $D$12, 100%, $F$12)</f>
        <v>13.313000000000001</v>
      </c>
      <c r="K517" s="4"/>
      <c r="L517" s="8">
        <v>30.7165</v>
      </c>
      <c r="M517" s="8">
        <v>12.063700000000001</v>
      </c>
      <c r="N517" s="8">
        <v>4.9444999999999997</v>
      </c>
      <c r="O517" s="8">
        <v>0.37409999999999999</v>
      </c>
      <c r="P517" s="8">
        <v>1.2927</v>
      </c>
      <c r="Q517" s="8">
        <v>19.751300000000001</v>
      </c>
      <c r="R517" s="8"/>
    </row>
    <row r="518" spans="1:18" ht="14.25" customHeight="1">
      <c r="A518" s="11">
        <v>56887</v>
      </c>
      <c r="B518" s="7">
        <f>CHOOSE( CONTROL!$C$37, 13.4458, 13.4441) * CHOOSE(CONTROL!$C$20, $D$12, 100%, $F$12)</f>
        <v>13.4458</v>
      </c>
      <c r="C518" s="7">
        <f>CHOOSE( CONTROL!$C$37, 13.4538, 13.4521) * CHOOSE(CONTROL!$C$20, $D$12, 100%, $F$12)</f>
        <v>13.453799999999999</v>
      </c>
      <c r="D518" s="7">
        <f>CHOOSE( CONTROL!$C$37, 13.46, 13.4583) * CHOOSE( CONTROL!$C$20, $D$12, 100%, $F$12)</f>
        <v>13.46</v>
      </c>
      <c r="E518" s="10">
        <f>CHOOSE( CONTROL!$C$37, 13.4565, 13.4548) * CHOOSE( CONTROL!$C$20, $D$12, 100%, $F$12)</f>
        <v>13.4565</v>
      </c>
      <c r="F518" s="4">
        <f>CHOOSE( CONTROL!$C$37, 14.1711, 14.1694) * CHOOSE(CONTROL!$C$20, $D$12, 100%, $F$12)</f>
        <v>14.171099999999999</v>
      </c>
      <c r="G518" s="7">
        <f>CHOOSE( CONTROL!$C$37, 13.3025, 13.3009) * CHOOSE( CONTROL!$C$20, $D$12, 100%, $F$12)</f>
        <v>13.3025</v>
      </c>
      <c r="H518" s="4">
        <f>CHOOSE( CONTROL!$C$37, 14.2472, 14.2456) * CHOOSE(CONTROL!$C$20, $D$12, 100%, $F$12)</f>
        <v>14.247199999999999</v>
      </c>
      <c r="I518" s="7">
        <f>CHOOSE( CONTROL!$C$37, 13.1649, 13.1633) * CHOOSE(CONTROL!$C$20, $D$12, 100%, $F$12)</f>
        <v>13.164899999999999</v>
      </c>
      <c r="J518" s="4">
        <f>CHOOSE( CONTROL!$C$37, 13.0341, 13.0325) * CHOOSE(CONTROL!$C$20, $D$12, 100%, $F$12)</f>
        <v>13.0341</v>
      </c>
      <c r="K518" s="4"/>
      <c r="L518" s="8">
        <v>29.7257</v>
      </c>
      <c r="M518" s="8">
        <v>11.6745</v>
      </c>
      <c r="N518" s="8">
        <v>4.7850000000000001</v>
      </c>
      <c r="O518" s="8">
        <v>0.36199999999999999</v>
      </c>
      <c r="P518" s="8">
        <v>1.2509999999999999</v>
      </c>
      <c r="Q518" s="8">
        <v>19.1142</v>
      </c>
      <c r="R518" s="8"/>
    </row>
    <row r="519" spans="1:18" ht="14.25" customHeight="1">
      <c r="A519" s="11">
        <v>56918</v>
      </c>
      <c r="B519" s="7">
        <f>CHOOSE( CONTROL!$C$37, 14.0414, 14.0403) * CHOOSE(CONTROL!$C$20, $D$12, 100%, $F$12)</f>
        <v>14.041399999999999</v>
      </c>
      <c r="C519" s="7">
        <f>CHOOSE( CONTROL!$C$37, 14.0467, 14.0457) * CHOOSE(CONTROL!$C$20, $D$12, 100%, $F$12)</f>
        <v>14.0467</v>
      </c>
      <c r="D519" s="7">
        <f>CHOOSE( CONTROL!$C$37, 14.0587, 14.0577) * CHOOSE( CONTROL!$C$20, $D$12, 100%, $F$12)</f>
        <v>14.0587</v>
      </c>
      <c r="E519" s="10">
        <f>CHOOSE( CONTROL!$C$37, 14.0542, 14.0532) * CHOOSE( CONTROL!$C$20, $D$12, 100%, $F$12)</f>
        <v>14.0542</v>
      </c>
      <c r="F519" s="4">
        <f>CHOOSE( CONTROL!$C$37, 14.7684, 14.7673) * CHOOSE(CONTROL!$C$20, $D$12, 100%, $F$12)</f>
        <v>14.7684</v>
      </c>
      <c r="G519" s="7">
        <f>CHOOSE( CONTROL!$C$37, 13.8917, 13.8906) * CHOOSE( CONTROL!$C$20, $D$12, 100%, $F$12)</f>
        <v>13.8917</v>
      </c>
      <c r="H519" s="4">
        <f>CHOOSE( CONTROL!$C$37, 14.8362, 14.8351) * CHOOSE(CONTROL!$C$20, $D$12, 100%, $F$12)</f>
        <v>14.8362</v>
      </c>
      <c r="I519" s="7">
        <f>CHOOSE( CONTROL!$C$37, 13.7442, 13.7432) * CHOOSE(CONTROL!$C$20, $D$12, 100%, $F$12)</f>
        <v>13.744199999999999</v>
      </c>
      <c r="J519" s="4">
        <f>CHOOSE( CONTROL!$C$37, 13.6125, 13.6115) * CHOOSE(CONTROL!$C$20, $D$12, 100%, $F$12)</f>
        <v>13.612500000000001</v>
      </c>
      <c r="K519" s="4"/>
      <c r="L519" s="8">
        <v>31.095300000000002</v>
      </c>
      <c r="M519" s="8">
        <v>12.063700000000001</v>
      </c>
      <c r="N519" s="8">
        <v>4.9444999999999997</v>
      </c>
      <c r="O519" s="8">
        <v>0.37409999999999999</v>
      </c>
      <c r="P519" s="8">
        <v>1.2927</v>
      </c>
      <c r="Q519" s="8">
        <v>19.751300000000001</v>
      </c>
      <c r="R519" s="8"/>
    </row>
    <row r="520" spans="1:18" ht="14.25" customHeight="1">
      <c r="A520" s="11">
        <v>56948</v>
      </c>
      <c r="B520" s="7">
        <f>CHOOSE( CONTROL!$C$37, 15.1446, 15.1435) * CHOOSE(CONTROL!$C$20, $D$12, 100%, $F$12)</f>
        <v>15.144600000000001</v>
      </c>
      <c r="C520" s="7">
        <f>CHOOSE( CONTROL!$C$37, 15.1497, 15.1486) * CHOOSE(CONTROL!$C$20, $D$12, 100%, $F$12)</f>
        <v>15.149699999999999</v>
      </c>
      <c r="D520" s="7">
        <f>CHOOSE( CONTROL!$C$37, 15.1281, 15.1271) * CHOOSE( CONTROL!$C$20, $D$12, 100%, $F$12)</f>
        <v>15.1281</v>
      </c>
      <c r="E520" s="10">
        <f>CHOOSE( CONTROL!$C$37, 15.1355, 15.1344) * CHOOSE( CONTROL!$C$20, $D$12, 100%, $F$12)</f>
        <v>15.1355</v>
      </c>
      <c r="F520" s="4">
        <f>CHOOSE( CONTROL!$C$37, 15.7971, 15.796) * CHOOSE(CONTROL!$C$20, $D$12, 100%, $F$12)</f>
        <v>15.7971</v>
      </c>
      <c r="G520" s="7">
        <f>CHOOSE( CONTROL!$C$37, 14.966, 14.9649) * CHOOSE( CONTROL!$C$20, $D$12, 100%, $F$12)</f>
        <v>14.965999999999999</v>
      </c>
      <c r="H520" s="4">
        <f>CHOOSE( CONTROL!$C$37, 15.8506, 15.8495) * CHOOSE(CONTROL!$C$20, $D$12, 100%, $F$12)</f>
        <v>15.8506</v>
      </c>
      <c r="I520" s="7">
        <f>CHOOSE( CONTROL!$C$37, 14.8646, 14.8635) * CHOOSE(CONTROL!$C$20, $D$12, 100%, $F$12)</f>
        <v>14.864599999999999</v>
      </c>
      <c r="J520" s="4">
        <f>CHOOSE( CONTROL!$C$37, 14.6812, 14.6801) * CHOOSE(CONTROL!$C$20, $D$12, 100%, $F$12)</f>
        <v>14.6812</v>
      </c>
      <c r="K520" s="4"/>
      <c r="L520" s="8">
        <v>28.360600000000002</v>
      </c>
      <c r="M520" s="8">
        <v>11.6745</v>
      </c>
      <c r="N520" s="8">
        <v>4.7850000000000001</v>
      </c>
      <c r="O520" s="8">
        <v>0.36199999999999999</v>
      </c>
      <c r="P520" s="8">
        <v>1.2509999999999999</v>
      </c>
      <c r="Q520" s="8">
        <v>19.1142</v>
      </c>
      <c r="R520" s="8"/>
    </row>
    <row r="521" spans="1:18" ht="14.25" customHeight="1">
      <c r="A521" s="11">
        <v>56979</v>
      </c>
      <c r="B521" s="7">
        <f>CHOOSE( CONTROL!$C$37, 15.117, 15.1159) * CHOOSE(CONTROL!$C$20, $D$12, 100%, $F$12)</f>
        <v>15.117000000000001</v>
      </c>
      <c r="C521" s="7">
        <f>CHOOSE( CONTROL!$C$37, 15.1221, 15.121) * CHOOSE(CONTROL!$C$20, $D$12, 100%, $F$12)</f>
        <v>15.1221</v>
      </c>
      <c r="D521" s="7">
        <f>CHOOSE( CONTROL!$C$37, 15.1021, 15.1011) * CHOOSE( CONTROL!$C$20, $D$12, 100%, $F$12)</f>
        <v>15.1021</v>
      </c>
      <c r="E521" s="10">
        <f>CHOOSE( CONTROL!$C$37, 15.1089, 15.1078) * CHOOSE( CONTROL!$C$20, $D$12, 100%, $F$12)</f>
        <v>15.1089</v>
      </c>
      <c r="F521" s="4">
        <f>CHOOSE( CONTROL!$C$37, 15.7696, 15.7685) * CHOOSE(CONTROL!$C$20, $D$12, 100%, $F$12)</f>
        <v>15.769600000000001</v>
      </c>
      <c r="G521" s="7">
        <f>CHOOSE( CONTROL!$C$37, 14.9399, 14.9388) * CHOOSE( CONTROL!$C$20, $D$12, 100%, $F$12)</f>
        <v>14.9399</v>
      </c>
      <c r="H521" s="4">
        <f>CHOOSE( CONTROL!$C$37, 15.8234, 15.8223) * CHOOSE(CONTROL!$C$20, $D$12, 100%, $F$12)</f>
        <v>15.823399999999999</v>
      </c>
      <c r="I521" s="7">
        <f>CHOOSE( CONTROL!$C$37, 14.8427, 14.8417) * CHOOSE(CONTROL!$C$20, $D$12, 100%, $F$12)</f>
        <v>14.842700000000001</v>
      </c>
      <c r="J521" s="4">
        <f>CHOOSE( CONTROL!$C$37, 14.6545, 14.6534) * CHOOSE(CONTROL!$C$20, $D$12, 100%, $F$12)</f>
        <v>14.654500000000001</v>
      </c>
      <c r="K521" s="4"/>
      <c r="L521" s="8">
        <v>29.306000000000001</v>
      </c>
      <c r="M521" s="8">
        <v>12.063700000000001</v>
      </c>
      <c r="N521" s="8">
        <v>4.9444999999999997</v>
      </c>
      <c r="O521" s="8">
        <v>0.37409999999999999</v>
      </c>
      <c r="P521" s="8">
        <v>1.2927</v>
      </c>
      <c r="Q521" s="8">
        <v>19.751300000000001</v>
      </c>
      <c r="R521" s="8"/>
    </row>
    <row r="522" spans="1:18" ht="14.25" customHeight="1">
      <c r="A522" s="11">
        <v>57010</v>
      </c>
      <c r="B522" s="7">
        <f>CHOOSE( CONTROL!$C$37, 15.5634, 15.5623) * CHOOSE(CONTROL!$C$20, $D$12, 100%, $F$12)</f>
        <v>15.5634</v>
      </c>
      <c r="C522" s="7">
        <f>CHOOSE( CONTROL!$C$37, 15.5685, 15.5674) * CHOOSE(CONTROL!$C$20, $D$12, 100%, $F$12)</f>
        <v>15.5685</v>
      </c>
      <c r="D522" s="7">
        <f>CHOOSE( CONTROL!$C$37, 15.5616, 15.5605) * CHOOSE( CONTROL!$C$20, $D$12, 100%, $F$12)</f>
        <v>15.5616</v>
      </c>
      <c r="E522" s="10">
        <f>CHOOSE( CONTROL!$C$37, 15.5636, 15.5625) * CHOOSE( CONTROL!$C$20, $D$12, 100%, $F$12)</f>
        <v>15.563599999999999</v>
      </c>
      <c r="F522" s="4">
        <f>CHOOSE( CONTROL!$C$37, 16.2159, 16.2149) * CHOOSE(CONTROL!$C$20, $D$12, 100%, $F$12)</f>
        <v>16.215900000000001</v>
      </c>
      <c r="G522" s="7">
        <f>CHOOSE( CONTROL!$C$37, 15.3846, 15.3835) * CHOOSE( CONTROL!$C$20, $D$12, 100%, $F$12)</f>
        <v>15.384600000000001</v>
      </c>
      <c r="H522" s="4">
        <f>CHOOSE( CONTROL!$C$37, 16.2636, 16.2625) * CHOOSE(CONTROL!$C$20, $D$12, 100%, $F$12)</f>
        <v>16.2636</v>
      </c>
      <c r="I522" s="7">
        <f>CHOOSE( CONTROL!$C$37, 15.2465, 15.2454) * CHOOSE(CONTROL!$C$20, $D$12, 100%, $F$12)</f>
        <v>15.246499999999999</v>
      </c>
      <c r="J522" s="4">
        <f>CHOOSE( CONTROL!$C$37, 15.0867, 15.0856) * CHOOSE(CONTROL!$C$20, $D$12, 100%, $F$12)</f>
        <v>15.0867</v>
      </c>
      <c r="K522" s="4"/>
      <c r="L522" s="8">
        <v>29.306000000000001</v>
      </c>
      <c r="M522" s="8">
        <v>12.063700000000001</v>
      </c>
      <c r="N522" s="8">
        <v>4.9444999999999997</v>
      </c>
      <c r="O522" s="8">
        <v>0.37409999999999999</v>
      </c>
      <c r="P522" s="8">
        <v>1.2927</v>
      </c>
      <c r="Q522" s="8">
        <v>19.688099999999999</v>
      </c>
      <c r="R522" s="8"/>
    </row>
    <row r="523" spans="1:18" ht="14.25" customHeight="1">
      <c r="A523" s="11">
        <v>57038</v>
      </c>
      <c r="B523" s="7">
        <f>CHOOSE( CONTROL!$C$37, 14.5562, 14.5551) * CHOOSE(CONTROL!$C$20, $D$12, 100%, $F$12)</f>
        <v>14.5562</v>
      </c>
      <c r="C523" s="7">
        <f>CHOOSE( CONTROL!$C$37, 14.5613, 14.5602) * CHOOSE(CONTROL!$C$20, $D$12, 100%, $F$12)</f>
        <v>14.561299999999999</v>
      </c>
      <c r="D523" s="7">
        <f>CHOOSE( CONTROL!$C$37, 14.5543, 14.5532) * CHOOSE( CONTROL!$C$20, $D$12, 100%, $F$12)</f>
        <v>14.5543</v>
      </c>
      <c r="E523" s="10">
        <f>CHOOSE( CONTROL!$C$37, 14.5563, 14.5552) * CHOOSE( CONTROL!$C$20, $D$12, 100%, $F$12)</f>
        <v>14.5563</v>
      </c>
      <c r="F523" s="4">
        <f>CHOOSE( CONTROL!$C$37, 15.2087, 15.2077) * CHOOSE(CONTROL!$C$20, $D$12, 100%, $F$12)</f>
        <v>15.2087</v>
      </c>
      <c r="G523" s="7">
        <f>CHOOSE( CONTROL!$C$37, 14.3914, 14.3903) * CHOOSE( CONTROL!$C$20, $D$12, 100%, $F$12)</f>
        <v>14.391400000000001</v>
      </c>
      <c r="H523" s="4">
        <f>CHOOSE( CONTROL!$C$37, 15.2704, 15.2693) * CHOOSE(CONTROL!$C$20, $D$12, 100%, $F$12)</f>
        <v>15.2704</v>
      </c>
      <c r="I523" s="7">
        <f>CHOOSE( CONTROL!$C$37, 14.2704, 14.2694) * CHOOSE(CONTROL!$C$20, $D$12, 100%, $F$12)</f>
        <v>14.2704</v>
      </c>
      <c r="J523" s="4">
        <f>CHOOSE( CONTROL!$C$37, 14.1114, 14.1104) * CHOOSE(CONTROL!$C$20, $D$12, 100%, $F$12)</f>
        <v>14.1114</v>
      </c>
      <c r="K523" s="4"/>
      <c r="L523" s="8">
        <v>27.415299999999998</v>
      </c>
      <c r="M523" s="8">
        <v>11.285299999999999</v>
      </c>
      <c r="N523" s="8">
        <v>4.6254999999999997</v>
      </c>
      <c r="O523" s="8">
        <v>0.34989999999999999</v>
      </c>
      <c r="P523" s="8">
        <v>1.2093</v>
      </c>
      <c r="Q523" s="8">
        <v>18.417899999999999</v>
      </c>
      <c r="R523" s="8"/>
    </row>
    <row r="524" spans="1:18" ht="14.25" customHeight="1">
      <c r="A524" s="11">
        <v>57070</v>
      </c>
      <c r="B524" s="7">
        <f>CHOOSE( CONTROL!$C$37, 14.246, 14.2449) * CHOOSE(CONTROL!$C$20, $D$12, 100%, $F$12)</f>
        <v>14.246</v>
      </c>
      <c r="C524" s="7">
        <f>CHOOSE( CONTROL!$C$37, 14.2511, 14.25) * CHOOSE(CONTROL!$C$20, $D$12, 100%, $F$12)</f>
        <v>14.251099999999999</v>
      </c>
      <c r="D524" s="7">
        <f>CHOOSE( CONTROL!$C$37, 14.2435, 14.2424) * CHOOSE( CONTROL!$C$20, $D$12, 100%, $F$12)</f>
        <v>14.243499999999999</v>
      </c>
      <c r="E524" s="10">
        <f>CHOOSE( CONTROL!$C$37, 14.2457, 14.2446) * CHOOSE( CONTROL!$C$20, $D$12, 100%, $F$12)</f>
        <v>14.245699999999999</v>
      </c>
      <c r="F524" s="4">
        <f>CHOOSE( CONTROL!$C$37, 14.8985, 14.8975) * CHOOSE(CONTROL!$C$20, $D$12, 100%, $F$12)</f>
        <v>14.8985</v>
      </c>
      <c r="G524" s="7">
        <f>CHOOSE( CONTROL!$C$37, 14.085, 14.084) * CHOOSE( CONTROL!$C$20, $D$12, 100%, $F$12)</f>
        <v>14.085000000000001</v>
      </c>
      <c r="H524" s="4">
        <f>CHOOSE( CONTROL!$C$37, 14.9645, 14.9635) * CHOOSE(CONTROL!$C$20, $D$12, 100%, $F$12)</f>
        <v>14.964499999999999</v>
      </c>
      <c r="I524" s="7">
        <f>CHOOSE( CONTROL!$C$37, 13.968, 13.9669) * CHOOSE(CONTROL!$C$20, $D$12, 100%, $F$12)</f>
        <v>13.968</v>
      </c>
      <c r="J524" s="4">
        <f>CHOOSE( CONTROL!$C$37, 13.8111, 13.81) * CHOOSE(CONTROL!$C$20, $D$12, 100%, $F$12)</f>
        <v>13.8111</v>
      </c>
      <c r="K524" s="4"/>
      <c r="L524" s="8">
        <v>29.306000000000001</v>
      </c>
      <c r="M524" s="8">
        <v>12.063700000000001</v>
      </c>
      <c r="N524" s="8">
        <v>4.9444999999999997</v>
      </c>
      <c r="O524" s="8">
        <v>0.37409999999999999</v>
      </c>
      <c r="P524" s="8">
        <v>1.2927</v>
      </c>
      <c r="Q524" s="8">
        <v>19.688099999999999</v>
      </c>
      <c r="R524" s="8"/>
    </row>
    <row r="525" spans="1:18" ht="14.25" customHeight="1">
      <c r="A525" s="11">
        <v>57100</v>
      </c>
      <c r="B525" s="7">
        <f>CHOOSE( CONTROL!$C$37, 14.4635, 14.4624) * CHOOSE(CONTROL!$C$20, $D$12, 100%, $F$12)</f>
        <v>14.4635</v>
      </c>
      <c r="C525" s="7">
        <f>CHOOSE( CONTROL!$C$37, 14.4681, 14.467) * CHOOSE(CONTROL!$C$20, $D$12, 100%, $F$12)</f>
        <v>14.4681</v>
      </c>
      <c r="D525" s="7">
        <f>CHOOSE( CONTROL!$C$37, 14.4799, 14.4788) * CHOOSE( CONTROL!$C$20, $D$12, 100%, $F$12)</f>
        <v>14.479900000000001</v>
      </c>
      <c r="E525" s="10">
        <f>CHOOSE( CONTROL!$C$37, 14.4755, 14.4744) * CHOOSE( CONTROL!$C$20, $D$12, 100%, $F$12)</f>
        <v>14.4755</v>
      </c>
      <c r="F525" s="4">
        <f>CHOOSE( CONTROL!$C$37, 15.1902, 15.1891) * CHOOSE(CONTROL!$C$20, $D$12, 100%, $F$12)</f>
        <v>15.190200000000001</v>
      </c>
      <c r="G525" s="7">
        <f>CHOOSE( CONTROL!$C$37, 14.307, 14.306) * CHOOSE( CONTROL!$C$20, $D$12, 100%, $F$12)</f>
        <v>14.307</v>
      </c>
      <c r="H525" s="4">
        <f>CHOOSE( CONTROL!$C$37, 15.2521, 15.251) * CHOOSE(CONTROL!$C$20, $D$12, 100%, $F$12)</f>
        <v>15.2521</v>
      </c>
      <c r="I525" s="7">
        <f>CHOOSE( CONTROL!$C$37, 14.1506, 14.1495) * CHOOSE(CONTROL!$C$20, $D$12, 100%, $F$12)</f>
        <v>14.150600000000001</v>
      </c>
      <c r="J525" s="4">
        <f>CHOOSE( CONTROL!$C$37, 14.021, 14.0199) * CHOOSE(CONTROL!$C$20, $D$12, 100%, $F$12)</f>
        <v>14.021000000000001</v>
      </c>
      <c r="K525" s="4"/>
      <c r="L525" s="8">
        <v>30.092199999999998</v>
      </c>
      <c r="M525" s="8">
        <v>11.6745</v>
      </c>
      <c r="N525" s="8">
        <v>4.7850000000000001</v>
      </c>
      <c r="O525" s="8">
        <v>0.36199999999999999</v>
      </c>
      <c r="P525" s="8">
        <v>1.2509999999999999</v>
      </c>
      <c r="Q525" s="8">
        <v>19.053000000000001</v>
      </c>
      <c r="R525" s="8"/>
    </row>
    <row r="526" spans="1:18" ht="14.25" customHeight="1">
      <c r="A526" s="11">
        <v>57131</v>
      </c>
      <c r="B526" s="7">
        <f>CHOOSE( CONTROL!$C$37, 14.8513, 14.8496) * CHOOSE(CONTROL!$C$20, $D$12, 100%, $F$12)</f>
        <v>14.8513</v>
      </c>
      <c r="C526" s="7">
        <f>CHOOSE( CONTROL!$C$37, 14.8593, 14.8576) * CHOOSE(CONTROL!$C$20, $D$12, 100%, $F$12)</f>
        <v>14.859299999999999</v>
      </c>
      <c r="D526" s="7">
        <f>CHOOSE( CONTROL!$C$37, 14.8649, 14.8633) * CHOOSE( CONTROL!$C$20, $D$12, 100%, $F$12)</f>
        <v>14.8649</v>
      </c>
      <c r="E526" s="10">
        <f>CHOOSE( CONTROL!$C$37, 14.8617, 14.86) * CHOOSE( CONTROL!$C$20, $D$12, 100%, $F$12)</f>
        <v>14.861700000000001</v>
      </c>
      <c r="F526" s="4">
        <f>CHOOSE( CONTROL!$C$37, 15.5766, 15.5749) * CHOOSE(CONTROL!$C$20, $D$12, 100%, $F$12)</f>
        <v>15.576599999999999</v>
      </c>
      <c r="G526" s="7">
        <f>CHOOSE( CONTROL!$C$37, 14.688, 14.6863) * CHOOSE( CONTROL!$C$20, $D$12, 100%, $F$12)</f>
        <v>14.688000000000001</v>
      </c>
      <c r="H526" s="4">
        <f>CHOOSE( CONTROL!$C$37, 15.6331, 15.6314) * CHOOSE(CONTROL!$C$20, $D$12, 100%, $F$12)</f>
        <v>15.633100000000001</v>
      </c>
      <c r="I526" s="7">
        <f>CHOOSE( CONTROL!$C$37, 14.5246, 14.523) * CHOOSE(CONTROL!$C$20, $D$12, 100%, $F$12)</f>
        <v>14.5246</v>
      </c>
      <c r="J526" s="4">
        <f>CHOOSE( CONTROL!$C$37, 14.3951, 14.3935) * CHOOSE(CONTROL!$C$20, $D$12, 100%, $F$12)</f>
        <v>14.395099999999999</v>
      </c>
      <c r="K526" s="4"/>
      <c r="L526" s="8">
        <v>30.7165</v>
      </c>
      <c r="M526" s="8">
        <v>12.063700000000001</v>
      </c>
      <c r="N526" s="8">
        <v>4.9444999999999997</v>
      </c>
      <c r="O526" s="8">
        <v>0.37409999999999999</v>
      </c>
      <c r="P526" s="8">
        <v>1.2927</v>
      </c>
      <c r="Q526" s="8">
        <v>19.688099999999999</v>
      </c>
      <c r="R526" s="8"/>
    </row>
    <row r="527" spans="1:18" ht="14.25" customHeight="1">
      <c r="A527" s="11">
        <v>57161</v>
      </c>
      <c r="B527" s="7">
        <f>CHOOSE( CONTROL!$C$37, 14.6123, 14.6106) * CHOOSE(CONTROL!$C$20, $D$12, 100%, $F$12)</f>
        <v>14.612299999999999</v>
      </c>
      <c r="C527" s="7">
        <f>CHOOSE( CONTROL!$C$37, 14.6203, 14.6186) * CHOOSE(CONTROL!$C$20, $D$12, 100%, $F$12)</f>
        <v>14.6203</v>
      </c>
      <c r="D527" s="7">
        <f>CHOOSE( CONTROL!$C$37, 14.6262, 14.6245) * CHOOSE( CONTROL!$C$20, $D$12, 100%, $F$12)</f>
        <v>14.626200000000001</v>
      </c>
      <c r="E527" s="10">
        <f>CHOOSE( CONTROL!$C$37, 14.6228, 14.6211) * CHOOSE( CONTROL!$C$20, $D$12, 100%, $F$12)</f>
        <v>14.6228</v>
      </c>
      <c r="F527" s="4">
        <f>CHOOSE( CONTROL!$C$37, 15.3376, 15.3359) * CHOOSE(CONTROL!$C$20, $D$12, 100%, $F$12)</f>
        <v>15.3376</v>
      </c>
      <c r="G527" s="7">
        <f>CHOOSE( CONTROL!$C$37, 14.4525, 14.4509) * CHOOSE( CONTROL!$C$20, $D$12, 100%, $F$12)</f>
        <v>14.452500000000001</v>
      </c>
      <c r="H527" s="4">
        <f>CHOOSE( CONTROL!$C$37, 15.3974, 15.3958) * CHOOSE(CONTROL!$C$20, $D$12, 100%, $F$12)</f>
        <v>15.397399999999999</v>
      </c>
      <c r="I527" s="7">
        <f>CHOOSE( CONTROL!$C$37, 14.294, 14.2924) * CHOOSE(CONTROL!$C$20, $D$12, 100%, $F$12)</f>
        <v>14.294</v>
      </c>
      <c r="J527" s="4">
        <f>CHOOSE( CONTROL!$C$37, 14.1637, 14.1621) * CHOOSE(CONTROL!$C$20, $D$12, 100%, $F$12)</f>
        <v>14.1637</v>
      </c>
      <c r="K527" s="4"/>
      <c r="L527" s="8">
        <v>29.7257</v>
      </c>
      <c r="M527" s="8">
        <v>11.6745</v>
      </c>
      <c r="N527" s="8">
        <v>4.7850000000000001</v>
      </c>
      <c r="O527" s="8">
        <v>0.36199999999999999</v>
      </c>
      <c r="P527" s="8">
        <v>1.2509999999999999</v>
      </c>
      <c r="Q527" s="8">
        <v>19.053000000000001</v>
      </c>
      <c r="R527" s="8"/>
    </row>
    <row r="528" spans="1:18" ht="14.25" customHeight="1">
      <c r="A528" s="11">
        <v>57192</v>
      </c>
      <c r="B528" s="7">
        <f>CHOOSE( CONTROL!$C$37, 15.2416, 15.24) * CHOOSE(CONTROL!$C$20, $D$12, 100%, $F$12)</f>
        <v>15.2416</v>
      </c>
      <c r="C528" s="7">
        <f>CHOOSE( CONTROL!$C$37, 15.2496, 15.248) * CHOOSE(CONTROL!$C$20, $D$12, 100%, $F$12)</f>
        <v>15.249599999999999</v>
      </c>
      <c r="D528" s="7">
        <f>CHOOSE( CONTROL!$C$37, 15.2559, 15.2542) * CHOOSE( CONTROL!$C$20, $D$12, 100%, $F$12)</f>
        <v>15.2559</v>
      </c>
      <c r="E528" s="10">
        <f>CHOOSE( CONTROL!$C$37, 15.2524, 15.2507) * CHOOSE( CONTROL!$C$20, $D$12, 100%, $F$12)</f>
        <v>15.2524</v>
      </c>
      <c r="F528" s="4">
        <f>CHOOSE( CONTROL!$C$37, 15.9669, 15.9653) * CHOOSE(CONTROL!$C$20, $D$12, 100%, $F$12)</f>
        <v>15.966900000000001</v>
      </c>
      <c r="G528" s="7">
        <f>CHOOSE( CONTROL!$C$37, 15.0734, 15.0717) * CHOOSE( CONTROL!$C$20, $D$12, 100%, $F$12)</f>
        <v>15.073399999999999</v>
      </c>
      <c r="H528" s="4">
        <f>CHOOSE( CONTROL!$C$37, 16.018, 16.0164) * CHOOSE(CONTROL!$C$20, $D$12, 100%, $F$12)</f>
        <v>16.018000000000001</v>
      </c>
      <c r="I528" s="7">
        <f>CHOOSE( CONTROL!$C$37, 14.9048, 14.9031) * CHOOSE(CONTROL!$C$20, $D$12, 100%, $F$12)</f>
        <v>14.9048</v>
      </c>
      <c r="J528" s="4">
        <f>CHOOSE( CONTROL!$C$37, 14.7731, 14.7715) * CHOOSE(CONTROL!$C$20, $D$12, 100%, $F$12)</f>
        <v>14.773099999999999</v>
      </c>
      <c r="K528" s="4"/>
      <c r="L528" s="8">
        <v>30.7165</v>
      </c>
      <c r="M528" s="8">
        <v>12.063700000000001</v>
      </c>
      <c r="N528" s="8">
        <v>4.9444999999999997</v>
      </c>
      <c r="O528" s="8">
        <v>0.37409999999999999</v>
      </c>
      <c r="P528" s="8">
        <v>1.2927</v>
      </c>
      <c r="Q528" s="8">
        <v>19.688099999999999</v>
      </c>
      <c r="R528" s="8"/>
    </row>
    <row r="529" spans="1:18" ht="14.25" customHeight="1">
      <c r="A529" s="11">
        <v>57223</v>
      </c>
      <c r="B529" s="7">
        <f>CHOOSE( CONTROL!$C$37, 14.0641, 14.0624) * CHOOSE(CONTROL!$C$20, $D$12, 100%, $F$12)</f>
        <v>14.0641</v>
      </c>
      <c r="C529" s="7">
        <f>CHOOSE( CONTROL!$C$37, 14.072, 14.0704) * CHOOSE(CONTROL!$C$20, $D$12, 100%, $F$12)</f>
        <v>14.071999999999999</v>
      </c>
      <c r="D529" s="7">
        <f>CHOOSE( CONTROL!$C$37, 14.0784, 14.0767) * CHOOSE( CONTROL!$C$20, $D$12, 100%, $F$12)</f>
        <v>14.0784</v>
      </c>
      <c r="E529" s="10">
        <f>CHOOSE( CONTROL!$C$37, 14.0749, 14.0732) * CHOOSE( CONTROL!$C$20, $D$12, 100%, $F$12)</f>
        <v>14.0749</v>
      </c>
      <c r="F529" s="4">
        <f>CHOOSE( CONTROL!$C$37, 14.7893, 14.7877) * CHOOSE(CONTROL!$C$20, $D$12, 100%, $F$12)</f>
        <v>14.789300000000001</v>
      </c>
      <c r="G529" s="7">
        <f>CHOOSE( CONTROL!$C$37, 13.9123, 13.9106) * CHOOSE( CONTROL!$C$20, $D$12, 100%, $F$12)</f>
        <v>13.9123</v>
      </c>
      <c r="H529" s="4">
        <f>CHOOSE( CONTROL!$C$37, 14.8569, 14.8552) * CHOOSE(CONTROL!$C$20, $D$12, 100%, $F$12)</f>
        <v>14.8569</v>
      </c>
      <c r="I529" s="7">
        <f>CHOOSE( CONTROL!$C$37, 13.7642, 13.7626) * CHOOSE(CONTROL!$C$20, $D$12, 100%, $F$12)</f>
        <v>13.764200000000001</v>
      </c>
      <c r="J529" s="4">
        <f>CHOOSE( CONTROL!$C$37, 13.6328, 13.6312) * CHOOSE(CONTROL!$C$20, $D$12, 100%, $F$12)</f>
        <v>13.6328</v>
      </c>
      <c r="K529" s="4"/>
      <c r="L529" s="8">
        <v>30.7165</v>
      </c>
      <c r="M529" s="8">
        <v>12.063700000000001</v>
      </c>
      <c r="N529" s="8">
        <v>4.9444999999999997</v>
      </c>
      <c r="O529" s="8">
        <v>0.37409999999999999</v>
      </c>
      <c r="P529" s="8">
        <v>1.2927</v>
      </c>
      <c r="Q529" s="8">
        <v>19.688099999999999</v>
      </c>
      <c r="R529" s="8"/>
    </row>
    <row r="530" spans="1:18" ht="14.25" customHeight="1">
      <c r="A530" s="11">
        <v>57253</v>
      </c>
      <c r="B530" s="7">
        <f>CHOOSE( CONTROL!$C$37, 13.7692, 13.7675) * CHOOSE(CONTROL!$C$20, $D$12, 100%, $F$12)</f>
        <v>13.7692</v>
      </c>
      <c r="C530" s="7">
        <f>CHOOSE( CONTROL!$C$37, 13.7772, 13.7755) * CHOOSE(CONTROL!$C$20, $D$12, 100%, $F$12)</f>
        <v>13.777200000000001</v>
      </c>
      <c r="D530" s="7">
        <f>CHOOSE( CONTROL!$C$37, 13.7834, 13.7817) * CHOOSE( CONTROL!$C$20, $D$12, 100%, $F$12)</f>
        <v>13.7834</v>
      </c>
      <c r="E530" s="10">
        <f>CHOOSE( CONTROL!$C$37, 13.7799, 13.7782) * CHOOSE( CONTROL!$C$20, $D$12, 100%, $F$12)</f>
        <v>13.7799</v>
      </c>
      <c r="F530" s="4">
        <f>CHOOSE( CONTROL!$C$37, 14.4945, 14.4928) * CHOOSE(CONTROL!$C$20, $D$12, 100%, $F$12)</f>
        <v>14.4945</v>
      </c>
      <c r="G530" s="7">
        <f>CHOOSE( CONTROL!$C$37, 13.6214, 13.6198) * CHOOSE( CONTROL!$C$20, $D$12, 100%, $F$12)</f>
        <v>13.6214</v>
      </c>
      <c r="H530" s="4">
        <f>CHOOSE( CONTROL!$C$37, 14.5661, 14.5644) * CHOOSE(CONTROL!$C$20, $D$12, 100%, $F$12)</f>
        <v>14.5661</v>
      </c>
      <c r="I530" s="7">
        <f>CHOOSE( CONTROL!$C$37, 13.4782, 13.4766) * CHOOSE(CONTROL!$C$20, $D$12, 100%, $F$12)</f>
        <v>13.478199999999999</v>
      </c>
      <c r="J530" s="4">
        <f>CHOOSE( CONTROL!$C$37, 13.3473, 13.3457) * CHOOSE(CONTROL!$C$20, $D$12, 100%, $F$12)</f>
        <v>13.347300000000001</v>
      </c>
      <c r="K530" s="4"/>
      <c r="L530" s="8">
        <v>29.7257</v>
      </c>
      <c r="M530" s="8">
        <v>11.6745</v>
      </c>
      <c r="N530" s="8">
        <v>4.7850000000000001</v>
      </c>
      <c r="O530" s="8">
        <v>0.36199999999999999</v>
      </c>
      <c r="P530" s="8">
        <v>1.2509999999999999</v>
      </c>
      <c r="Q530" s="8">
        <v>19.053000000000001</v>
      </c>
      <c r="R530" s="8"/>
    </row>
    <row r="531" spans="1:18" ht="14.25" customHeight="1">
      <c r="A531" s="11">
        <v>57284</v>
      </c>
      <c r="B531" s="7">
        <f>CHOOSE( CONTROL!$C$37, 14.3791, 14.3781) * CHOOSE(CONTROL!$C$20, $D$12, 100%, $F$12)</f>
        <v>14.379099999999999</v>
      </c>
      <c r="C531" s="7">
        <f>CHOOSE( CONTROL!$C$37, 14.3845, 14.3834) * CHOOSE(CONTROL!$C$20, $D$12, 100%, $F$12)</f>
        <v>14.384499999999999</v>
      </c>
      <c r="D531" s="7">
        <f>CHOOSE( CONTROL!$C$37, 14.3965, 14.3954) * CHOOSE( CONTROL!$C$20, $D$12, 100%, $F$12)</f>
        <v>14.3965</v>
      </c>
      <c r="E531" s="10">
        <f>CHOOSE( CONTROL!$C$37, 14.392, 14.3909) * CHOOSE( CONTROL!$C$20, $D$12, 100%, $F$12)</f>
        <v>14.391999999999999</v>
      </c>
      <c r="F531" s="4">
        <f>CHOOSE( CONTROL!$C$37, 15.1062, 15.1051) * CHOOSE(CONTROL!$C$20, $D$12, 100%, $F$12)</f>
        <v>15.106199999999999</v>
      </c>
      <c r="G531" s="7">
        <f>CHOOSE( CONTROL!$C$37, 14.2247, 14.2236) * CHOOSE( CONTROL!$C$20, $D$12, 100%, $F$12)</f>
        <v>14.2247</v>
      </c>
      <c r="H531" s="4">
        <f>CHOOSE( CONTROL!$C$37, 15.1692, 15.1682) * CHOOSE(CONTROL!$C$20, $D$12, 100%, $F$12)</f>
        <v>15.1692</v>
      </c>
      <c r="I531" s="7">
        <f>CHOOSE( CONTROL!$C$37, 14.0714, 14.0704) * CHOOSE(CONTROL!$C$20, $D$12, 100%, $F$12)</f>
        <v>14.071400000000001</v>
      </c>
      <c r="J531" s="4">
        <f>CHOOSE( CONTROL!$C$37, 13.9396, 13.9385) * CHOOSE(CONTROL!$C$20, $D$12, 100%, $F$12)</f>
        <v>13.9396</v>
      </c>
      <c r="K531" s="4"/>
      <c r="L531" s="8">
        <v>31.095300000000002</v>
      </c>
      <c r="M531" s="8">
        <v>12.063700000000001</v>
      </c>
      <c r="N531" s="8">
        <v>4.9444999999999997</v>
      </c>
      <c r="O531" s="8">
        <v>0.37409999999999999</v>
      </c>
      <c r="P531" s="8">
        <v>1.2927</v>
      </c>
      <c r="Q531" s="8">
        <v>19.688099999999999</v>
      </c>
      <c r="R531" s="8"/>
    </row>
    <row r="532" spans="1:18" ht="14.25" customHeight="1">
      <c r="A532" s="11">
        <v>57314</v>
      </c>
      <c r="B532" s="7">
        <f>CHOOSE( CONTROL!$C$37, 15.5089, 15.5078) * CHOOSE(CONTROL!$C$20, $D$12, 100%, $F$12)</f>
        <v>15.508900000000001</v>
      </c>
      <c r="C532" s="7">
        <f>CHOOSE( CONTROL!$C$37, 15.514, 15.5129) * CHOOSE(CONTROL!$C$20, $D$12, 100%, $F$12)</f>
        <v>15.513999999999999</v>
      </c>
      <c r="D532" s="7">
        <f>CHOOSE( CONTROL!$C$37, 15.4924, 15.4913) * CHOOSE( CONTROL!$C$20, $D$12, 100%, $F$12)</f>
        <v>15.4924</v>
      </c>
      <c r="E532" s="10">
        <f>CHOOSE( CONTROL!$C$37, 15.4998, 15.4987) * CHOOSE( CONTROL!$C$20, $D$12, 100%, $F$12)</f>
        <v>15.4998</v>
      </c>
      <c r="F532" s="4">
        <f>CHOOSE( CONTROL!$C$37, 16.1614, 16.1603) * CHOOSE(CONTROL!$C$20, $D$12, 100%, $F$12)</f>
        <v>16.1614</v>
      </c>
      <c r="G532" s="7">
        <f>CHOOSE( CONTROL!$C$37, 15.3252, 15.3241) * CHOOSE( CONTROL!$C$20, $D$12, 100%, $F$12)</f>
        <v>15.325200000000001</v>
      </c>
      <c r="H532" s="4">
        <f>CHOOSE( CONTROL!$C$37, 16.2098, 16.2087) * CHOOSE(CONTROL!$C$20, $D$12, 100%, $F$12)</f>
        <v>16.209800000000001</v>
      </c>
      <c r="I532" s="7">
        <f>CHOOSE( CONTROL!$C$37, 15.2175, 15.2164) * CHOOSE(CONTROL!$C$20, $D$12, 100%, $F$12)</f>
        <v>15.217499999999999</v>
      </c>
      <c r="J532" s="4">
        <f>CHOOSE( CONTROL!$C$37, 15.0339, 15.0328) * CHOOSE(CONTROL!$C$20, $D$12, 100%, $F$12)</f>
        <v>15.033899999999999</v>
      </c>
      <c r="K532" s="4"/>
      <c r="L532" s="8">
        <v>28.360600000000002</v>
      </c>
      <c r="M532" s="8">
        <v>11.6745</v>
      </c>
      <c r="N532" s="8">
        <v>4.7850000000000001</v>
      </c>
      <c r="O532" s="8">
        <v>0.36199999999999999</v>
      </c>
      <c r="P532" s="8">
        <v>1.2509999999999999</v>
      </c>
      <c r="Q532" s="8">
        <v>19.053000000000001</v>
      </c>
      <c r="R532" s="8"/>
    </row>
    <row r="533" spans="1:18" ht="14.25" customHeight="1">
      <c r="A533" s="11">
        <v>57345</v>
      </c>
      <c r="B533" s="7">
        <f>CHOOSE( CONTROL!$C$37, 15.4806, 15.4795) * CHOOSE(CONTROL!$C$20, $D$12, 100%, $F$12)</f>
        <v>15.480600000000001</v>
      </c>
      <c r="C533" s="7">
        <f>CHOOSE( CONTROL!$C$37, 15.4857, 15.4846) * CHOOSE(CONTROL!$C$20, $D$12, 100%, $F$12)</f>
        <v>15.4857</v>
      </c>
      <c r="D533" s="7">
        <f>CHOOSE( CONTROL!$C$37, 15.4658, 15.4647) * CHOOSE( CONTROL!$C$20, $D$12, 100%, $F$12)</f>
        <v>15.4658</v>
      </c>
      <c r="E533" s="10">
        <f>CHOOSE( CONTROL!$C$37, 15.4725, 15.4714) * CHOOSE( CONTROL!$C$20, $D$12, 100%, $F$12)</f>
        <v>15.4725</v>
      </c>
      <c r="F533" s="4">
        <f>CHOOSE( CONTROL!$C$37, 16.1332, 16.1321) * CHOOSE(CONTROL!$C$20, $D$12, 100%, $F$12)</f>
        <v>16.133199999999999</v>
      </c>
      <c r="G533" s="7">
        <f>CHOOSE( CONTROL!$C$37, 15.2985, 15.2974) * CHOOSE( CONTROL!$C$20, $D$12, 100%, $F$12)</f>
        <v>15.298500000000001</v>
      </c>
      <c r="H533" s="4">
        <f>CHOOSE( CONTROL!$C$37, 16.1819, 16.1809) * CHOOSE(CONTROL!$C$20, $D$12, 100%, $F$12)</f>
        <v>16.181899999999999</v>
      </c>
      <c r="I533" s="7">
        <f>CHOOSE( CONTROL!$C$37, 15.195, 15.1939) * CHOOSE(CONTROL!$C$20, $D$12, 100%, $F$12)</f>
        <v>15.195</v>
      </c>
      <c r="J533" s="4">
        <f>CHOOSE( CONTROL!$C$37, 15.0066, 15.0055) * CHOOSE(CONTROL!$C$20, $D$12, 100%, $F$12)</f>
        <v>15.006600000000001</v>
      </c>
      <c r="K533" s="4"/>
      <c r="L533" s="8">
        <v>29.306000000000001</v>
      </c>
      <c r="M533" s="8">
        <v>12.063700000000001</v>
      </c>
      <c r="N533" s="8">
        <v>4.9444999999999997</v>
      </c>
      <c r="O533" s="8">
        <v>0.37409999999999999</v>
      </c>
      <c r="P533" s="8">
        <v>1.2927</v>
      </c>
      <c r="Q533" s="8">
        <v>19.688099999999999</v>
      </c>
      <c r="R533" s="8"/>
    </row>
    <row r="534" spans="1:18" ht="14.25" customHeight="1">
      <c r="A534" s="11">
        <v>57376</v>
      </c>
      <c r="B534" s="7">
        <f>CHOOSE( CONTROL!$C$37, 15.9377, 15.9366) * CHOOSE(CONTROL!$C$20, $D$12, 100%, $F$12)</f>
        <v>15.9377</v>
      </c>
      <c r="C534" s="7">
        <f>CHOOSE( CONTROL!$C$37, 15.9428, 15.9417) * CHOOSE(CONTROL!$C$20, $D$12, 100%, $F$12)</f>
        <v>15.9428</v>
      </c>
      <c r="D534" s="7">
        <f>CHOOSE( CONTROL!$C$37, 15.9359, 15.9348) * CHOOSE( CONTROL!$C$20, $D$12, 100%, $F$12)</f>
        <v>15.9359</v>
      </c>
      <c r="E534" s="10">
        <f>CHOOSE( CONTROL!$C$37, 15.9379, 15.9368) * CHOOSE( CONTROL!$C$20, $D$12, 100%, $F$12)</f>
        <v>15.937900000000001</v>
      </c>
      <c r="F534" s="4">
        <f>CHOOSE( CONTROL!$C$37, 16.5903, 16.5892) * CHOOSE(CONTROL!$C$20, $D$12, 100%, $F$12)</f>
        <v>16.590299999999999</v>
      </c>
      <c r="G534" s="7">
        <f>CHOOSE( CONTROL!$C$37, 15.7537, 15.7526) * CHOOSE( CONTROL!$C$20, $D$12, 100%, $F$12)</f>
        <v>15.7537</v>
      </c>
      <c r="H534" s="4">
        <f>CHOOSE( CONTROL!$C$37, 16.6327, 16.6316) * CHOOSE(CONTROL!$C$20, $D$12, 100%, $F$12)</f>
        <v>16.6327</v>
      </c>
      <c r="I534" s="7">
        <f>CHOOSE( CONTROL!$C$37, 15.6091, 15.608) * CHOOSE(CONTROL!$C$20, $D$12, 100%, $F$12)</f>
        <v>15.6091</v>
      </c>
      <c r="J534" s="4">
        <f>CHOOSE( CONTROL!$C$37, 15.4492, 15.4481) * CHOOSE(CONTROL!$C$20, $D$12, 100%, $F$12)</f>
        <v>15.449199999999999</v>
      </c>
      <c r="K534" s="4"/>
      <c r="L534" s="8">
        <v>29.306000000000001</v>
      </c>
      <c r="M534" s="8">
        <v>12.063700000000001</v>
      </c>
      <c r="N534" s="8">
        <v>4.9444999999999997</v>
      </c>
      <c r="O534" s="8">
        <v>0.37409999999999999</v>
      </c>
      <c r="P534" s="8">
        <v>1.2927</v>
      </c>
      <c r="Q534" s="8">
        <v>19.688099999999999</v>
      </c>
      <c r="R534" s="8"/>
    </row>
    <row r="535" spans="1:18" ht="14.25" customHeight="1">
      <c r="A535" s="11">
        <v>57404</v>
      </c>
      <c r="B535" s="7">
        <f>CHOOSE( CONTROL!$C$37, 14.9063, 14.9053) * CHOOSE(CONTROL!$C$20, $D$12, 100%, $F$12)</f>
        <v>14.9063</v>
      </c>
      <c r="C535" s="7">
        <f>CHOOSE( CONTROL!$C$37, 14.9114, 14.9104) * CHOOSE(CONTROL!$C$20, $D$12, 100%, $F$12)</f>
        <v>14.9114</v>
      </c>
      <c r="D535" s="7">
        <f>CHOOSE( CONTROL!$C$37, 14.9045, 14.9034) * CHOOSE( CONTROL!$C$20, $D$12, 100%, $F$12)</f>
        <v>14.904500000000001</v>
      </c>
      <c r="E535" s="10">
        <f>CHOOSE( CONTROL!$C$37, 14.9065, 14.9054) * CHOOSE( CONTROL!$C$20, $D$12, 100%, $F$12)</f>
        <v>14.906499999999999</v>
      </c>
      <c r="F535" s="4">
        <f>CHOOSE( CONTROL!$C$37, 15.5589, 15.5578) * CHOOSE(CONTROL!$C$20, $D$12, 100%, $F$12)</f>
        <v>15.5589</v>
      </c>
      <c r="G535" s="7">
        <f>CHOOSE( CONTROL!$C$37, 14.7366, 14.7356) * CHOOSE( CONTROL!$C$20, $D$12, 100%, $F$12)</f>
        <v>14.736599999999999</v>
      </c>
      <c r="H535" s="4">
        <f>CHOOSE( CONTROL!$C$37, 15.6157, 15.6146) * CHOOSE(CONTROL!$C$20, $D$12, 100%, $F$12)</f>
        <v>15.6157</v>
      </c>
      <c r="I535" s="7">
        <f>CHOOSE( CONTROL!$C$37, 14.6096, 14.6086) * CHOOSE(CONTROL!$C$20, $D$12, 100%, $F$12)</f>
        <v>14.6096</v>
      </c>
      <c r="J535" s="4">
        <f>CHOOSE( CONTROL!$C$37, 14.4505, 14.4494) * CHOOSE(CONTROL!$C$20, $D$12, 100%, $F$12)</f>
        <v>14.4505</v>
      </c>
      <c r="K535" s="4"/>
      <c r="L535" s="8">
        <v>26.469899999999999</v>
      </c>
      <c r="M535" s="8">
        <v>10.8962</v>
      </c>
      <c r="N535" s="8">
        <v>4.4660000000000002</v>
      </c>
      <c r="O535" s="8">
        <v>0.33789999999999998</v>
      </c>
      <c r="P535" s="8">
        <v>1.1676</v>
      </c>
      <c r="Q535" s="8">
        <v>17.782800000000002</v>
      </c>
      <c r="R535" s="8"/>
    </row>
    <row r="536" spans="1:18" ht="14.25" customHeight="1">
      <c r="A536" s="11">
        <v>57435</v>
      </c>
      <c r="B536" s="7">
        <f>CHOOSE( CONTROL!$C$37, 14.5887, 14.5876) * CHOOSE(CONTROL!$C$20, $D$12, 100%, $F$12)</f>
        <v>14.588699999999999</v>
      </c>
      <c r="C536" s="7">
        <f>CHOOSE( CONTROL!$C$37, 14.5938, 14.5927) * CHOOSE(CONTROL!$C$20, $D$12, 100%, $F$12)</f>
        <v>14.5938</v>
      </c>
      <c r="D536" s="7">
        <f>CHOOSE( CONTROL!$C$37, 14.5862, 14.5851) * CHOOSE( CONTROL!$C$20, $D$12, 100%, $F$12)</f>
        <v>14.5862</v>
      </c>
      <c r="E536" s="10">
        <f>CHOOSE( CONTROL!$C$37, 14.5884, 14.5873) * CHOOSE( CONTROL!$C$20, $D$12, 100%, $F$12)</f>
        <v>14.5884</v>
      </c>
      <c r="F536" s="4">
        <f>CHOOSE( CONTROL!$C$37, 15.2412, 15.2401) * CHOOSE(CONTROL!$C$20, $D$12, 100%, $F$12)</f>
        <v>15.241199999999999</v>
      </c>
      <c r="G536" s="7">
        <f>CHOOSE( CONTROL!$C$37, 14.4229, 14.4219) * CHOOSE( CONTROL!$C$20, $D$12, 100%, $F$12)</f>
        <v>14.4229</v>
      </c>
      <c r="H536" s="4">
        <f>CHOOSE( CONTROL!$C$37, 15.3024, 15.3014) * CHOOSE(CONTROL!$C$20, $D$12, 100%, $F$12)</f>
        <v>15.3024</v>
      </c>
      <c r="I536" s="7">
        <f>CHOOSE( CONTROL!$C$37, 14.3, 14.2989) * CHOOSE(CONTROL!$C$20, $D$12, 100%, $F$12)</f>
        <v>14.3</v>
      </c>
      <c r="J536" s="4">
        <f>CHOOSE( CONTROL!$C$37, 14.1429, 14.1418) * CHOOSE(CONTROL!$C$20, $D$12, 100%, $F$12)</f>
        <v>14.142899999999999</v>
      </c>
      <c r="K536" s="4"/>
      <c r="L536" s="8">
        <v>29.306000000000001</v>
      </c>
      <c r="M536" s="8">
        <v>12.063700000000001</v>
      </c>
      <c r="N536" s="8">
        <v>4.9444999999999997</v>
      </c>
      <c r="O536" s="8">
        <v>0.37409999999999999</v>
      </c>
      <c r="P536" s="8">
        <v>1.2927</v>
      </c>
      <c r="Q536" s="8">
        <v>19.688099999999999</v>
      </c>
      <c r="R536" s="8"/>
    </row>
    <row r="537" spans="1:18" ht="14.25" customHeight="1">
      <c r="A537" s="11">
        <v>57465</v>
      </c>
      <c r="B537" s="7">
        <f>CHOOSE( CONTROL!$C$37, 14.8114, 14.8103) * CHOOSE(CONTROL!$C$20, $D$12, 100%, $F$12)</f>
        <v>14.811400000000001</v>
      </c>
      <c r="C537" s="7">
        <f>CHOOSE( CONTROL!$C$37, 14.816, 14.8149) * CHOOSE(CONTROL!$C$20, $D$12, 100%, $F$12)</f>
        <v>14.816000000000001</v>
      </c>
      <c r="D537" s="7">
        <f>CHOOSE( CONTROL!$C$37, 14.8278, 14.8267) * CHOOSE( CONTROL!$C$20, $D$12, 100%, $F$12)</f>
        <v>14.8278</v>
      </c>
      <c r="E537" s="10">
        <f>CHOOSE( CONTROL!$C$37, 14.8234, 14.8223) * CHOOSE( CONTROL!$C$20, $D$12, 100%, $F$12)</f>
        <v>14.823399999999999</v>
      </c>
      <c r="F537" s="4">
        <f>CHOOSE( CONTROL!$C$37, 15.5381, 15.537) * CHOOSE(CONTROL!$C$20, $D$12, 100%, $F$12)</f>
        <v>15.5381</v>
      </c>
      <c r="G537" s="7">
        <f>CHOOSE( CONTROL!$C$37, 14.6501, 14.649) * CHOOSE( CONTROL!$C$20, $D$12, 100%, $F$12)</f>
        <v>14.6501</v>
      </c>
      <c r="H537" s="4">
        <f>CHOOSE( CONTROL!$C$37, 15.5951, 15.5941) * CHOOSE(CONTROL!$C$20, $D$12, 100%, $F$12)</f>
        <v>15.5951</v>
      </c>
      <c r="I537" s="7">
        <f>CHOOSE( CONTROL!$C$37, 14.4876, 14.4865) * CHOOSE(CONTROL!$C$20, $D$12, 100%, $F$12)</f>
        <v>14.4876</v>
      </c>
      <c r="J537" s="4">
        <f>CHOOSE( CONTROL!$C$37, 14.3578, 14.3568) * CHOOSE(CONTROL!$C$20, $D$12, 100%, $F$12)</f>
        <v>14.357799999999999</v>
      </c>
      <c r="K537" s="4"/>
      <c r="L537" s="8">
        <v>30.092199999999998</v>
      </c>
      <c r="M537" s="8">
        <v>11.6745</v>
      </c>
      <c r="N537" s="8">
        <v>4.7850000000000001</v>
      </c>
      <c r="O537" s="8">
        <v>0.36199999999999999</v>
      </c>
      <c r="P537" s="8">
        <v>1.2509999999999999</v>
      </c>
      <c r="Q537" s="8">
        <v>19.053000000000001</v>
      </c>
      <c r="R537" s="8"/>
    </row>
    <row r="538" spans="1:18" ht="14.25" customHeight="1">
      <c r="A538" s="11">
        <v>57496</v>
      </c>
      <c r="B538" s="7">
        <f>CHOOSE( CONTROL!$C$37, 15.2084, 15.2068) * CHOOSE(CONTROL!$C$20, $D$12, 100%, $F$12)</f>
        <v>15.208399999999999</v>
      </c>
      <c r="C538" s="7">
        <f>CHOOSE( CONTROL!$C$37, 15.2164, 15.2148) * CHOOSE(CONTROL!$C$20, $D$12, 100%, $F$12)</f>
        <v>15.2164</v>
      </c>
      <c r="D538" s="7">
        <f>CHOOSE( CONTROL!$C$37, 15.2221, 15.2204) * CHOOSE( CONTROL!$C$20, $D$12, 100%, $F$12)</f>
        <v>15.222099999999999</v>
      </c>
      <c r="E538" s="10">
        <f>CHOOSE( CONTROL!$C$37, 15.2188, 15.2172) * CHOOSE( CONTROL!$C$20, $D$12, 100%, $F$12)</f>
        <v>15.2188</v>
      </c>
      <c r="F538" s="4">
        <f>CHOOSE( CONTROL!$C$37, 15.9337, 15.9321) * CHOOSE(CONTROL!$C$20, $D$12, 100%, $F$12)</f>
        <v>15.9337</v>
      </c>
      <c r="G538" s="7">
        <f>CHOOSE( CONTROL!$C$37, 15.0402, 15.0385) * CHOOSE( CONTROL!$C$20, $D$12, 100%, $F$12)</f>
        <v>15.0402</v>
      </c>
      <c r="H538" s="4">
        <f>CHOOSE( CONTROL!$C$37, 15.9853, 15.9836) * CHOOSE(CONTROL!$C$20, $D$12, 100%, $F$12)</f>
        <v>15.985300000000001</v>
      </c>
      <c r="I538" s="7">
        <f>CHOOSE( CONTROL!$C$37, 14.8706, 14.869) * CHOOSE(CONTROL!$C$20, $D$12, 100%, $F$12)</f>
        <v>14.8706</v>
      </c>
      <c r="J538" s="4">
        <f>CHOOSE( CONTROL!$C$37, 14.7409, 14.7393) * CHOOSE(CONTROL!$C$20, $D$12, 100%, $F$12)</f>
        <v>14.7409</v>
      </c>
      <c r="K538" s="4"/>
      <c r="L538" s="8">
        <v>30.7165</v>
      </c>
      <c r="M538" s="8">
        <v>12.063700000000001</v>
      </c>
      <c r="N538" s="8">
        <v>4.9444999999999997</v>
      </c>
      <c r="O538" s="8">
        <v>0.37409999999999999</v>
      </c>
      <c r="P538" s="8">
        <v>1.2927</v>
      </c>
      <c r="Q538" s="8">
        <v>19.688099999999999</v>
      </c>
      <c r="R538" s="8"/>
    </row>
    <row r="539" spans="1:18" ht="14.25" customHeight="1">
      <c r="A539" s="11">
        <v>57526</v>
      </c>
      <c r="B539" s="7">
        <f>CHOOSE( CONTROL!$C$37, 14.9637, 14.962) * CHOOSE(CONTROL!$C$20, $D$12, 100%, $F$12)</f>
        <v>14.963699999999999</v>
      </c>
      <c r="C539" s="7">
        <f>CHOOSE( CONTROL!$C$37, 14.9717, 14.97) * CHOOSE(CONTROL!$C$20, $D$12, 100%, $F$12)</f>
        <v>14.9717</v>
      </c>
      <c r="D539" s="7">
        <f>CHOOSE( CONTROL!$C$37, 14.9776, 14.976) * CHOOSE( CONTROL!$C$20, $D$12, 100%, $F$12)</f>
        <v>14.977600000000001</v>
      </c>
      <c r="E539" s="10">
        <f>CHOOSE( CONTROL!$C$37, 14.9742, 14.9726) * CHOOSE( CONTROL!$C$20, $D$12, 100%, $F$12)</f>
        <v>14.9742</v>
      </c>
      <c r="F539" s="4">
        <f>CHOOSE( CONTROL!$C$37, 15.689, 15.6873) * CHOOSE(CONTROL!$C$20, $D$12, 100%, $F$12)</f>
        <v>15.689</v>
      </c>
      <c r="G539" s="7">
        <f>CHOOSE( CONTROL!$C$37, 14.7991, 14.7974) * CHOOSE( CONTROL!$C$20, $D$12, 100%, $F$12)</f>
        <v>14.799099999999999</v>
      </c>
      <c r="H539" s="4">
        <f>CHOOSE( CONTROL!$C$37, 15.7439, 15.7423) * CHOOSE(CONTROL!$C$20, $D$12, 100%, $F$12)</f>
        <v>15.7439</v>
      </c>
      <c r="I539" s="7">
        <f>CHOOSE( CONTROL!$C$37, 14.6345, 14.6329) * CHOOSE(CONTROL!$C$20, $D$12, 100%, $F$12)</f>
        <v>14.634499999999999</v>
      </c>
      <c r="J539" s="4">
        <f>CHOOSE( CONTROL!$C$37, 14.5039, 14.5023) * CHOOSE(CONTROL!$C$20, $D$12, 100%, $F$12)</f>
        <v>14.5039</v>
      </c>
      <c r="K539" s="4"/>
      <c r="L539" s="8">
        <v>29.7257</v>
      </c>
      <c r="M539" s="8">
        <v>11.6745</v>
      </c>
      <c r="N539" s="8">
        <v>4.7850000000000001</v>
      </c>
      <c r="O539" s="8">
        <v>0.36199999999999999</v>
      </c>
      <c r="P539" s="8">
        <v>1.2509999999999999</v>
      </c>
      <c r="Q539" s="8">
        <v>19.053000000000001</v>
      </c>
      <c r="R539" s="8"/>
    </row>
    <row r="540" spans="1:18" ht="14.25" customHeight="1">
      <c r="A540" s="11">
        <v>57557</v>
      </c>
      <c r="B540" s="7">
        <f>CHOOSE( CONTROL!$C$37, 15.6082, 15.6065) * CHOOSE(CONTROL!$C$20, $D$12, 100%, $F$12)</f>
        <v>15.6082</v>
      </c>
      <c r="C540" s="7">
        <f>CHOOSE( CONTROL!$C$37, 15.6162, 15.6145) * CHOOSE(CONTROL!$C$20, $D$12, 100%, $F$12)</f>
        <v>15.616199999999999</v>
      </c>
      <c r="D540" s="7">
        <f>CHOOSE( CONTROL!$C$37, 15.6224, 15.6207) * CHOOSE( CONTROL!$C$20, $D$12, 100%, $F$12)</f>
        <v>15.622400000000001</v>
      </c>
      <c r="E540" s="10">
        <f>CHOOSE( CONTROL!$C$37, 15.6189, 15.6172) * CHOOSE( CONTROL!$C$20, $D$12, 100%, $F$12)</f>
        <v>15.6189</v>
      </c>
      <c r="F540" s="4">
        <f>CHOOSE( CONTROL!$C$37, 16.3335, 16.3318) * CHOOSE(CONTROL!$C$20, $D$12, 100%, $F$12)</f>
        <v>16.333500000000001</v>
      </c>
      <c r="G540" s="7">
        <f>CHOOSE( CONTROL!$C$37, 15.4348, 15.4331) * CHOOSE( CONTROL!$C$20, $D$12, 100%, $F$12)</f>
        <v>15.434799999999999</v>
      </c>
      <c r="H540" s="4">
        <f>CHOOSE( CONTROL!$C$37, 16.3794, 16.3778) * CHOOSE(CONTROL!$C$20, $D$12, 100%, $F$12)</f>
        <v>16.3794</v>
      </c>
      <c r="I540" s="7">
        <f>CHOOSE( CONTROL!$C$37, 15.2599, 15.2582) * CHOOSE(CONTROL!$C$20, $D$12, 100%, $F$12)</f>
        <v>15.2599</v>
      </c>
      <c r="J540" s="4">
        <f>CHOOSE( CONTROL!$C$37, 15.128, 15.1264) * CHOOSE(CONTROL!$C$20, $D$12, 100%, $F$12)</f>
        <v>15.128</v>
      </c>
      <c r="K540" s="4"/>
      <c r="L540" s="8">
        <v>30.7165</v>
      </c>
      <c r="M540" s="8">
        <v>12.063700000000001</v>
      </c>
      <c r="N540" s="8">
        <v>4.9444999999999997</v>
      </c>
      <c r="O540" s="8">
        <v>0.37409999999999999</v>
      </c>
      <c r="P540" s="8">
        <v>1.2927</v>
      </c>
      <c r="Q540" s="8">
        <v>19.688099999999999</v>
      </c>
      <c r="R540" s="8"/>
    </row>
    <row r="541" spans="1:18" ht="14.25" customHeight="1">
      <c r="A541" s="11">
        <v>57588</v>
      </c>
      <c r="B541" s="7">
        <f>CHOOSE( CONTROL!$C$37, 14.4023, 14.4006) * CHOOSE(CONTROL!$C$20, $D$12, 100%, $F$12)</f>
        <v>14.4023</v>
      </c>
      <c r="C541" s="7">
        <f>CHOOSE( CONTROL!$C$37, 14.4103, 14.4086) * CHOOSE(CONTROL!$C$20, $D$12, 100%, $F$12)</f>
        <v>14.410299999999999</v>
      </c>
      <c r="D541" s="7">
        <f>CHOOSE( CONTROL!$C$37, 14.4166, 14.4149) * CHOOSE( CONTROL!$C$20, $D$12, 100%, $F$12)</f>
        <v>14.416600000000001</v>
      </c>
      <c r="E541" s="10">
        <f>CHOOSE( CONTROL!$C$37, 14.4131, 14.4114) * CHOOSE( CONTROL!$C$20, $D$12, 100%, $F$12)</f>
        <v>14.4131</v>
      </c>
      <c r="F541" s="4">
        <f>CHOOSE( CONTROL!$C$37, 15.1276, 15.1259) * CHOOSE(CONTROL!$C$20, $D$12, 100%, $F$12)</f>
        <v>15.127599999999999</v>
      </c>
      <c r="G541" s="7">
        <f>CHOOSE( CONTROL!$C$37, 14.2458, 14.2442) * CHOOSE( CONTROL!$C$20, $D$12, 100%, $F$12)</f>
        <v>14.245799999999999</v>
      </c>
      <c r="H541" s="4">
        <f>CHOOSE( CONTROL!$C$37, 15.1904, 15.1887) * CHOOSE(CONTROL!$C$20, $D$12, 100%, $F$12)</f>
        <v>15.1904</v>
      </c>
      <c r="I541" s="7">
        <f>CHOOSE( CONTROL!$C$37, 14.0919, 14.0903) * CHOOSE(CONTROL!$C$20, $D$12, 100%, $F$12)</f>
        <v>14.091900000000001</v>
      </c>
      <c r="J541" s="4">
        <f>CHOOSE( CONTROL!$C$37, 13.9603, 13.9587) * CHOOSE(CONTROL!$C$20, $D$12, 100%, $F$12)</f>
        <v>13.9603</v>
      </c>
      <c r="K541" s="4"/>
      <c r="L541" s="8">
        <v>30.7165</v>
      </c>
      <c r="M541" s="8">
        <v>12.063700000000001</v>
      </c>
      <c r="N541" s="8">
        <v>4.9444999999999997</v>
      </c>
      <c r="O541" s="8">
        <v>0.37409999999999999</v>
      </c>
      <c r="P541" s="8">
        <v>1.2927</v>
      </c>
      <c r="Q541" s="8">
        <v>19.688099999999999</v>
      </c>
      <c r="R541" s="8"/>
    </row>
    <row r="542" spans="1:18" ht="14.25" customHeight="1">
      <c r="A542" s="11">
        <v>57618</v>
      </c>
      <c r="B542" s="7">
        <f>CHOOSE( CONTROL!$C$37, 14.1003, 14.0987) * CHOOSE(CONTROL!$C$20, $D$12, 100%, $F$12)</f>
        <v>14.100300000000001</v>
      </c>
      <c r="C542" s="7">
        <f>CHOOSE( CONTROL!$C$37, 14.1083, 14.1067) * CHOOSE(CONTROL!$C$20, $D$12, 100%, $F$12)</f>
        <v>14.1083</v>
      </c>
      <c r="D542" s="7">
        <f>CHOOSE( CONTROL!$C$37, 14.1145, 14.1129) * CHOOSE( CONTROL!$C$20, $D$12, 100%, $F$12)</f>
        <v>14.1145</v>
      </c>
      <c r="E542" s="10">
        <f>CHOOSE( CONTROL!$C$37, 14.111, 14.1094) * CHOOSE( CONTROL!$C$20, $D$12, 100%, $F$12)</f>
        <v>14.111000000000001</v>
      </c>
      <c r="F542" s="4">
        <f>CHOOSE( CONTROL!$C$37, 14.8256, 14.824) * CHOOSE(CONTROL!$C$20, $D$12, 100%, $F$12)</f>
        <v>14.8256</v>
      </c>
      <c r="G542" s="7">
        <f>CHOOSE( CONTROL!$C$37, 13.948, 13.9463) * CHOOSE( CONTROL!$C$20, $D$12, 100%, $F$12)</f>
        <v>13.948</v>
      </c>
      <c r="H542" s="4">
        <f>CHOOSE( CONTROL!$C$37, 14.8926, 14.891) * CHOOSE(CONTROL!$C$20, $D$12, 100%, $F$12)</f>
        <v>14.8926</v>
      </c>
      <c r="I542" s="7">
        <f>CHOOSE( CONTROL!$C$37, 13.799, 13.7974) * CHOOSE(CONTROL!$C$20, $D$12, 100%, $F$12)</f>
        <v>13.798999999999999</v>
      </c>
      <c r="J542" s="4">
        <f>CHOOSE( CONTROL!$C$37, 13.6679, 13.6663) * CHOOSE(CONTROL!$C$20, $D$12, 100%, $F$12)</f>
        <v>13.667899999999999</v>
      </c>
      <c r="K542" s="4"/>
      <c r="L542" s="8">
        <v>29.7257</v>
      </c>
      <c r="M542" s="8">
        <v>11.6745</v>
      </c>
      <c r="N542" s="8">
        <v>4.7850000000000001</v>
      </c>
      <c r="O542" s="8">
        <v>0.36199999999999999</v>
      </c>
      <c r="P542" s="8">
        <v>1.2509999999999999</v>
      </c>
      <c r="Q542" s="8">
        <v>19.053000000000001</v>
      </c>
      <c r="R542" s="8"/>
    </row>
    <row r="543" spans="1:18" ht="14.25" customHeight="1">
      <c r="A543" s="11">
        <v>57649</v>
      </c>
      <c r="B543" s="7">
        <f>CHOOSE( CONTROL!$C$37, 14.725, 14.7239) * CHOOSE(CONTROL!$C$20, $D$12, 100%, $F$12)</f>
        <v>14.725</v>
      </c>
      <c r="C543" s="7">
        <f>CHOOSE( CONTROL!$C$37, 14.7304, 14.7293) * CHOOSE(CONTROL!$C$20, $D$12, 100%, $F$12)</f>
        <v>14.730399999999999</v>
      </c>
      <c r="D543" s="7">
        <f>CHOOSE( CONTROL!$C$37, 14.7424, 14.7413) * CHOOSE( CONTROL!$C$20, $D$12, 100%, $F$12)</f>
        <v>14.7424</v>
      </c>
      <c r="E543" s="10">
        <f>CHOOSE( CONTROL!$C$37, 14.7379, 14.7368) * CHOOSE( CONTROL!$C$20, $D$12, 100%, $F$12)</f>
        <v>14.7379</v>
      </c>
      <c r="F543" s="4">
        <f>CHOOSE( CONTROL!$C$37, 15.452, 15.4509) * CHOOSE(CONTROL!$C$20, $D$12, 100%, $F$12)</f>
        <v>15.452</v>
      </c>
      <c r="G543" s="7">
        <f>CHOOSE( CONTROL!$C$37, 14.5657, 14.5647) * CHOOSE( CONTROL!$C$20, $D$12, 100%, $F$12)</f>
        <v>14.5657</v>
      </c>
      <c r="H543" s="4">
        <f>CHOOSE( CONTROL!$C$37, 15.5103, 15.5092) * CHOOSE(CONTROL!$C$20, $D$12, 100%, $F$12)</f>
        <v>15.510300000000001</v>
      </c>
      <c r="I543" s="7">
        <f>CHOOSE( CONTROL!$C$37, 14.4065, 14.4055) * CHOOSE(CONTROL!$C$20, $D$12, 100%, $F$12)</f>
        <v>14.406499999999999</v>
      </c>
      <c r="J543" s="4">
        <f>CHOOSE( CONTROL!$C$37, 14.2745, 14.2734) * CHOOSE(CONTROL!$C$20, $D$12, 100%, $F$12)</f>
        <v>14.2745</v>
      </c>
      <c r="K543" s="4"/>
      <c r="L543" s="8">
        <v>31.095300000000002</v>
      </c>
      <c r="M543" s="8">
        <v>12.063700000000001</v>
      </c>
      <c r="N543" s="8">
        <v>4.9444999999999997</v>
      </c>
      <c r="O543" s="8">
        <v>0.37409999999999999</v>
      </c>
      <c r="P543" s="8">
        <v>1.2927</v>
      </c>
      <c r="Q543" s="8">
        <v>19.688099999999999</v>
      </c>
      <c r="R543" s="8"/>
    </row>
    <row r="544" spans="1:18" ht="14.25" customHeight="1">
      <c r="A544" s="11">
        <v>57679</v>
      </c>
      <c r="B544" s="7">
        <f>CHOOSE( CONTROL!$C$37, 15.8819, 15.8808) * CHOOSE(CONTROL!$C$20, $D$12, 100%, $F$12)</f>
        <v>15.8819</v>
      </c>
      <c r="C544" s="7">
        <f>CHOOSE( CONTROL!$C$37, 15.887, 15.8859) * CHOOSE(CONTROL!$C$20, $D$12, 100%, $F$12)</f>
        <v>15.887</v>
      </c>
      <c r="D544" s="7">
        <f>CHOOSE( CONTROL!$C$37, 15.8654, 15.8644) * CHOOSE( CONTROL!$C$20, $D$12, 100%, $F$12)</f>
        <v>15.865399999999999</v>
      </c>
      <c r="E544" s="10">
        <f>CHOOSE( CONTROL!$C$37, 15.8728, 15.8717) * CHOOSE( CONTROL!$C$20, $D$12, 100%, $F$12)</f>
        <v>15.8728</v>
      </c>
      <c r="F544" s="4">
        <f>CHOOSE( CONTROL!$C$37, 16.5344, 16.5333) * CHOOSE(CONTROL!$C$20, $D$12, 100%, $F$12)</f>
        <v>16.534400000000002</v>
      </c>
      <c r="G544" s="7">
        <f>CHOOSE( CONTROL!$C$37, 15.693, 15.6919) * CHOOSE( CONTROL!$C$20, $D$12, 100%, $F$12)</f>
        <v>15.693</v>
      </c>
      <c r="H544" s="4">
        <f>CHOOSE( CONTROL!$C$37, 16.5776, 16.5765) * CHOOSE(CONTROL!$C$20, $D$12, 100%, $F$12)</f>
        <v>16.5776</v>
      </c>
      <c r="I544" s="7">
        <f>CHOOSE( CONTROL!$C$37, 15.5788, 15.5778) * CHOOSE(CONTROL!$C$20, $D$12, 100%, $F$12)</f>
        <v>15.578799999999999</v>
      </c>
      <c r="J544" s="4">
        <f>CHOOSE( CONTROL!$C$37, 15.3951, 15.394) * CHOOSE(CONTROL!$C$20, $D$12, 100%, $F$12)</f>
        <v>15.395099999999999</v>
      </c>
      <c r="K544" s="4"/>
      <c r="L544" s="8">
        <v>28.360600000000002</v>
      </c>
      <c r="M544" s="8">
        <v>11.6745</v>
      </c>
      <c r="N544" s="8">
        <v>4.7850000000000001</v>
      </c>
      <c r="O544" s="8">
        <v>0.36199999999999999</v>
      </c>
      <c r="P544" s="8">
        <v>1.2509999999999999</v>
      </c>
      <c r="Q544" s="8">
        <v>19.053000000000001</v>
      </c>
      <c r="R544" s="8"/>
    </row>
    <row r="545" spans="1:18" ht="14.25" customHeight="1">
      <c r="A545" s="11">
        <v>57710</v>
      </c>
      <c r="B545" s="7">
        <f>CHOOSE( CONTROL!$C$37, 15.853, 15.8519) * CHOOSE(CONTROL!$C$20, $D$12, 100%, $F$12)</f>
        <v>15.853</v>
      </c>
      <c r="C545" s="7">
        <f>CHOOSE( CONTROL!$C$37, 15.8581, 15.857) * CHOOSE(CONTROL!$C$20, $D$12, 100%, $F$12)</f>
        <v>15.8581</v>
      </c>
      <c r="D545" s="7">
        <f>CHOOSE( CONTROL!$C$37, 15.8381, 15.837) * CHOOSE( CONTROL!$C$20, $D$12, 100%, $F$12)</f>
        <v>15.838100000000001</v>
      </c>
      <c r="E545" s="10">
        <f>CHOOSE( CONTROL!$C$37, 15.8449, 15.8438) * CHOOSE( CONTROL!$C$20, $D$12, 100%, $F$12)</f>
        <v>15.844900000000001</v>
      </c>
      <c r="F545" s="4">
        <f>CHOOSE( CONTROL!$C$37, 16.5055, 16.5044) * CHOOSE(CONTROL!$C$20, $D$12, 100%, $F$12)</f>
        <v>16.505500000000001</v>
      </c>
      <c r="G545" s="7">
        <f>CHOOSE( CONTROL!$C$37, 15.6656, 15.6645) * CHOOSE( CONTROL!$C$20, $D$12, 100%, $F$12)</f>
        <v>15.6656</v>
      </c>
      <c r="H545" s="4">
        <f>CHOOSE( CONTROL!$C$37, 16.5491, 16.548) * CHOOSE(CONTROL!$C$20, $D$12, 100%, $F$12)</f>
        <v>16.549099999999999</v>
      </c>
      <c r="I545" s="7">
        <f>CHOOSE( CONTROL!$C$37, 15.5557, 15.5546) * CHOOSE(CONTROL!$C$20, $D$12, 100%, $F$12)</f>
        <v>15.5557</v>
      </c>
      <c r="J545" s="4">
        <f>CHOOSE( CONTROL!$C$37, 15.3671, 15.366) * CHOOSE(CONTROL!$C$20, $D$12, 100%, $F$12)</f>
        <v>15.367100000000001</v>
      </c>
      <c r="K545" s="4"/>
      <c r="L545" s="8">
        <v>29.306000000000001</v>
      </c>
      <c r="M545" s="8">
        <v>12.063700000000001</v>
      </c>
      <c r="N545" s="8">
        <v>4.9444999999999997</v>
      </c>
      <c r="O545" s="8">
        <v>0.37409999999999999</v>
      </c>
      <c r="P545" s="8">
        <v>1.2927</v>
      </c>
      <c r="Q545" s="8">
        <v>19.688099999999999</v>
      </c>
      <c r="R545" s="8"/>
    </row>
    <row r="546" spans="1:18" ht="14.25" customHeight="1">
      <c r="A546" s="11">
        <v>57741</v>
      </c>
      <c r="B546" s="7">
        <f>CHOOSE( CONTROL!$C$37, 16.3211, 16.32) * CHOOSE(CONTROL!$C$20, $D$12, 100%, $F$12)</f>
        <v>16.321100000000001</v>
      </c>
      <c r="C546" s="7">
        <f>CHOOSE( CONTROL!$C$37, 16.3262, 16.3251) * CHOOSE(CONTROL!$C$20, $D$12, 100%, $F$12)</f>
        <v>16.3262</v>
      </c>
      <c r="D546" s="7">
        <f>CHOOSE( CONTROL!$C$37, 16.3193, 16.3182) * CHOOSE( CONTROL!$C$20, $D$12, 100%, $F$12)</f>
        <v>16.319299999999998</v>
      </c>
      <c r="E546" s="10">
        <f>CHOOSE( CONTROL!$C$37, 16.3213, 16.3202) * CHOOSE( CONTROL!$C$20, $D$12, 100%, $F$12)</f>
        <v>16.321300000000001</v>
      </c>
      <c r="F546" s="4">
        <f>CHOOSE( CONTROL!$C$37, 16.9736, 16.9725) * CHOOSE(CONTROL!$C$20, $D$12, 100%, $F$12)</f>
        <v>16.973600000000001</v>
      </c>
      <c r="G546" s="7">
        <f>CHOOSE( CONTROL!$C$37, 16.1317, 16.1306) * CHOOSE( CONTROL!$C$20, $D$12, 100%, $F$12)</f>
        <v>16.131699999999999</v>
      </c>
      <c r="H546" s="4">
        <f>CHOOSE( CONTROL!$C$37, 17.0106, 17.0096) * CHOOSE(CONTROL!$C$20, $D$12, 100%, $F$12)</f>
        <v>17.0106</v>
      </c>
      <c r="I546" s="7">
        <f>CHOOSE( CONTROL!$C$37, 15.9805, 15.9794) * CHOOSE(CONTROL!$C$20, $D$12, 100%, $F$12)</f>
        <v>15.980499999999999</v>
      </c>
      <c r="J546" s="4">
        <f>CHOOSE( CONTROL!$C$37, 15.8203, 15.8193) * CHOOSE(CONTROL!$C$20, $D$12, 100%, $F$12)</f>
        <v>15.8203</v>
      </c>
      <c r="K546" s="4"/>
      <c r="L546" s="8">
        <v>29.306000000000001</v>
      </c>
      <c r="M546" s="8">
        <v>12.063700000000001</v>
      </c>
      <c r="N546" s="8">
        <v>4.9444999999999997</v>
      </c>
      <c r="O546" s="8">
        <v>0.37409999999999999</v>
      </c>
      <c r="P546" s="8">
        <v>1.2927</v>
      </c>
      <c r="Q546" s="8">
        <v>19.688099999999999</v>
      </c>
      <c r="R546" s="8"/>
    </row>
    <row r="547" spans="1:18" ht="14.25" customHeight="1">
      <c r="A547" s="11">
        <v>57769</v>
      </c>
      <c r="B547" s="7">
        <f>CHOOSE( CONTROL!$C$37, 15.2649, 15.2638) * CHOOSE(CONTROL!$C$20, $D$12, 100%, $F$12)</f>
        <v>15.264900000000001</v>
      </c>
      <c r="C547" s="7">
        <f>CHOOSE( CONTROL!$C$37, 15.27, 15.2689) * CHOOSE(CONTROL!$C$20, $D$12, 100%, $F$12)</f>
        <v>15.27</v>
      </c>
      <c r="D547" s="7">
        <f>CHOOSE( CONTROL!$C$37, 15.263, 15.2619) * CHOOSE( CONTROL!$C$20, $D$12, 100%, $F$12)</f>
        <v>15.263</v>
      </c>
      <c r="E547" s="10">
        <f>CHOOSE( CONTROL!$C$37, 15.265, 15.2639) * CHOOSE( CONTROL!$C$20, $D$12, 100%, $F$12)</f>
        <v>15.265000000000001</v>
      </c>
      <c r="F547" s="4">
        <f>CHOOSE( CONTROL!$C$37, 15.9174, 15.9163) * CHOOSE(CONTROL!$C$20, $D$12, 100%, $F$12)</f>
        <v>15.917400000000001</v>
      </c>
      <c r="G547" s="7">
        <f>CHOOSE( CONTROL!$C$37, 15.0902, 15.0891) * CHOOSE( CONTROL!$C$20, $D$12, 100%, $F$12)</f>
        <v>15.090199999999999</v>
      </c>
      <c r="H547" s="4">
        <f>CHOOSE( CONTROL!$C$37, 15.9692, 15.9681) * CHOOSE(CONTROL!$C$20, $D$12, 100%, $F$12)</f>
        <v>15.969200000000001</v>
      </c>
      <c r="I547" s="7">
        <f>CHOOSE( CONTROL!$C$37, 14.957, 14.956) * CHOOSE(CONTROL!$C$20, $D$12, 100%, $F$12)</f>
        <v>14.957000000000001</v>
      </c>
      <c r="J547" s="4">
        <f>CHOOSE( CONTROL!$C$37, 14.7977, 14.7966) * CHOOSE(CONTROL!$C$20, $D$12, 100%, $F$12)</f>
        <v>14.797700000000001</v>
      </c>
      <c r="K547" s="4"/>
      <c r="L547" s="8">
        <v>26.469899999999999</v>
      </c>
      <c r="M547" s="8">
        <v>10.8962</v>
      </c>
      <c r="N547" s="8">
        <v>4.4660000000000002</v>
      </c>
      <c r="O547" s="8">
        <v>0.33789999999999998</v>
      </c>
      <c r="P547" s="8">
        <v>1.1676</v>
      </c>
      <c r="Q547" s="8">
        <v>17.782800000000002</v>
      </c>
      <c r="R547" s="8"/>
    </row>
    <row r="548" spans="1:18" ht="14.25" customHeight="1">
      <c r="A548" s="11">
        <v>57800</v>
      </c>
      <c r="B548" s="7">
        <f>CHOOSE( CONTROL!$C$37, 14.9396, 14.9385) * CHOOSE(CONTROL!$C$20, $D$12, 100%, $F$12)</f>
        <v>14.9396</v>
      </c>
      <c r="C548" s="7">
        <f>CHOOSE( CONTROL!$C$37, 14.9447, 14.9436) * CHOOSE(CONTROL!$C$20, $D$12, 100%, $F$12)</f>
        <v>14.944699999999999</v>
      </c>
      <c r="D548" s="7">
        <f>CHOOSE( CONTROL!$C$37, 14.9371, 14.936) * CHOOSE( CONTROL!$C$20, $D$12, 100%, $F$12)</f>
        <v>14.937099999999999</v>
      </c>
      <c r="E548" s="10">
        <f>CHOOSE( CONTROL!$C$37, 14.9393, 14.9382) * CHOOSE( CONTROL!$C$20, $D$12, 100%, $F$12)</f>
        <v>14.939299999999999</v>
      </c>
      <c r="F548" s="4">
        <f>CHOOSE( CONTROL!$C$37, 15.5921, 15.591) * CHOOSE(CONTROL!$C$20, $D$12, 100%, $F$12)</f>
        <v>15.5921</v>
      </c>
      <c r="G548" s="7">
        <f>CHOOSE( CONTROL!$C$37, 14.769, 14.7679) * CHOOSE( CONTROL!$C$20, $D$12, 100%, $F$12)</f>
        <v>14.769</v>
      </c>
      <c r="H548" s="4">
        <f>CHOOSE( CONTROL!$C$37, 15.6485, 15.6474) * CHOOSE(CONTROL!$C$20, $D$12, 100%, $F$12)</f>
        <v>15.6485</v>
      </c>
      <c r="I548" s="7">
        <f>CHOOSE( CONTROL!$C$37, 14.6399, 14.6389) * CHOOSE(CONTROL!$C$20, $D$12, 100%, $F$12)</f>
        <v>14.639900000000001</v>
      </c>
      <c r="J548" s="4">
        <f>CHOOSE( CONTROL!$C$37, 14.4827, 14.4816) * CHOOSE(CONTROL!$C$20, $D$12, 100%, $F$12)</f>
        <v>14.482699999999999</v>
      </c>
      <c r="K548" s="4"/>
      <c r="L548" s="8">
        <v>29.306000000000001</v>
      </c>
      <c r="M548" s="8">
        <v>12.063700000000001</v>
      </c>
      <c r="N548" s="8">
        <v>4.9444999999999997</v>
      </c>
      <c r="O548" s="8">
        <v>0.37409999999999999</v>
      </c>
      <c r="P548" s="8">
        <v>1.2927</v>
      </c>
      <c r="Q548" s="8">
        <v>19.688099999999999</v>
      </c>
      <c r="R548" s="8"/>
    </row>
    <row r="549" spans="1:18" ht="14.25" customHeight="1">
      <c r="A549" s="11">
        <v>57830</v>
      </c>
      <c r="B549" s="7">
        <f>CHOOSE( CONTROL!$C$37, 15.1677, 15.1666) * CHOOSE(CONTROL!$C$20, $D$12, 100%, $F$12)</f>
        <v>15.1677</v>
      </c>
      <c r="C549" s="7">
        <f>CHOOSE( CONTROL!$C$37, 15.1722, 15.1711) * CHOOSE(CONTROL!$C$20, $D$12, 100%, $F$12)</f>
        <v>15.1722</v>
      </c>
      <c r="D549" s="7">
        <f>CHOOSE( CONTROL!$C$37, 15.184, 15.1829) * CHOOSE( CONTROL!$C$20, $D$12, 100%, $F$12)</f>
        <v>15.183999999999999</v>
      </c>
      <c r="E549" s="10">
        <f>CHOOSE( CONTROL!$C$37, 15.1796, 15.1785) * CHOOSE( CONTROL!$C$20, $D$12, 100%, $F$12)</f>
        <v>15.179600000000001</v>
      </c>
      <c r="F549" s="4">
        <f>CHOOSE( CONTROL!$C$37, 15.8943, 15.8932) * CHOOSE(CONTROL!$C$20, $D$12, 100%, $F$12)</f>
        <v>15.894299999999999</v>
      </c>
      <c r="G549" s="7">
        <f>CHOOSE( CONTROL!$C$37, 15.0013, 15.0003) * CHOOSE( CONTROL!$C$20, $D$12, 100%, $F$12)</f>
        <v>15.001300000000001</v>
      </c>
      <c r="H549" s="4">
        <f>CHOOSE( CONTROL!$C$37, 15.9464, 15.9453) * CHOOSE(CONTROL!$C$20, $D$12, 100%, $F$12)</f>
        <v>15.946400000000001</v>
      </c>
      <c r="I549" s="7">
        <f>CHOOSE( CONTROL!$C$37, 14.8327, 14.8317) * CHOOSE(CONTROL!$C$20, $D$12, 100%, $F$12)</f>
        <v>14.832700000000001</v>
      </c>
      <c r="J549" s="4">
        <f>CHOOSE( CONTROL!$C$37, 14.7028, 14.7017) * CHOOSE(CONTROL!$C$20, $D$12, 100%, $F$12)</f>
        <v>14.7028</v>
      </c>
      <c r="K549" s="4"/>
      <c r="L549" s="8">
        <v>30.092199999999998</v>
      </c>
      <c r="M549" s="8">
        <v>11.6745</v>
      </c>
      <c r="N549" s="8">
        <v>4.7850000000000001</v>
      </c>
      <c r="O549" s="8">
        <v>0.36199999999999999</v>
      </c>
      <c r="P549" s="8">
        <v>1.2509999999999999</v>
      </c>
      <c r="Q549" s="8">
        <v>19.053000000000001</v>
      </c>
      <c r="R549" s="8"/>
    </row>
    <row r="550" spans="1:18" ht="14.25" customHeight="1">
      <c r="A550" s="11">
        <v>57861</v>
      </c>
      <c r="B550" s="7">
        <f>CHOOSE( CONTROL!$C$37, 15.5742, 15.5725) * CHOOSE(CONTROL!$C$20, $D$12, 100%, $F$12)</f>
        <v>15.574199999999999</v>
      </c>
      <c r="C550" s="7">
        <f>CHOOSE( CONTROL!$C$37, 15.5822, 15.5805) * CHOOSE(CONTROL!$C$20, $D$12, 100%, $F$12)</f>
        <v>15.5822</v>
      </c>
      <c r="D550" s="7">
        <f>CHOOSE( CONTROL!$C$37, 15.5878, 15.5862) * CHOOSE( CONTROL!$C$20, $D$12, 100%, $F$12)</f>
        <v>15.5878</v>
      </c>
      <c r="E550" s="10">
        <f>CHOOSE( CONTROL!$C$37, 15.5846, 15.5829) * CHOOSE( CONTROL!$C$20, $D$12, 100%, $F$12)</f>
        <v>15.5846</v>
      </c>
      <c r="F550" s="4">
        <f>CHOOSE( CONTROL!$C$37, 16.2995, 16.2978) * CHOOSE(CONTROL!$C$20, $D$12, 100%, $F$12)</f>
        <v>16.299499999999998</v>
      </c>
      <c r="G550" s="7">
        <f>CHOOSE( CONTROL!$C$37, 15.4008, 15.3992) * CHOOSE( CONTROL!$C$20, $D$12, 100%, $F$12)</f>
        <v>15.4008</v>
      </c>
      <c r="H550" s="4">
        <f>CHOOSE( CONTROL!$C$37, 16.3459, 16.3443) * CHOOSE(CONTROL!$C$20, $D$12, 100%, $F$12)</f>
        <v>16.3459</v>
      </c>
      <c r="I550" s="7">
        <f>CHOOSE( CONTROL!$C$37, 15.2249, 15.2233) * CHOOSE(CONTROL!$C$20, $D$12, 100%, $F$12)</f>
        <v>15.2249</v>
      </c>
      <c r="J550" s="4">
        <f>CHOOSE( CONTROL!$C$37, 15.0951, 15.0935) * CHOOSE(CONTROL!$C$20, $D$12, 100%, $F$12)</f>
        <v>15.0951</v>
      </c>
      <c r="K550" s="4"/>
      <c r="L550" s="8">
        <v>30.7165</v>
      </c>
      <c r="M550" s="8">
        <v>12.063700000000001</v>
      </c>
      <c r="N550" s="8">
        <v>4.9444999999999997</v>
      </c>
      <c r="O550" s="8">
        <v>0.37409999999999999</v>
      </c>
      <c r="P550" s="8">
        <v>1.2927</v>
      </c>
      <c r="Q550" s="8">
        <v>19.688099999999999</v>
      </c>
      <c r="R550" s="8"/>
    </row>
    <row r="551" spans="1:18" ht="14.25" customHeight="1">
      <c r="A551" s="11">
        <v>57891</v>
      </c>
      <c r="B551" s="7">
        <f>CHOOSE( CONTROL!$C$37, 15.3236, 15.3219) * CHOOSE(CONTROL!$C$20, $D$12, 100%, $F$12)</f>
        <v>15.323600000000001</v>
      </c>
      <c r="C551" s="7">
        <f>CHOOSE( CONTROL!$C$37, 15.3316, 15.3299) * CHOOSE(CONTROL!$C$20, $D$12, 100%, $F$12)</f>
        <v>15.3316</v>
      </c>
      <c r="D551" s="7">
        <f>CHOOSE( CONTROL!$C$37, 15.3375, 15.3358) * CHOOSE( CONTROL!$C$20, $D$12, 100%, $F$12)</f>
        <v>15.3375</v>
      </c>
      <c r="E551" s="10">
        <f>CHOOSE( CONTROL!$C$37, 15.3341, 15.3324) * CHOOSE( CONTROL!$C$20, $D$12, 100%, $F$12)</f>
        <v>15.334099999999999</v>
      </c>
      <c r="F551" s="4">
        <f>CHOOSE( CONTROL!$C$37, 16.0488, 16.0472) * CHOOSE(CONTROL!$C$20, $D$12, 100%, $F$12)</f>
        <v>16.0488</v>
      </c>
      <c r="G551" s="7">
        <f>CHOOSE( CONTROL!$C$37, 15.1539, 15.1523) * CHOOSE( CONTROL!$C$20, $D$12, 100%, $F$12)</f>
        <v>15.1539</v>
      </c>
      <c r="H551" s="4">
        <f>CHOOSE( CONTROL!$C$37, 16.0988, 16.0972) * CHOOSE(CONTROL!$C$20, $D$12, 100%, $F$12)</f>
        <v>16.098800000000001</v>
      </c>
      <c r="I551" s="7">
        <f>CHOOSE( CONTROL!$C$37, 14.9831, 14.9815) * CHOOSE(CONTROL!$C$20, $D$12, 100%, $F$12)</f>
        <v>14.9831</v>
      </c>
      <c r="J551" s="4">
        <f>CHOOSE( CONTROL!$C$37, 14.8524, 14.8508) * CHOOSE(CONTROL!$C$20, $D$12, 100%, $F$12)</f>
        <v>14.852399999999999</v>
      </c>
      <c r="K551" s="4"/>
      <c r="L551" s="8">
        <v>29.7257</v>
      </c>
      <c r="M551" s="8">
        <v>11.6745</v>
      </c>
      <c r="N551" s="8">
        <v>4.7850000000000001</v>
      </c>
      <c r="O551" s="8">
        <v>0.36199999999999999</v>
      </c>
      <c r="P551" s="8">
        <v>1.2509999999999999</v>
      </c>
      <c r="Q551" s="8">
        <v>19.053000000000001</v>
      </c>
      <c r="R551" s="8"/>
    </row>
    <row r="552" spans="1:18" ht="14.25" customHeight="1">
      <c r="A552" s="11">
        <v>57922</v>
      </c>
      <c r="B552" s="7">
        <f>CHOOSE( CONTROL!$C$37, 15.9835, 15.9819) * CHOOSE(CONTROL!$C$20, $D$12, 100%, $F$12)</f>
        <v>15.983499999999999</v>
      </c>
      <c r="C552" s="7">
        <f>CHOOSE( CONTROL!$C$37, 15.9915, 15.9899) * CHOOSE(CONTROL!$C$20, $D$12, 100%, $F$12)</f>
        <v>15.9915</v>
      </c>
      <c r="D552" s="7">
        <f>CHOOSE( CONTROL!$C$37, 15.9977, 15.9961) * CHOOSE( CONTROL!$C$20, $D$12, 100%, $F$12)</f>
        <v>15.9977</v>
      </c>
      <c r="E552" s="10">
        <f>CHOOSE( CONTROL!$C$37, 15.9942, 15.9926) * CHOOSE( CONTROL!$C$20, $D$12, 100%, $F$12)</f>
        <v>15.994199999999999</v>
      </c>
      <c r="F552" s="4">
        <f>CHOOSE( CONTROL!$C$37, 16.7088, 16.7071) * CHOOSE(CONTROL!$C$20, $D$12, 100%, $F$12)</f>
        <v>16.7088</v>
      </c>
      <c r="G552" s="7">
        <f>CHOOSE( CONTROL!$C$37, 15.8049, 15.8033) * CHOOSE( CONTROL!$C$20, $D$12, 100%, $F$12)</f>
        <v>15.8049</v>
      </c>
      <c r="H552" s="4">
        <f>CHOOSE( CONTROL!$C$37, 16.7495, 16.7479) * CHOOSE(CONTROL!$C$20, $D$12, 100%, $F$12)</f>
        <v>16.749500000000001</v>
      </c>
      <c r="I552" s="7">
        <f>CHOOSE( CONTROL!$C$37, 15.6235, 15.6219) * CHOOSE(CONTROL!$C$20, $D$12, 100%, $F$12)</f>
        <v>15.6235</v>
      </c>
      <c r="J552" s="4">
        <f>CHOOSE( CONTROL!$C$37, 15.4914, 15.4898) * CHOOSE(CONTROL!$C$20, $D$12, 100%, $F$12)</f>
        <v>15.491400000000001</v>
      </c>
      <c r="K552" s="4"/>
      <c r="L552" s="8">
        <v>30.7165</v>
      </c>
      <c r="M552" s="8">
        <v>12.063700000000001</v>
      </c>
      <c r="N552" s="8">
        <v>4.9444999999999997</v>
      </c>
      <c r="O552" s="8">
        <v>0.37409999999999999</v>
      </c>
      <c r="P552" s="8">
        <v>1.2927</v>
      </c>
      <c r="Q552" s="8">
        <v>19.688099999999999</v>
      </c>
      <c r="R552" s="8"/>
    </row>
    <row r="553" spans="1:18" ht="14.25" customHeight="1">
      <c r="A553" s="11">
        <v>57953</v>
      </c>
      <c r="B553" s="7">
        <f>CHOOSE( CONTROL!$C$37, 14.7487, 14.747) * CHOOSE(CONTROL!$C$20, $D$12, 100%, $F$12)</f>
        <v>14.748699999999999</v>
      </c>
      <c r="C553" s="7">
        <f>CHOOSE( CONTROL!$C$37, 14.7567, 14.755) * CHOOSE(CONTROL!$C$20, $D$12, 100%, $F$12)</f>
        <v>14.7567</v>
      </c>
      <c r="D553" s="7">
        <f>CHOOSE( CONTROL!$C$37, 14.763, 14.7613) * CHOOSE( CONTROL!$C$20, $D$12, 100%, $F$12)</f>
        <v>14.763</v>
      </c>
      <c r="E553" s="10">
        <f>CHOOSE( CONTROL!$C$37, 14.7595, 14.7578) * CHOOSE( CONTROL!$C$20, $D$12, 100%, $F$12)</f>
        <v>14.759499999999999</v>
      </c>
      <c r="F553" s="4">
        <f>CHOOSE( CONTROL!$C$37, 15.474, 15.4723) * CHOOSE(CONTROL!$C$20, $D$12, 100%, $F$12)</f>
        <v>15.474</v>
      </c>
      <c r="G553" s="7">
        <f>CHOOSE( CONTROL!$C$37, 14.5873, 14.5857) * CHOOSE( CONTROL!$C$20, $D$12, 100%, $F$12)</f>
        <v>14.587300000000001</v>
      </c>
      <c r="H553" s="4">
        <f>CHOOSE( CONTROL!$C$37, 15.5319, 15.5303) * CHOOSE(CONTROL!$C$20, $D$12, 100%, $F$12)</f>
        <v>15.5319</v>
      </c>
      <c r="I553" s="7">
        <f>CHOOSE( CONTROL!$C$37, 14.4275, 14.4259) * CHOOSE(CONTROL!$C$20, $D$12, 100%, $F$12)</f>
        <v>14.4275</v>
      </c>
      <c r="J553" s="4">
        <f>CHOOSE( CONTROL!$C$37, 14.2957, 14.2941) * CHOOSE(CONTROL!$C$20, $D$12, 100%, $F$12)</f>
        <v>14.2957</v>
      </c>
      <c r="K553" s="4"/>
      <c r="L553" s="8">
        <v>30.7165</v>
      </c>
      <c r="M553" s="8">
        <v>12.063700000000001</v>
      </c>
      <c r="N553" s="8">
        <v>4.9444999999999997</v>
      </c>
      <c r="O553" s="8">
        <v>0.37409999999999999</v>
      </c>
      <c r="P553" s="8">
        <v>1.2927</v>
      </c>
      <c r="Q553" s="8">
        <v>19.688099999999999</v>
      </c>
      <c r="R553" s="8"/>
    </row>
    <row r="554" spans="1:18" ht="14.25" customHeight="1">
      <c r="A554" s="11">
        <v>57983</v>
      </c>
      <c r="B554" s="7">
        <f>CHOOSE( CONTROL!$C$37, 14.4394, 14.4378) * CHOOSE(CONTROL!$C$20, $D$12, 100%, $F$12)</f>
        <v>14.439399999999999</v>
      </c>
      <c r="C554" s="7">
        <f>CHOOSE( CONTROL!$C$37, 14.4474, 14.4458) * CHOOSE(CONTROL!$C$20, $D$12, 100%, $F$12)</f>
        <v>14.4474</v>
      </c>
      <c r="D554" s="7">
        <f>CHOOSE( CONTROL!$C$37, 14.4536, 14.452) * CHOOSE( CONTROL!$C$20, $D$12, 100%, $F$12)</f>
        <v>14.4536</v>
      </c>
      <c r="E554" s="10">
        <f>CHOOSE( CONTROL!$C$37, 14.4501, 14.4485) * CHOOSE( CONTROL!$C$20, $D$12, 100%, $F$12)</f>
        <v>14.450100000000001</v>
      </c>
      <c r="F554" s="4">
        <f>CHOOSE( CONTROL!$C$37, 15.1647, 15.1631) * CHOOSE(CONTROL!$C$20, $D$12, 100%, $F$12)</f>
        <v>15.1647</v>
      </c>
      <c r="G554" s="7">
        <f>CHOOSE( CONTROL!$C$37, 14.2823, 14.2807) * CHOOSE( CONTROL!$C$20, $D$12, 100%, $F$12)</f>
        <v>14.282299999999999</v>
      </c>
      <c r="H554" s="4">
        <f>CHOOSE( CONTROL!$C$37, 15.227, 15.2254) * CHOOSE(CONTROL!$C$20, $D$12, 100%, $F$12)</f>
        <v>15.227</v>
      </c>
      <c r="I554" s="7">
        <f>CHOOSE( CONTROL!$C$37, 14.1275, 14.1259) * CHOOSE(CONTROL!$C$20, $D$12, 100%, $F$12)</f>
        <v>14.1275</v>
      </c>
      <c r="J554" s="4">
        <f>CHOOSE( CONTROL!$C$37, 13.9963, 13.9947) * CHOOSE(CONTROL!$C$20, $D$12, 100%, $F$12)</f>
        <v>13.9963</v>
      </c>
      <c r="K554" s="4"/>
      <c r="L554" s="8">
        <v>29.7257</v>
      </c>
      <c r="M554" s="8">
        <v>11.6745</v>
      </c>
      <c r="N554" s="8">
        <v>4.7850000000000001</v>
      </c>
      <c r="O554" s="8">
        <v>0.36199999999999999</v>
      </c>
      <c r="P554" s="8">
        <v>1.2509999999999999</v>
      </c>
      <c r="Q554" s="8">
        <v>19.053000000000001</v>
      </c>
      <c r="R554" s="8"/>
    </row>
    <row r="555" spans="1:18" ht="14.25" customHeight="1">
      <c r="A555" s="11">
        <v>58014</v>
      </c>
      <c r="B555" s="7">
        <f>CHOOSE( CONTROL!$C$37, 15.0792, 15.0781) * CHOOSE(CONTROL!$C$20, $D$12, 100%, $F$12)</f>
        <v>15.0792</v>
      </c>
      <c r="C555" s="7">
        <f>CHOOSE( CONTROL!$C$37, 15.0845, 15.0835) * CHOOSE(CONTROL!$C$20, $D$12, 100%, $F$12)</f>
        <v>15.0845</v>
      </c>
      <c r="D555" s="7">
        <f>CHOOSE( CONTROL!$C$37, 15.0966, 15.0955) * CHOOSE( CONTROL!$C$20, $D$12, 100%, $F$12)</f>
        <v>15.0966</v>
      </c>
      <c r="E555" s="10">
        <f>CHOOSE( CONTROL!$C$37, 15.092, 15.091) * CHOOSE( CONTROL!$C$20, $D$12, 100%, $F$12)</f>
        <v>15.092000000000001</v>
      </c>
      <c r="F555" s="4">
        <f>CHOOSE( CONTROL!$C$37, 15.8062, 15.8051) * CHOOSE(CONTROL!$C$20, $D$12, 100%, $F$12)</f>
        <v>15.8062</v>
      </c>
      <c r="G555" s="7">
        <f>CHOOSE( CONTROL!$C$37, 14.915, 14.9139) * CHOOSE( CONTROL!$C$20, $D$12, 100%, $F$12)</f>
        <v>14.914999999999999</v>
      </c>
      <c r="H555" s="4">
        <f>CHOOSE( CONTROL!$C$37, 15.8595, 15.8585) * CHOOSE(CONTROL!$C$20, $D$12, 100%, $F$12)</f>
        <v>15.859500000000001</v>
      </c>
      <c r="I555" s="7">
        <f>CHOOSE( CONTROL!$C$37, 14.7496, 14.7486) * CHOOSE(CONTROL!$C$20, $D$12, 100%, $F$12)</f>
        <v>14.749599999999999</v>
      </c>
      <c r="J555" s="4">
        <f>CHOOSE( CONTROL!$C$37, 14.6175, 14.6164) * CHOOSE(CONTROL!$C$20, $D$12, 100%, $F$12)</f>
        <v>14.6175</v>
      </c>
      <c r="K555" s="4"/>
      <c r="L555" s="8">
        <v>31.095300000000002</v>
      </c>
      <c r="M555" s="8">
        <v>12.063700000000001</v>
      </c>
      <c r="N555" s="8">
        <v>4.9444999999999997</v>
      </c>
      <c r="O555" s="8">
        <v>0.37409999999999999</v>
      </c>
      <c r="P555" s="8">
        <v>1.2927</v>
      </c>
      <c r="Q555" s="8">
        <v>19.688099999999999</v>
      </c>
      <c r="R555" s="8"/>
    </row>
    <row r="556" spans="1:18" ht="14.25" customHeight="1">
      <c r="A556" s="11">
        <v>58044</v>
      </c>
      <c r="B556" s="7">
        <f>CHOOSE( CONTROL!$C$37, 16.2639, 16.2628) * CHOOSE(CONTROL!$C$20, $D$12, 100%, $F$12)</f>
        <v>16.2639</v>
      </c>
      <c r="C556" s="7">
        <f>CHOOSE( CONTROL!$C$37, 16.269, 16.2679) * CHOOSE(CONTROL!$C$20, $D$12, 100%, $F$12)</f>
        <v>16.268999999999998</v>
      </c>
      <c r="D556" s="7">
        <f>CHOOSE( CONTROL!$C$37, 16.2474, 16.2463) * CHOOSE( CONTROL!$C$20, $D$12, 100%, $F$12)</f>
        <v>16.247399999999999</v>
      </c>
      <c r="E556" s="10">
        <f>CHOOSE( CONTROL!$C$37, 16.2548, 16.2537) * CHOOSE( CONTROL!$C$20, $D$12, 100%, $F$12)</f>
        <v>16.254799999999999</v>
      </c>
      <c r="F556" s="4">
        <f>CHOOSE( CONTROL!$C$37, 16.9164, 16.9153) * CHOOSE(CONTROL!$C$20, $D$12, 100%, $F$12)</f>
        <v>16.916399999999999</v>
      </c>
      <c r="G556" s="7">
        <f>CHOOSE( CONTROL!$C$37, 16.0697, 16.0686) * CHOOSE( CONTROL!$C$20, $D$12, 100%, $F$12)</f>
        <v>16.069700000000001</v>
      </c>
      <c r="H556" s="4">
        <f>CHOOSE( CONTROL!$C$37, 16.9543, 16.9532) * CHOOSE(CONTROL!$C$20, $D$12, 100%, $F$12)</f>
        <v>16.9543</v>
      </c>
      <c r="I556" s="7">
        <f>CHOOSE( CONTROL!$C$37, 15.9489, 15.9479) * CHOOSE(CONTROL!$C$20, $D$12, 100%, $F$12)</f>
        <v>15.9489</v>
      </c>
      <c r="J556" s="4">
        <f>CHOOSE( CONTROL!$C$37, 15.765, 15.7639) * CHOOSE(CONTROL!$C$20, $D$12, 100%, $F$12)</f>
        <v>15.765000000000001</v>
      </c>
      <c r="K556" s="4"/>
      <c r="L556" s="8">
        <v>28.360600000000002</v>
      </c>
      <c r="M556" s="8">
        <v>11.6745</v>
      </c>
      <c r="N556" s="8">
        <v>4.7850000000000001</v>
      </c>
      <c r="O556" s="8">
        <v>0.36199999999999999</v>
      </c>
      <c r="P556" s="8">
        <v>1.2509999999999999</v>
      </c>
      <c r="Q556" s="8">
        <v>19.053000000000001</v>
      </c>
      <c r="R556" s="8"/>
    </row>
    <row r="557" spans="1:18" ht="14.25" customHeight="1">
      <c r="A557" s="11">
        <v>58075</v>
      </c>
      <c r="B557" s="7">
        <f>CHOOSE( CONTROL!$C$37, 16.2343, 16.2332) * CHOOSE(CONTROL!$C$20, $D$12, 100%, $F$12)</f>
        <v>16.234300000000001</v>
      </c>
      <c r="C557" s="7">
        <f>CHOOSE( CONTROL!$C$37, 16.2394, 16.2383) * CHOOSE(CONTROL!$C$20, $D$12, 100%, $F$12)</f>
        <v>16.2394</v>
      </c>
      <c r="D557" s="7">
        <f>CHOOSE( CONTROL!$C$37, 16.2194, 16.2183) * CHOOSE( CONTROL!$C$20, $D$12, 100%, $F$12)</f>
        <v>16.2194</v>
      </c>
      <c r="E557" s="10">
        <f>CHOOSE( CONTROL!$C$37, 16.2262, 16.2251) * CHOOSE( CONTROL!$C$20, $D$12, 100%, $F$12)</f>
        <v>16.226199999999999</v>
      </c>
      <c r="F557" s="4">
        <f>CHOOSE( CONTROL!$C$37, 16.8868, 16.8857) * CHOOSE(CONTROL!$C$20, $D$12, 100%, $F$12)</f>
        <v>16.886800000000001</v>
      </c>
      <c r="G557" s="7">
        <f>CHOOSE( CONTROL!$C$37, 16.0416, 16.0405) * CHOOSE( CONTROL!$C$20, $D$12, 100%, $F$12)</f>
        <v>16.041599999999999</v>
      </c>
      <c r="H557" s="4">
        <f>CHOOSE( CONTROL!$C$37, 16.9251, 16.924) * CHOOSE(CONTROL!$C$20, $D$12, 100%, $F$12)</f>
        <v>16.9251</v>
      </c>
      <c r="I557" s="7">
        <f>CHOOSE( CONTROL!$C$37, 15.9251, 15.924) * CHOOSE(CONTROL!$C$20, $D$12, 100%, $F$12)</f>
        <v>15.9251</v>
      </c>
      <c r="J557" s="4">
        <f>CHOOSE( CONTROL!$C$37, 15.7363, 15.7353) * CHOOSE(CONTROL!$C$20, $D$12, 100%, $F$12)</f>
        <v>15.7363</v>
      </c>
      <c r="K557" s="4"/>
      <c r="L557" s="8">
        <v>29.306000000000001</v>
      </c>
      <c r="M557" s="8">
        <v>12.063700000000001</v>
      </c>
      <c r="N557" s="8">
        <v>4.9444999999999997</v>
      </c>
      <c r="O557" s="8">
        <v>0.37409999999999999</v>
      </c>
      <c r="P557" s="8">
        <v>1.2927</v>
      </c>
      <c r="Q557" s="8">
        <v>19.688099999999999</v>
      </c>
      <c r="R557" s="8"/>
    </row>
    <row r="558" spans="1:18" ht="14.25" customHeight="1">
      <c r="A558" s="11">
        <v>58106</v>
      </c>
      <c r="B558" s="7">
        <f>CHOOSE( CONTROL!$C$37, 16.7136, 16.7125) * CHOOSE(CONTROL!$C$20, $D$12, 100%, $F$12)</f>
        <v>16.7136</v>
      </c>
      <c r="C558" s="7">
        <f>CHOOSE( CONTROL!$C$37, 16.7187, 16.7176) * CHOOSE(CONTROL!$C$20, $D$12, 100%, $F$12)</f>
        <v>16.718699999999998</v>
      </c>
      <c r="D558" s="7">
        <f>CHOOSE( CONTROL!$C$37, 16.7118, 16.7107) * CHOOSE( CONTROL!$C$20, $D$12, 100%, $F$12)</f>
        <v>16.7118</v>
      </c>
      <c r="E558" s="10">
        <f>CHOOSE( CONTROL!$C$37, 16.7138, 16.7127) * CHOOSE( CONTROL!$C$20, $D$12, 100%, $F$12)</f>
        <v>16.713799999999999</v>
      </c>
      <c r="F558" s="4">
        <f>CHOOSE( CONTROL!$C$37, 17.3661, 17.3651) * CHOOSE(CONTROL!$C$20, $D$12, 100%, $F$12)</f>
        <v>17.366099999999999</v>
      </c>
      <c r="G558" s="7">
        <f>CHOOSE( CONTROL!$C$37, 16.5187, 16.5177) * CHOOSE( CONTROL!$C$20, $D$12, 100%, $F$12)</f>
        <v>16.518699999999999</v>
      </c>
      <c r="H558" s="4">
        <f>CHOOSE( CONTROL!$C$37, 17.3977, 17.3966) * CHOOSE(CONTROL!$C$20, $D$12, 100%, $F$12)</f>
        <v>17.3977</v>
      </c>
      <c r="I558" s="7">
        <f>CHOOSE( CONTROL!$C$37, 16.3608, 16.3597) * CHOOSE(CONTROL!$C$20, $D$12, 100%, $F$12)</f>
        <v>16.360800000000001</v>
      </c>
      <c r="J558" s="4">
        <f>CHOOSE( CONTROL!$C$37, 16.2004, 16.1994) * CHOOSE(CONTROL!$C$20, $D$12, 100%, $F$12)</f>
        <v>16.200399999999998</v>
      </c>
      <c r="K558" s="4"/>
      <c r="L558" s="8">
        <v>29.306000000000001</v>
      </c>
      <c r="M558" s="8">
        <v>12.063700000000001</v>
      </c>
      <c r="N558" s="8">
        <v>4.9444999999999997</v>
      </c>
      <c r="O558" s="8">
        <v>0.37409999999999999</v>
      </c>
      <c r="P558" s="8">
        <v>1.2927</v>
      </c>
      <c r="Q558" s="8">
        <v>19.688099999999999</v>
      </c>
      <c r="R558" s="8"/>
    </row>
    <row r="559" spans="1:18" ht="14.25" customHeight="1">
      <c r="A559" s="11">
        <v>58134</v>
      </c>
      <c r="B559" s="7">
        <f>CHOOSE( CONTROL!$C$37, 15.6321, 15.631) * CHOOSE(CONTROL!$C$20, $D$12, 100%, $F$12)</f>
        <v>15.632099999999999</v>
      </c>
      <c r="C559" s="7">
        <f>CHOOSE( CONTROL!$C$37, 15.6372, 15.6361) * CHOOSE(CONTROL!$C$20, $D$12, 100%, $F$12)</f>
        <v>15.6372</v>
      </c>
      <c r="D559" s="7">
        <f>CHOOSE( CONTROL!$C$37, 15.6302, 15.6291) * CHOOSE( CONTROL!$C$20, $D$12, 100%, $F$12)</f>
        <v>15.6302</v>
      </c>
      <c r="E559" s="10">
        <f>CHOOSE( CONTROL!$C$37, 15.6322, 15.6311) * CHOOSE( CONTROL!$C$20, $D$12, 100%, $F$12)</f>
        <v>15.632199999999999</v>
      </c>
      <c r="F559" s="4">
        <f>CHOOSE( CONTROL!$C$37, 16.2846, 16.2835) * CHOOSE(CONTROL!$C$20, $D$12, 100%, $F$12)</f>
        <v>16.284600000000001</v>
      </c>
      <c r="G559" s="7">
        <f>CHOOSE( CONTROL!$C$37, 15.4522, 15.4511) * CHOOSE( CONTROL!$C$20, $D$12, 100%, $F$12)</f>
        <v>15.452199999999999</v>
      </c>
      <c r="H559" s="4">
        <f>CHOOSE( CONTROL!$C$37, 16.3313, 16.3302) * CHOOSE(CONTROL!$C$20, $D$12, 100%, $F$12)</f>
        <v>16.331299999999999</v>
      </c>
      <c r="I559" s="7">
        <f>CHOOSE( CONTROL!$C$37, 15.3127, 15.3117) * CHOOSE(CONTROL!$C$20, $D$12, 100%, $F$12)</f>
        <v>15.3127</v>
      </c>
      <c r="J559" s="4">
        <f>CHOOSE( CONTROL!$C$37, 15.1532, 15.1521) * CHOOSE(CONTROL!$C$20, $D$12, 100%, $F$12)</f>
        <v>15.1532</v>
      </c>
      <c r="K559" s="4"/>
      <c r="L559" s="8">
        <v>26.469899999999999</v>
      </c>
      <c r="M559" s="8">
        <v>10.8962</v>
      </c>
      <c r="N559" s="8">
        <v>4.4660000000000002</v>
      </c>
      <c r="O559" s="8">
        <v>0.33789999999999998</v>
      </c>
      <c r="P559" s="8">
        <v>1.1676</v>
      </c>
      <c r="Q559" s="8">
        <v>17.782800000000002</v>
      </c>
      <c r="R559" s="8"/>
    </row>
    <row r="560" spans="1:18" ht="14.25" customHeight="1">
      <c r="A560" s="11">
        <v>58165</v>
      </c>
      <c r="B560" s="7">
        <f>CHOOSE( CONTROL!$C$37, 15.2989, 15.2979) * CHOOSE(CONTROL!$C$20, $D$12, 100%, $F$12)</f>
        <v>15.2989</v>
      </c>
      <c r="C560" s="7">
        <f>CHOOSE( CONTROL!$C$37, 15.304, 15.303) * CHOOSE(CONTROL!$C$20, $D$12, 100%, $F$12)</f>
        <v>15.304</v>
      </c>
      <c r="D560" s="7">
        <f>CHOOSE( CONTROL!$C$37, 15.2964, 15.2954) * CHOOSE( CONTROL!$C$20, $D$12, 100%, $F$12)</f>
        <v>15.2964</v>
      </c>
      <c r="E560" s="10">
        <f>CHOOSE( CONTROL!$C$37, 15.2986, 15.2976) * CHOOSE( CONTROL!$C$20, $D$12, 100%, $F$12)</f>
        <v>15.2986</v>
      </c>
      <c r="F560" s="4">
        <f>CHOOSE( CONTROL!$C$37, 15.9515, 15.9504) * CHOOSE(CONTROL!$C$20, $D$12, 100%, $F$12)</f>
        <v>15.951499999999999</v>
      </c>
      <c r="G560" s="7">
        <f>CHOOSE( CONTROL!$C$37, 15.1233, 15.1222) * CHOOSE( CONTROL!$C$20, $D$12, 100%, $F$12)</f>
        <v>15.1233</v>
      </c>
      <c r="H560" s="4">
        <f>CHOOSE( CONTROL!$C$37, 16.0028, 16.0017) * CHOOSE(CONTROL!$C$20, $D$12, 100%, $F$12)</f>
        <v>16.002800000000001</v>
      </c>
      <c r="I560" s="7">
        <f>CHOOSE( CONTROL!$C$37, 14.9881, 14.987) * CHOOSE(CONTROL!$C$20, $D$12, 100%, $F$12)</f>
        <v>14.988099999999999</v>
      </c>
      <c r="J560" s="4">
        <f>CHOOSE( CONTROL!$C$37, 14.8306, 14.8296) * CHOOSE(CONTROL!$C$20, $D$12, 100%, $F$12)</f>
        <v>14.8306</v>
      </c>
      <c r="K560" s="4"/>
      <c r="L560" s="8">
        <v>29.306000000000001</v>
      </c>
      <c r="M560" s="8">
        <v>12.063700000000001</v>
      </c>
      <c r="N560" s="8">
        <v>4.9444999999999997</v>
      </c>
      <c r="O560" s="8">
        <v>0.37409999999999999</v>
      </c>
      <c r="P560" s="8">
        <v>1.2927</v>
      </c>
      <c r="Q560" s="8">
        <v>19.688099999999999</v>
      </c>
      <c r="R560" s="8"/>
    </row>
    <row r="561" spans="1:18" ht="14.25" customHeight="1">
      <c r="A561" s="11">
        <v>58195</v>
      </c>
      <c r="B561" s="7">
        <f>CHOOSE( CONTROL!$C$37, 15.5325, 15.5314) * CHOOSE(CONTROL!$C$20, $D$12, 100%, $F$12)</f>
        <v>15.532500000000001</v>
      </c>
      <c r="C561" s="7">
        <f>CHOOSE( CONTROL!$C$37, 15.537, 15.5359) * CHOOSE(CONTROL!$C$20, $D$12, 100%, $F$12)</f>
        <v>15.537000000000001</v>
      </c>
      <c r="D561" s="7">
        <f>CHOOSE( CONTROL!$C$37, 15.5488, 15.5478) * CHOOSE( CONTROL!$C$20, $D$12, 100%, $F$12)</f>
        <v>15.5488</v>
      </c>
      <c r="E561" s="10">
        <f>CHOOSE( CONTROL!$C$37, 15.5444, 15.5434) * CHOOSE( CONTROL!$C$20, $D$12, 100%, $F$12)</f>
        <v>15.5444</v>
      </c>
      <c r="F561" s="4">
        <f>CHOOSE( CONTROL!$C$37, 16.2591, 16.258) * CHOOSE(CONTROL!$C$20, $D$12, 100%, $F$12)</f>
        <v>16.2591</v>
      </c>
      <c r="G561" s="7">
        <f>CHOOSE( CONTROL!$C$37, 15.3611, 15.36) * CHOOSE( CONTROL!$C$20, $D$12, 100%, $F$12)</f>
        <v>15.3611</v>
      </c>
      <c r="H561" s="4">
        <f>CHOOSE( CONTROL!$C$37, 16.3061, 16.3051) * CHOOSE(CONTROL!$C$20, $D$12, 100%, $F$12)</f>
        <v>16.306100000000001</v>
      </c>
      <c r="I561" s="7">
        <f>CHOOSE( CONTROL!$C$37, 15.1862, 15.1851) * CHOOSE(CONTROL!$C$20, $D$12, 100%, $F$12)</f>
        <v>15.186199999999999</v>
      </c>
      <c r="J561" s="4">
        <f>CHOOSE( CONTROL!$C$37, 15.056, 15.055) * CHOOSE(CONTROL!$C$20, $D$12, 100%, $F$12)</f>
        <v>15.055999999999999</v>
      </c>
      <c r="K561" s="4"/>
      <c r="L561" s="8">
        <v>30.092199999999998</v>
      </c>
      <c r="M561" s="8">
        <v>11.6745</v>
      </c>
      <c r="N561" s="8">
        <v>4.7850000000000001</v>
      </c>
      <c r="O561" s="8">
        <v>0.36199999999999999</v>
      </c>
      <c r="P561" s="8">
        <v>1.2509999999999999</v>
      </c>
      <c r="Q561" s="8">
        <v>19.053000000000001</v>
      </c>
      <c r="R561" s="8"/>
    </row>
    <row r="562" spans="1:18" ht="14.25" customHeight="1">
      <c r="A562" s="11">
        <v>58226</v>
      </c>
      <c r="B562" s="7">
        <f>CHOOSE( CONTROL!$C$37, 15.9487, 15.947) * CHOOSE(CONTROL!$C$20, $D$12, 100%, $F$12)</f>
        <v>15.948700000000001</v>
      </c>
      <c r="C562" s="7">
        <f>CHOOSE( CONTROL!$C$37, 15.9567, 15.955) * CHOOSE(CONTROL!$C$20, $D$12, 100%, $F$12)</f>
        <v>15.9567</v>
      </c>
      <c r="D562" s="7">
        <f>CHOOSE( CONTROL!$C$37, 15.9624, 15.9607) * CHOOSE( CONTROL!$C$20, $D$12, 100%, $F$12)</f>
        <v>15.962400000000001</v>
      </c>
      <c r="E562" s="10">
        <f>CHOOSE( CONTROL!$C$37, 15.9591, 15.9574) * CHOOSE( CONTROL!$C$20, $D$12, 100%, $F$12)</f>
        <v>15.959099999999999</v>
      </c>
      <c r="F562" s="4">
        <f>CHOOSE( CONTROL!$C$37, 16.674, 16.6723) * CHOOSE(CONTROL!$C$20, $D$12, 100%, $F$12)</f>
        <v>16.673999999999999</v>
      </c>
      <c r="G562" s="7">
        <f>CHOOSE( CONTROL!$C$37, 15.7701, 15.7685) * CHOOSE( CONTROL!$C$20, $D$12, 100%, $F$12)</f>
        <v>15.770099999999999</v>
      </c>
      <c r="H562" s="4">
        <f>CHOOSE( CONTROL!$C$37, 16.7152, 16.7136) * CHOOSE(CONTROL!$C$20, $D$12, 100%, $F$12)</f>
        <v>16.715199999999999</v>
      </c>
      <c r="I562" s="7">
        <f>CHOOSE( CONTROL!$C$37, 15.5878, 15.5862) * CHOOSE(CONTROL!$C$20, $D$12, 100%, $F$12)</f>
        <v>15.5878</v>
      </c>
      <c r="J562" s="4">
        <f>CHOOSE( CONTROL!$C$37, 15.4577, 15.4561) * CHOOSE(CONTROL!$C$20, $D$12, 100%, $F$12)</f>
        <v>15.457700000000001</v>
      </c>
      <c r="K562" s="4"/>
      <c r="L562" s="8">
        <v>30.7165</v>
      </c>
      <c r="M562" s="8">
        <v>12.063700000000001</v>
      </c>
      <c r="N562" s="8">
        <v>4.9444999999999997</v>
      </c>
      <c r="O562" s="8">
        <v>0.37409999999999999</v>
      </c>
      <c r="P562" s="8">
        <v>1.2927</v>
      </c>
      <c r="Q562" s="8">
        <v>19.688099999999999</v>
      </c>
      <c r="R562" s="8"/>
    </row>
    <row r="563" spans="1:18" ht="14.25" customHeight="1">
      <c r="A563" s="11">
        <v>58256</v>
      </c>
      <c r="B563" s="7">
        <f>CHOOSE( CONTROL!$C$37, 15.6921, 15.6904) * CHOOSE(CONTROL!$C$20, $D$12, 100%, $F$12)</f>
        <v>15.6921</v>
      </c>
      <c r="C563" s="7">
        <f>CHOOSE( CONTROL!$C$37, 15.7001, 15.6984) * CHOOSE(CONTROL!$C$20, $D$12, 100%, $F$12)</f>
        <v>15.700100000000001</v>
      </c>
      <c r="D563" s="7">
        <f>CHOOSE( CONTROL!$C$37, 15.706, 15.7043) * CHOOSE( CONTROL!$C$20, $D$12, 100%, $F$12)</f>
        <v>15.706</v>
      </c>
      <c r="E563" s="10">
        <f>CHOOSE( CONTROL!$C$37, 15.7026, 15.7009) * CHOOSE( CONTROL!$C$20, $D$12, 100%, $F$12)</f>
        <v>15.7026</v>
      </c>
      <c r="F563" s="4">
        <f>CHOOSE( CONTROL!$C$37, 16.4174, 16.4157) * CHOOSE(CONTROL!$C$20, $D$12, 100%, $F$12)</f>
        <v>16.417400000000001</v>
      </c>
      <c r="G563" s="7">
        <f>CHOOSE( CONTROL!$C$37, 15.5173, 15.5156) * CHOOSE( CONTROL!$C$20, $D$12, 100%, $F$12)</f>
        <v>15.517300000000001</v>
      </c>
      <c r="H563" s="4">
        <f>CHOOSE( CONTROL!$C$37, 16.4622, 16.4605) * CHOOSE(CONTROL!$C$20, $D$12, 100%, $F$12)</f>
        <v>16.462199999999999</v>
      </c>
      <c r="I563" s="7">
        <f>CHOOSE( CONTROL!$C$37, 15.3401, 15.3385) * CHOOSE(CONTROL!$C$20, $D$12, 100%, $F$12)</f>
        <v>15.3401</v>
      </c>
      <c r="J563" s="4">
        <f>CHOOSE( CONTROL!$C$37, 15.2092, 15.2076) * CHOOSE(CONTROL!$C$20, $D$12, 100%, $F$12)</f>
        <v>15.209199999999999</v>
      </c>
      <c r="K563" s="4"/>
      <c r="L563" s="8">
        <v>29.7257</v>
      </c>
      <c r="M563" s="8">
        <v>11.6745</v>
      </c>
      <c r="N563" s="8">
        <v>4.7850000000000001</v>
      </c>
      <c r="O563" s="8">
        <v>0.36199999999999999</v>
      </c>
      <c r="P563" s="8">
        <v>1.2509999999999999</v>
      </c>
      <c r="Q563" s="8">
        <v>19.053000000000001</v>
      </c>
      <c r="R563" s="8"/>
    </row>
    <row r="564" spans="1:18" ht="14.25" customHeight="1">
      <c r="A564" s="11">
        <v>58287</v>
      </c>
      <c r="B564" s="7">
        <f>CHOOSE( CONTROL!$C$37, 16.3679, 16.3662) * CHOOSE(CONTROL!$C$20, $D$12, 100%, $F$12)</f>
        <v>16.367899999999999</v>
      </c>
      <c r="C564" s="7">
        <f>CHOOSE( CONTROL!$C$37, 16.3759, 16.3742) * CHOOSE(CONTROL!$C$20, $D$12, 100%, $F$12)</f>
        <v>16.375900000000001</v>
      </c>
      <c r="D564" s="7">
        <f>CHOOSE( CONTROL!$C$37, 16.3821, 16.3804) * CHOOSE( CONTROL!$C$20, $D$12, 100%, $F$12)</f>
        <v>16.382100000000001</v>
      </c>
      <c r="E564" s="10">
        <f>CHOOSE( CONTROL!$C$37, 16.3786, 16.3769) * CHOOSE( CONTROL!$C$20, $D$12, 100%, $F$12)</f>
        <v>16.378599999999999</v>
      </c>
      <c r="F564" s="4">
        <f>CHOOSE( CONTROL!$C$37, 17.0932, 17.0915) * CHOOSE(CONTROL!$C$20, $D$12, 100%, $F$12)</f>
        <v>17.0932</v>
      </c>
      <c r="G564" s="7">
        <f>CHOOSE( CONTROL!$C$37, 16.1839, 16.1823) * CHOOSE( CONTROL!$C$20, $D$12, 100%, $F$12)</f>
        <v>16.183900000000001</v>
      </c>
      <c r="H564" s="4">
        <f>CHOOSE( CONTROL!$C$37, 17.1285, 17.1269) * CHOOSE(CONTROL!$C$20, $D$12, 100%, $F$12)</f>
        <v>17.128499999999999</v>
      </c>
      <c r="I564" s="7">
        <f>CHOOSE( CONTROL!$C$37, 15.9959, 15.9942) * CHOOSE(CONTROL!$C$20, $D$12, 100%, $F$12)</f>
        <v>15.995900000000001</v>
      </c>
      <c r="J564" s="4">
        <f>CHOOSE( CONTROL!$C$37, 15.8636, 15.862) * CHOOSE(CONTROL!$C$20, $D$12, 100%, $F$12)</f>
        <v>15.8636</v>
      </c>
      <c r="K564" s="4"/>
      <c r="L564" s="8">
        <v>30.7165</v>
      </c>
      <c r="M564" s="8">
        <v>12.063700000000001</v>
      </c>
      <c r="N564" s="8">
        <v>4.9444999999999997</v>
      </c>
      <c r="O564" s="8">
        <v>0.37409999999999999</v>
      </c>
      <c r="P564" s="8">
        <v>1.2927</v>
      </c>
      <c r="Q564" s="8">
        <v>19.688099999999999</v>
      </c>
      <c r="R564" s="8"/>
    </row>
    <row r="565" spans="1:18" ht="14.25" customHeight="1">
      <c r="A565" s="11">
        <v>58318</v>
      </c>
      <c r="B565" s="7">
        <f>CHOOSE( CONTROL!$C$37, 15.1034, 15.1017) * CHOOSE(CONTROL!$C$20, $D$12, 100%, $F$12)</f>
        <v>15.103400000000001</v>
      </c>
      <c r="C565" s="7">
        <f>CHOOSE( CONTROL!$C$37, 15.1114, 15.1097) * CHOOSE(CONTROL!$C$20, $D$12, 100%, $F$12)</f>
        <v>15.1114</v>
      </c>
      <c r="D565" s="7">
        <f>CHOOSE( CONTROL!$C$37, 15.1177, 15.116) * CHOOSE( CONTROL!$C$20, $D$12, 100%, $F$12)</f>
        <v>15.117699999999999</v>
      </c>
      <c r="E565" s="10">
        <f>CHOOSE( CONTROL!$C$37, 15.1142, 15.1125) * CHOOSE( CONTROL!$C$20, $D$12, 100%, $F$12)</f>
        <v>15.1142</v>
      </c>
      <c r="F565" s="4">
        <f>CHOOSE( CONTROL!$C$37, 15.8286, 15.827) * CHOOSE(CONTROL!$C$20, $D$12, 100%, $F$12)</f>
        <v>15.8286</v>
      </c>
      <c r="G565" s="7">
        <f>CHOOSE( CONTROL!$C$37, 14.9371, 14.9354) * CHOOSE( CONTROL!$C$20, $D$12, 100%, $F$12)</f>
        <v>14.937099999999999</v>
      </c>
      <c r="H565" s="4">
        <f>CHOOSE( CONTROL!$C$37, 15.8817, 15.88) * CHOOSE(CONTROL!$C$20, $D$12, 100%, $F$12)</f>
        <v>15.8817</v>
      </c>
      <c r="I565" s="7">
        <f>CHOOSE( CONTROL!$C$37, 14.7711, 14.7695) * CHOOSE(CONTROL!$C$20, $D$12, 100%, $F$12)</f>
        <v>14.771100000000001</v>
      </c>
      <c r="J565" s="4">
        <f>CHOOSE( CONTROL!$C$37, 14.6392, 14.6376) * CHOOSE(CONTROL!$C$20, $D$12, 100%, $F$12)</f>
        <v>14.639200000000001</v>
      </c>
      <c r="K565" s="4"/>
      <c r="L565" s="8">
        <v>30.7165</v>
      </c>
      <c r="M565" s="8">
        <v>12.063700000000001</v>
      </c>
      <c r="N565" s="8">
        <v>4.9444999999999997</v>
      </c>
      <c r="O565" s="8">
        <v>0.37409999999999999</v>
      </c>
      <c r="P565" s="8">
        <v>1.2927</v>
      </c>
      <c r="Q565" s="8">
        <v>19.688099999999999</v>
      </c>
      <c r="R565" s="8"/>
    </row>
    <row r="566" spans="1:18" ht="14.25" customHeight="1">
      <c r="A566" s="11">
        <v>58348</v>
      </c>
      <c r="B566" s="7">
        <f>CHOOSE( CONTROL!$C$37, 14.7867, 14.7851) * CHOOSE(CONTROL!$C$20, $D$12, 100%, $F$12)</f>
        <v>14.7867</v>
      </c>
      <c r="C566" s="7">
        <f>CHOOSE( CONTROL!$C$37, 14.7947, 14.7931) * CHOOSE(CONTROL!$C$20, $D$12, 100%, $F$12)</f>
        <v>14.794700000000001</v>
      </c>
      <c r="D566" s="7">
        <f>CHOOSE( CONTROL!$C$37, 14.8009, 14.7993) * CHOOSE( CONTROL!$C$20, $D$12, 100%, $F$12)</f>
        <v>14.8009</v>
      </c>
      <c r="E566" s="10">
        <f>CHOOSE( CONTROL!$C$37, 14.7974, 14.7958) * CHOOSE( CONTROL!$C$20, $D$12, 100%, $F$12)</f>
        <v>14.7974</v>
      </c>
      <c r="F566" s="4">
        <f>CHOOSE( CONTROL!$C$37, 15.512, 15.5103) * CHOOSE(CONTROL!$C$20, $D$12, 100%, $F$12)</f>
        <v>15.512</v>
      </c>
      <c r="G566" s="7">
        <f>CHOOSE( CONTROL!$C$37, 14.6248, 14.6231) * CHOOSE( CONTROL!$C$20, $D$12, 100%, $F$12)</f>
        <v>14.6248</v>
      </c>
      <c r="H566" s="4">
        <f>CHOOSE( CONTROL!$C$37, 15.5694, 15.5678) * CHOOSE(CONTROL!$C$20, $D$12, 100%, $F$12)</f>
        <v>15.5694</v>
      </c>
      <c r="I566" s="7">
        <f>CHOOSE( CONTROL!$C$37, 14.464, 14.4623) * CHOOSE(CONTROL!$C$20, $D$12, 100%, $F$12)</f>
        <v>14.464</v>
      </c>
      <c r="J566" s="4">
        <f>CHOOSE( CONTROL!$C$37, 14.3326, 14.331) * CHOOSE(CONTROL!$C$20, $D$12, 100%, $F$12)</f>
        <v>14.332599999999999</v>
      </c>
      <c r="K566" s="4"/>
      <c r="L566" s="8">
        <v>29.7257</v>
      </c>
      <c r="M566" s="8">
        <v>11.6745</v>
      </c>
      <c r="N566" s="8">
        <v>4.7850000000000001</v>
      </c>
      <c r="O566" s="8">
        <v>0.36199999999999999</v>
      </c>
      <c r="P566" s="8">
        <v>1.2509999999999999</v>
      </c>
      <c r="Q566" s="8">
        <v>19.053000000000001</v>
      </c>
      <c r="R566" s="8"/>
    </row>
    <row r="567" spans="1:18" ht="14.25" customHeight="1">
      <c r="A567" s="11">
        <v>58379</v>
      </c>
      <c r="B567" s="7">
        <f>CHOOSE( CONTROL!$C$37, 15.4419, 15.4408) * CHOOSE(CONTROL!$C$20, $D$12, 100%, $F$12)</f>
        <v>15.4419</v>
      </c>
      <c r="C567" s="7">
        <f>CHOOSE( CONTROL!$C$37, 15.4472, 15.4462) * CHOOSE(CONTROL!$C$20, $D$12, 100%, $F$12)</f>
        <v>15.4472</v>
      </c>
      <c r="D567" s="7">
        <f>CHOOSE( CONTROL!$C$37, 15.4592, 15.4582) * CHOOSE( CONTROL!$C$20, $D$12, 100%, $F$12)</f>
        <v>15.459199999999999</v>
      </c>
      <c r="E567" s="10">
        <f>CHOOSE( CONTROL!$C$37, 15.4547, 15.4537) * CHOOSE( CONTROL!$C$20, $D$12, 100%, $F$12)</f>
        <v>15.454700000000001</v>
      </c>
      <c r="F567" s="4">
        <f>CHOOSE( CONTROL!$C$37, 16.1689, 16.1678) * CHOOSE(CONTROL!$C$20, $D$12, 100%, $F$12)</f>
        <v>16.168900000000001</v>
      </c>
      <c r="G567" s="7">
        <f>CHOOSE( CONTROL!$C$37, 15.2726, 15.2715) * CHOOSE( CONTROL!$C$20, $D$12, 100%, $F$12)</f>
        <v>15.272600000000001</v>
      </c>
      <c r="H567" s="4">
        <f>CHOOSE( CONTROL!$C$37, 16.2172, 16.2161) * CHOOSE(CONTROL!$C$20, $D$12, 100%, $F$12)</f>
        <v>16.217199999999998</v>
      </c>
      <c r="I567" s="7">
        <f>CHOOSE( CONTROL!$C$37, 15.101, 15.1) * CHOOSE(CONTROL!$C$20, $D$12, 100%, $F$12)</f>
        <v>15.101000000000001</v>
      </c>
      <c r="J567" s="4">
        <f>CHOOSE( CONTROL!$C$37, 14.9686, 14.9676) * CHOOSE(CONTROL!$C$20, $D$12, 100%, $F$12)</f>
        <v>14.9686</v>
      </c>
      <c r="K567" s="4"/>
      <c r="L567" s="8">
        <v>31.095300000000002</v>
      </c>
      <c r="M567" s="8">
        <v>12.063700000000001</v>
      </c>
      <c r="N567" s="8">
        <v>4.9444999999999997</v>
      </c>
      <c r="O567" s="8">
        <v>0.37409999999999999</v>
      </c>
      <c r="P567" s="8">
        <v>1.2927</v>
      </c>
      <c r="Q567" s="8">
        <v>19.688099999999999</v>
      </c>
      <c r="R567" s="8"/>
    </row>
    <row r="568" spans="1:18" ht="14.25" customHeight="1">
      <c r="A568" s="11">
        <v>58409</v>
      </c>
      <c r="B568" s="7">
        <f>CHOOSE( CONTROL!$C$37, 16.655, 16.654) * CHOOSE(CONTROL!$C$20, $D$12, 100%, $F$12)</f>
        <v>16.655000000000001</v>
      </c>
      <c r="C568" s="7">
        <f>CHOOSE( CONTROL!$C$37, 16.6601, 16.6591) * CHOOSE(CONTROL!$C$20, $D$12, 100%, $F$12)</f>
        <v>16.6601</v>
      </c>
      <c r="D568" s="7">
        <f>CHOOSE( CONTROL!$C$37, 16.6386, 16.6375) * CHOOSE( CONTROL!$C$20, $D$12, 100%, $F$12)</f>
        <v>16.6386</v>
      </c>
      <c r="E568" s="10">
        <f>CHOOSE( CONTROL!$C$37, 16.6459, 16.6449) * CHOOSE( CONTROL!$C$20, $D$12, 100%, $F$12)</f>
        <v>16.645900000000001</v>
      </c>
      <c r="F568" s="4">
        <f>CHOOSE( CONTROL!$C$37, 17.3076, 17.3065) * CHOOSE(CONTROL!$C$20, $D$12, 100%, $F$12)</f>
        <v>17.307600000000001</v>
      </c>
      <c r="G568" s="7">
        <f>CHOOSE( CONTROL!$C$37, 16.4554, 16.4543) * CHOOSE( CONTROL!$C$20, $D$12, 100%, $F$12)</f>
        <v>16.455400000000001</v>
      </c>
      <c r="H568" s="4">
        <f>CHOOSE( CONTROL!$C$37, 17.34, 17.3389) * CHOOSE(CONTROL!$C$20, $D$12, 100%, $F$12)</f>
        <v>17.34</v>
      </c>
      <c r="I568" s="7">
        <f>CHOOSE( CONTROL!$C$37, 16.3279, 16.3268) * CHOOSE(CONTROL!$C$20, $D$12, 100%, $F$12)</f>
        <v>16.3279</v>
      </c>
      <c r="J568" s="4">
        <f>CHOOSE( CONTROL!$C$37, 16.1437, 16.1427) * CHOOSE(CONTROL!$C$20, $D$12, 100%, $F$12)</f>
        <v>16.143699999999999</v>
      </c>
      <c r="K568" s="4"/>
      <c r="L568" s="8">
        <v>28.360600000000002</v>
      </c>
      <c r="M568" s="8">
        <v>11.6745</v>
      </c>
      <c r="N568" s="8">
        <v>4.7850000000000001</v>
      </c>
      <c r="O568" s="8">
        <v>0.36199999999999999</v>
      </c>
      <c r="P568" s="8">
        <v>1.2509999999999999</v>
      </c>
      <c r="Q568" s="8">
        <v>19.053000000000001</v>
      </c>
      <c r="R568" s="8"/>
    </row>
    <row r="569" spans="1:18" ht="14.25" customHeight="1">
      <c r="A569" s="11">
        <v>58440</v>
      </c>
      <c r="B569" s="7">
        <f>CHOOSE( CONTROL!$C$37, 16.6247, 16.6236) * CHOOSE(CONTROL!$C$20, $D$12, 100%, $F$12)</f>
        <v>16.624700000000001</v>
      </c>
      <c r="C569" s="7">
        <f>CHOOSE( CONTROL!$C$37, 16.6298, 16.6287) * CHOOSE(CONTROL!$C$20, $D$12, 100%, $F$12)</f>
        <v>16.629799999999999</v>
      </c>
      <c r="D569" s="7">
        <f>CHOOSE( CONTROL!$C$37, 16.6098, 16.6088) * CHOOSE( CONTROL!$C$20, $D$12, 100%, $F$12)</f>
        <v>16.6098</v>
      </c>
      <c r="E569" s="10">
        <f>CHOOSE( CONTROL!$C$37, 16.6166, 16.6155) * CHOOSE( CONTROL!$C$20, $D$12, 100%, $F$12)</f>
        <v>16.616599999999998</v>
      </c>
      <c r="F569" s="4">
        <f>CHOOSE( CONTROL!$C$37, 17.2773, 17.2762) * CHOOSE(CONTROL!$C$20, $D$12, 100%, $F$12)</f>
        <v>17.2773</v>
      </c>
      <c r="G569" s="7">
        <f>CHOOSE( CONTROL!$C$37, 16.4266, 16.4255) * CHOOSE( CONTROL!$C$20, $D$12, 100%, $F$12)</f>
        <v>16.426600000000001</v>
      </c>
      <c r="H569" s="4">
        <f>CHOOSE( CONTROL!$C$37, 17.3101, 17.309) * CHOOSE(CONTROL!$C$20, $D$12, 100%, $F$12)</f>
        <v>17.310099999999998</v>
      </c>
      <c r="I569" s="7">
        <f>CHOOSE( CONTROL!$C$37, 16.3034, 16.3023) * CHOOSE(CONTROL!$C$20, $D$12, 100%, $F$12)</f>
        <v>16.3034</v>
      </c>
      <c r="J569" s="4">
        <f>CHOOSE( CONTROL!$C$37, 16.1144, 16.1133) * CHOOSE(CONTROL!$C$20, $D$12, 100%, $F$12)</f>
        <v>16.1144</v>
      </c>
      <c r="K569" s="4"/>
      <c r="L569" s="8">
        <v>29.306000000000001</v>
      </c>
      <c r="M569" s="8">
        <v>12.063700000000001</v>
      </c>
      <c r="N569" s="8">
        <v>4.9444999999999997</v>
      </c>
      <c r="O569" s="8">
        <v>0.37409999999999999</v>
      </c>
      <c r="P569" s="8">
        <v>1.2927</v>
      </c>
      <c r="Q569" s="8">
        <v>19.688099999999999</v>
      </c>
      <c r="R569" s="8"/>
    </row>
    <row r="570" spans="1:18" ht="14.25" customHeight="1">
      <c r="A570" s="11">
        <v>58471</v>
      </c>
      <c r="B570" s="7">
        <f>CHOOSE( CONTROL!$C$37, 17.1156, 17.1145) * CHOOSE(CONTROL!$C$20, $D$12, 100%, $F$12)</f>
        <v>17.115600000000001</v>
      </c>
      <c r="C570" s="7">
        <f>CHOOSE( CONTROL!$C$37, 17.1207, 17.1196) * CHOOSE(CONTROL!$C$20, $D$12, 100%, $F$12)</f>
        <v>17.120699999999999</v>
      </c>
      <c r="D570" s="7">
        <f>CHOOSE( CONTROL!$C$37, 17.1138, 17.1127) * CHOOSE( CONTROL!$C$20, $D$12, 100%, $F$12)</f>
        <v>17.113800000000001</v>
      </c>
      <c r="E570" s="10">
        <f>CHOOSE( CONTROL!$C$37, 17.1158, 17.1147) * CHOOSE( CONTROL!$C$20, $D$12, 100%, $F$12)</f>
        <v>17.1158</v>
      </c>
      <c r="F570" s="4">
        <f>CHOOSE( CONTROL!$C$37, 17.7681, 17.767) * CHOOSE(CONTROL!$C$20, $D$12, 100%, $F$12)</f>
        <v>17.7681</v>
      </c>
      <c r="G570" s="7">
        <f>CHOOSE( CONTROL!$C$37, 16.9151, 16.914) * CHOOSE( CONTROL!$C$20, $D$12, 100%, $F$12)</f>
        <v>16.915099999999999</v>
      </c>
      <c r="H570" s="4">
        <f>CHOOSE( CONTROL!$C$37, 17.7941, 17.793) * CHOOSE(CONTROL!$C$20, $D$12, 100%, $F$12)</f>
        <v>17.7941</v>
      </c>
      <c r="I570" s="7">
        <f>CHOOSE( CONTROL!$C$37, 16.7502, 16.7491) * CHOOSE(CONTROL!$C$20, $D$12, 100%, $F$12)</f>
        <v>16.7502</v>
      </c>
      <c r="J570" s="4">
        <f>CHOOSE( CONTROL!$C$37, 16.5897, 16.5886) * CHOOSE(CONTROL!$C$20, $D$12, 100%, $F$12)</f>
        <v>16.589700000000001</v>
      </c>
      <c r="K570" s="4"/>
      <c r="L570" s="8">
        <v>29.306000000000001</v>
      </c>
      <c r="M570" s="8">
        <v>12.063700000000001</v>
      </c>
      <c r="N570" s="8">
        <v>4.9444999999999997</v>
      </c>
      <c r="O570" s="8">
        <v>0.37409999999999999</v>
      </c>
      <c r="P570" s="8">
        <v>1.2927</v>
      </c>
      <c r="Q570" s="8">
        <v>19.688099999999999</v>
      </c>
      <c r="R570" s="8"/>
    </row>
    <row r="571" spans="1:18" ht="14.25" customHeight="1">
      <c r="A571" s="11">
        <v>58499</v>
      </c>
      <c r="B571" s="7">
        <f>CHOOSE( CONTROL!$C$37, 16.008, 16.007) * CHOOSE(CONTROL!$C$20, $D$12, 100%, $F$12)</f>
        <v>16.007999999999999</v>
      </c>
      <c r="C571" s="7">
        <f>CHOOSE( CONTROL!$C$37, 16.0131, 16.0121) * CHOOSE(CONTROL!$C$20, $D$12, 100%, $F$12)</f>
        <v>16.013100000000001</v>
      </c>
      <c r="D571" s="7">
        <f>CHOOSE( CONTROL!$C$37, 16.0062, 16.0051) * CHOOSE( CONTROL!$C$20, $D$12, 100%, $F$12)</f>
        <v>16.0062</v>
      </c>
      <c r="E571" s="10">
        <f>CHOOSE( CONTROL!$C$37, 16.0082, 16.0071) * CHOOSE( CONTROL!$C$20, $D$12, 100%, $F$12)</f>
        <v>16.008199999999999</v>
      </c>
      <c r="F571" s="4">
        <f>CHOOSE( CONTROL!$C$37, 16.6606, 16.6595) * CHOOSE(CONTROL!$C$20, $D$12, 100%, $F$12)</f>
        <v>16.660599999999999</v>
      </c>
      <c r="G571" s="7">
        <f>CHOOSE( CONTROL!$C$37, 15.823, 15.8219) * CHOOSE( CONTROL!$C$20, $D$12, 100%, $F$12)</f>
        <v>15.823</v>
      </c>
      <c r="H571" s="4">
        <f>CHOOSE( CONTROL!$C$37, 16.702, 16.7009) * CHOOSE(CONTROL!$C$20, $D$12, 100%, $F$12)</f>
        <v>16.702000000000002</v>
      </c>
      <c r="I571" s="7">
        <f>CHOOSE( CONTROL!$C$37, 15.677, 15.6759) * CHOOSE(CONTROL!$C$20, $D$12, 100%, $F$12)</f>
        <v>15.677</v>
      </c>
      <c r="J571" s="4">
        <f>CHOOSE( CONTROL!$C$37, 15.5172, 15.5162) * CHOOSE(CONTROL!$C$20, $D$12, 100%, $F$12)</f>
        <v>15.517200000000001</v>
      </c>
      <c r="K571" s="4"/>
      <c r="L571" s="8">
        <v>27.415299999999998</v>
      </c>
      <c r="M571" s="8">
        <v>11.285299999999999</v>
      </c>
      <c r="N571" s="8">
        <v>4.6254999999999997</v>
      </c>
      <c r="O571" s="8">
        <v>0.34989999999999999</v>
      </c>
      <c r="P571" s="8">
        <v>1.2093</v>
      </c>
      <c r="Q571" s="8">
        <v>18.417899999999999</v>
      </c>
      <c r="R571" s="8"/>
    </row>
    <row r="572" spans="1:18" ht="14.25" customHeight="1">
      <c r="A572" s="11">
        <v>58531</v>
      </c>
      <c r="B572" s="7">
        <f>CHOOSE( CONTROL!$C$37, 15.6669, 15.6658) * CHOOSE(CONTROL!$C$20, $D$12, 100%, $F$12)</f>
        <v>15.6669</v>
      </c>
      <c r="C572" s="7">
        <f>CHOOSE( CONTROL!$C$37, 15.672, 15.6709) * CHOOSE(CONTROL!$C$20, $D$12, 100%, $F$12)</f>
        <v>15.672000000000001</v>
      </c>
      <c r="D572" s="7">
        <f>CHOOSE( CONTROL!$C$37, 15.6644, 15.6633) * CHOOSE( CONTROL!$C$20, $D$12, 100%, $F$12)</f>
        <v>15.664400000000001</v>
      </c>
      <c r="E572" s="10">
        <f>CHOOSE( CONTROL!$C$37, 15.6666, 15.6655) * CHOOSE( CONTROL!$C$20, $D$12, 100%, $F$12)</f>
        <v>15.666600000000001</v>
      </c>
      <c r="F572" s="4">
        <f>CHOOSE( CONTROL!$C$37, 16.3195, 16.3184) * CHOOSE(CONTROL!$C$20, $D$12, 100%, $F$12)</f>
        <v>16.319500000000001</v>
      </c>
      <c r="G572" s="7">
        <f>CHOOSE( CONTROL!$C$37, 15.4862, 15.4851) * CHOOSE( CONTROL!$C$20, $D$12, 100%, $F$12)</f>
        <v>15.4862</v>
      </c>
      <c r="H572" s="4">
        <f>CHOOSE( CONTROL!$C$37, 16.3656, 16.3646) * CHOOSE(CONTROL!$C$20, $D$12, 100%, $F$12)</f>
        <v>16.365600000000001</v>
      </c>
      <c r="I572" s="7">
        <f>CHOOSE( CONTROL!$C$37, 15.3446, 15.3435) * CHOOSE(CONTROL!$C$20, $D$12, 100%, $F$12)</f>
        <v>15.3446</v>
      </c>
      <c r="J572" s="4">
        <f>CHOOSE( CONTROL!$C$37, 15.1869, 15.1859) * CHOOSE(CONTROL!$C$20, $D$12, 100%, $F$12)</f>
        <v>15.1869</v>
      </c>
      <c r="K572" s="4"/>
      <c r="L572" s="8">
        <v>29.306000000000001</v>
      </c>
      <c r="M572" s="8">
        <v>12.063700000000001</v>
      </c>
      <c r="N572" s="8">
        <v>4.9444999999999997</v>
      </c>
      <c r="O572" s="8">
        <v>0.37409999999999999</v>
      </c>
      <c r="P572" s="8">
        <v>1.2927</v>
      </c>
      <c r="Q572" s="8">
        <v>19.688099999999999</v>
      </c>
      <c r="R572" s="8"/>
    </row>
    <row r="573" spans="1:18" ht="14.25" customHeight="1">
      <c r="A573" s="11">
        <v>58561</v>
      </c>
      <c r="B573" s="7">
        <f>CHOOSE( CONTROL!$C$37, 15.9061, 15.905) * CHOOSE(CONTROL!$C$20, $D$12, 100%, $F$12)</f>
        <v>15.9061</v>
      </c>
      <c r="C573" s="7">
        <f>CHOOSE( CONTROL!$C$37, 15.9106, 15.9095) * CHOOSE(CONTROL!$C$20, $D$12, 100%, $F$12)</f>
        <v>15.910600000000001</v>
      </c>
      <c r="D573" s="7">
        <f>CHOOSE( CONTROL!$C$37, 15.9224, 15.9213) * CHOOSE( CONTROL!$C$20, $D$12, 100%, $F$12)</f>
        <v>15.9224</v>
      </c>
      <c r="E573" s="10">
        <f>CHOOSE( CONTROL!$C$37, 15.918, 15.9169) * CHOOSE( CONTROL!$C$20, $D$12, 100%, $F$12)</f>
        <v>15.917999999999999</v>
      </c>
      <c r="F573" s="4">
        <f>CHOOSE( CONTROL!$C$37, 16.6327, 16.6316) * CHOOSE(CONTROL!$C$20, $D$12, 100%, $F$12)</f>
        <v>16.6327</v>
      </c>
      <c r="G573" s="7">
        <f>CHOOSE( CONTROL!$C$37, 15.7294, 15.7284) * CHOOSE( CONTROL!$C$20, $D$12, 100%, $F$12)</f>
        <v>15.7294</v>
      </c>
      <c r="H573" s="4">
        <f>CHOOSE( CONTROL!$C$37, 16.6745, 16.6734) * CHOOSE(CONTROL!$C$20, $D$12, 100%, $F$12)</f>
        <v>16.674499999999998</v>
      </c>
      <c r="I573" s="7">
        <f>CHOOSE( CONTROL!$C$37, 15.5481, 15.547) * CHOOSE(CONTROL!$C$20, $D$12, 100%, $F$12)</f>
        <v>15.5481</v>
      </c>
      <c r="J573" s="4">
        <f>CHOOSE( CONTROL!$C$37, 15.4178, 15.4167) * CHOOSE(CONTROL!$C$20, $D$12, 100%, $F$12)</f>
        <v>15.4178</v>
      </c>
      <c r="K573" s="4"/>
      <c r="L573" s="8">
        <v>30.092199999999998</v>
      </c>
      <c r="M573" s="8">
        <v>11.6745</v>
      </c>
      <c r="N573" s="8">
        <v>4.7850000000000001</v>
      </c>
      <c r="O573" s="8">
        <v>0.36199999999999999</v>
      </c>
      <c r="P573" s="8">
        <v>1.2509999999999999</v>
      </c>
      <c r="Q573" s="8">
        <v>19.053000000000001</v>
      </c>
      <c r="R573" s="8"/>
    </row>
    <row r="574" spans="1:18" ht="14.25" customHeight="1">
      <c r="A574" s="11">
        <v>58592</v>
      </c>
      <c r="B574" s="7">
        <f>CHOOSE( CONTROL!$C$37, 16.3322, 16.3306) * CHOOSE(CONTROL!$C$20, $D$12, 100%, $F$12)</f>
        <v>16.3322</v>
      </c>
      <c r="C574" s="7">
        <f>CHOOSE( CONTROL!$C$37, 16.3402, 16.3386) * CHOOSE(CONTROL!$C$20, $D$12, 100%, $F$12)</f>
        <v>16.340199999999999</v>
      </c>
      <c r="D574" s="7">
        <f>CHOOSE( CONTROL!$C$37, 16.3459, 16.3442) * CHOOSE( CONTROL!$C$20, $D$12, 100%, $F$12)</f>
        <v>16.3459</v>
      </c>
      <c r="E574" s="10">
        <f>CHOOSE( CONTROL!$C$37, 16.3426, 16.341) * CHOOSE( CONTROL!$C$20, $D$12, 100%, $F$12)</f>
        <v>16.342600000000001</v>
      </c>
      <c r="F574" s="4">
        <f>CHOOSE( CONTROL!$C$37, 17.0575, 17.0559) * CHOOSE(CONTROL!$C$20, $D$12, 100%, $F$12)</f>
        <v>17.057500000000001</v>
      </c>
      <c r="G574" s="7">
        <f>CHOOSE( CONTROL!$C$37, 16.1483, 16.1466) * CHOOSE( CONTROL!$C$20, $D$12, 100%, $F$12)</f>
        <v>16.148299999999999</v>
      </c>
      <c r="H574" s="4">
        <f>CHOOSE( CONTROL!$C$37, 17.0934, 17.0917) * CHOOSE(CONTROL!$C$20, $D$12, 100%, $F$12)</f>
        <v>17.093399999999999</v>
      </c>
      <c r="I574" s="7">
        <f>CHOOSE( CONTROL!$C$37, 15.9593, 15.9577) * CHOOSE(CONTROL!$C$20, $D$12, 100%, $F$12)</f>
        <v>15.959300000000001</v>
      </c>
      <c r="J574" s="4">
        <f>CHOOSE( CONTROL!$C$37, 15.8291, 15.8275) * CHOOSE(CONTROL!$C$20, $D$12, 100%, $F$12)</f>
        <v>15.8291</v>
      </c>
      <c r="K574" s="4"/>
      <c r="L574" s="8">
        <v>30.7165</v>
      </c>
      <c r="M574" s="8">
        <v>12.063700000000001</v>
      </c>
      <c r="N574" s="8">
        <v>4.9444999999999997</v>
      </c>
      <c r="O574" s="8">
        <v>0.37409999999999999</v>
      </c>
      <c r="P574" s="8">
        <v>1.2927</v>
      </c>
      <c r="Q574" s="8">
        <v>19.688099999999999</v>
      </c>
      <c r="R574" s="8"/>
    </row>
    <row r="575" spans="1:18" ht="14.25" customHeight="1">
      <c r="A575" s="11">
        <v>58622</v>
      </c>
      <c r="B575" s="7">
        <f>CHOOSE( CONTROL!$C$37, 16.0694, 16.0678) * CHOOSE(CONTROL!$C$20, $D$12, 100%, $F$12)</f>
        <v>16.069400000000002</v>
      </c>
      <c r="C575" s="7">
        <f>CHOOSE( CONTROL!$C$37, 16.0774, 16.0758) * CHOOSE(CONTROL!$C$20, $D$12, 100%, $F$12)</f>
        <v>16.077400000000001</v>
      </c>
      <c r="D575" s="7">
        <f>CHOOSE( CONTROL!$C$37, 16.0834, 16.0817) * CHOOSE( CONTROL!$C$20, $D$12, 100%, $F$12)</f>
        <v>16.083400000000001</v>
      </c>
      <c r="E575" s="10">
        <f>CHOOSE( CONTROL!$C$37, 16.08, 16.0783) * CHOOSE( CONTROL!$C$20, $D$12, 100%, $F$12)</f>
        <v>16.079999999999998</v>
      </c>
      <c r="F575" s="4">
        <f>CHOOSE( CONTROL!$C$37, 16.7947, 16.7931) * CHOOSE(CONTROL!$C$20, $D$12, 100%, $F$12)</f>
        <v>16.794699999999999</v>
      </c>
      <c r="G575" s="7">
        <f>CHOOSE( CONTROL!$C$37, 15.8894, 15.8877) * CHOOSE( CONTROL!$C$20, $D$12, 100%, $F$12)</f>
        <v>15.8894</v>
      </c>
      <c r="H575" s="4">
        <f>CHOOSE( CONTROL!$C$37, 16.8343, 16.8326) * CHOOSE(CONTROL!$C$20, $D$12, 100%, $F$12)</f>
        <v>16.834299999999999</v>
      </c>
      <c r="I575" s="7">
        <f>CHOOSE( CONTROL!$C$37, 15.7057, 15.7041) * CHOOSE(CONTROL!$C$20, $D$12, 100%, $F$12)</f>
        <v>15.7057</v>
      </c>
      <c r="J575" s="4">
        <f>CHOOSE( CONTROL!$C$37, 15.5746, 15.573) * CHOOSE(CONTROL!$C$20, $D$12, 100%, $F$12)</f>
        <v>15.5746</v>
      </c>
      <c r="K575" s="4"/>
      <c r="L575" s="8">
        <v>29.7257</v>
      </c>
      <c r="M575" s="8">
        <v>11.6745</v>
      </c>
      <c r="N575" s="8">
        <v>4.7850000000000001</v>
      </c>
      <c r="O575" s="8">
        <v>0.36199999999999999</v>
      </c>
      <c r="P575" s="8">
        <v>1.2509999999999999</v>
      </c>
      <c r="Q575" s="8">
        <v>19.053000000000001</v>
      </c>
      <c r="R575" s="8"/>
    </row>
    <row r="576" spans="1:18" ht="14.25" customHeight="1">
      <c r="A576" s="11">
        <v>58653</v>
      </c>
      <c r="B576" s="7">
        <f>CHOOSE( CONTROL!$C$37, 16.7615, 16.7598) * CHOOSE(CONTROL!$C$20, $D$12, 100%, $F$12)</f>
        <v>16.761500000000002</v>
      </c>
      <c r="C576" s="7">
        <f>CHOOSE( CONTROL!$C$37, 16.7695, 16.7678) * CHOOSE(CONTROL!$C$20, $D$12, 100%, $F$12)</f>
        <v>16.769500000000001</v>
      </c>
      <c r="D576" s="7">
        <f>CHOOSE( CONTROL!$C$37, 16.7757, 16.774) * CHOOSE( CONTROL!$C$20, $D$12, 100%, $F$12)</f>
        <v>16.775700000000001</v>
      </c>
      <c r="E576" s="10">
        <f>CHOOSE( CONTROL!$C$37, 16.7722, 16.7705) * CHOOSE( CONTROL!$C$20, $D$12, 100%, $F$12)</f>
        <v>16.772200000000002</v>
      </c>
      <c r="F576" s="4">
        <f>CHOOSE( CONTROL!$C$37, 17.4868, 17.4851) * CHOOSE(CONTROL!$C$20, $D$12, 100%, $F$12)</f>
        <v>17.486799999999999</v>
      </c>
      <c r="G576" s="7">
        <f>CHOOSE( CONTROL!$C$37, 16.572, 16.5704) * CHOOSE( CONTROL!$C$20, $D$12, 100%, $F$12)</f>
        <v>16.571999999999999</v>
      </c>
      <c r="H576" s="4">
        <f>CHOOSE( CONTROL!$C$37, 17.5166, 17.515) * CHOOSE(CONTROL!$C$20, $D$12, 100%, $F$12)</f>
        <v>17.5166</v>
      </c>
      <c r="I576" s="7">
        <f>CHOOSE( CONTROL!$C$37, 16.3772, 16.3756) * CHOOSE(CONTROL!$C$20, $D$12, 100%, $F$12)</f>
        <v>16.377199999999998</v>
      </c>
      <c r="J576" s="4">
        <f>CHOOSE( CONTROL!$C$37, 16.2447, 16.2431) * CHOOSE(CONTROL!$C$20, $D$12, 100%, $F$12)</f>
        <v>16.244700000000002</v>
      </c>
      <c r="K576" s="4"/>
      <c r="L576" s="8">
        <v>30.7165</v>
      </c>
      <c r="M576" s="8">
        <v>12.063700000000001</v>
      </c>
      <c r="N576" s="8">
        <v>4.9444999999999997</v>
      </c>
      <c r="O576" s="8">
        <v>0.37409999999999999</v>
      </c>
      <c r="P576" s="8">
        <v>1.2927</v>
      </c>
      <c r="Q576" s="8">
        <v>19.688099999999999</v>
      </c>
      <c r="R576" s="8"/>
    </row>
    <row r="577" spans="1:18" ht="14.25" customHeight="1">
      <c r="A577" s="11">
        <v>58684</v>
      </c>
      <c r="B577" s="7">
        <f>CHOOSE( CONTROL!$C$37, 15.4666, 15.4649) * CHOOSE(CONTROL!$C$20, $D$12, 100%, $F$12)</f>
        <v>15.4666</v>
      </c>
      <c r="C577" s="7">
        <f>CHOOSE( CONTROL!$C$37, 15.4746, 15.4729) * CHOOSE(CONTROL!$C$20, $D$12, 100%, $F$12)</f>
        <v>15.474600000000001</v>
      </c>
      <c r="D577" s="7">
        <f>CHOOSE( CONTROL!$C$37, 15.4809, 15.4792) * CHOOSE( CONTROL!$C$20, $D$12, 100%, $F$12)</f>
        <v>15.4809</v>
      </c>
      <c r="E577" s="10">
        <f>CHOOSE( CONTROL!$C$37, 15.4774, 15.4757) * CHOOSE( CONTROL!$C$20, $D$12, 100%, $F$12)</f>
        <v>15.477399999999999</v>
      </c>
      <c r="F577" s="4">
        <f>CHOOSE( CONTROL!$C$37, 16.1919, 16.1902) * CHOOSE(CONTROL!$C$20, $D$12, 100%, $F$12)</f>
        <v>16.1919</v>
      </c>
      <c r="G577" s="7">
        <f>CHOOSE( CONTROL!$C$37, 15.2952, 15.2936) * CHOOSE( CONTROL!$C$20, $D$12, 100%, $F$12)</f>
        <v>15.295199999999999</v>
      </c>
      <c r="H577" s="4">
        <f>CHOOSE( CONTROL!$C$37, 16.2398, 16.2382) * CHOOSE(CONTROL!$C$20, $D$12, 100%, $F$12)</f>
        <v>16.239799999999999</v>
      </c>
      <c r="I577" s="7">
        <f>CHOOSE( CONTROL!$C$37, 15.123, 15.1214) * CHOOSE(CONTROL!$C$20, $D$12, 100%, $F$12)</f>
        <v>15.122999999999999</v>
      </c>
      <c r="J577" s="4">
        <f>CHOOSE( CONTROL!$C$37, 14.9909, 14.9893) * CHOOSE(CONTROL!$C$20, $D$12, 100%, $F$12)</f>
        <v>14.9909</v>
      </c>
      <c r="K577" s="4"/>
      <c r="L577" s="8">
        <v>30.7165</v>
      </c>
      <c r="M577" s="8">
        <v>12.063700000000001</v>
      </c>
      <c r="N577" s="8">
        <v>4.9444999999999997</v>
      </c>
      <c r="O577" s="8">
        <v>0.37409999999999999</v>
      </c>
      <c r="P577" s="8">
        <v>1.2927</v>
      </c>
      <c r="Q577" s="8">
        <v>19.688099999999999</v>
      </c>
      <c r="R577" s="8"/>
    </row>
    <row r="578" spans="1:18" ht="14.25" customHeight="1">
      <c r="A578" s="11">
        <v>58714</v>
      </c>
      <c r="B578" s="7">
        <f>CHOOSE( CONTROL!$C$37, 15.1423, 15.1407) * CHOOSE(CONTROL!$C$20, $D$12, 100%, $F$12)</f>
        <v>15.142300000000001</v>
      </c>
      <c r="C578" s="7">
        <f>CHOOSE( CONTROL!$C$37, 15.1503, 15.1487) * CHOOSE(CONTROL!$C$20, $D$12, 100%, $F$12)</f>
        <v>15.1503</v>
      </c>
      <c r="D578" s="7">
        <f>CHOOSE( CONTROL!$C$37, 15.1565, 15.1549) * CHOOSE( CONTROL!$C$20, $D$12, 100%, $F$12)</f>
        <v>15.156499999999999</v>
      </c>
      <c r="E578" s="10">
        <f>CHOOSE( CONTROL!$C$37, 15.153, 15.1514) * CHOOSE( CONTROL!$C$20, $D$12, 100%, $F$12)</f>
        <v>15.153</v>
      </c>
      <c r="F578" s="4">
        <f>CHOOSE( CONTROL!$C$37, 15.8676, 15.8659) * CHOOSE(CONTROL!$C$20, $D$12, 100%, $F$12)</f>
        <v>15.867599999999999</v>
      </c>
      <c r="G578" s="7">
        <f>CHOOSE( CONTROL!$C$37, 14.9754, 14.9738) * CHOOSE( CONTROL!$C$20, $D$12, 100%, $F$12)</f>
        <v>14.9754</v>
      </c>
      <c r="H578" s="4">
        <f>CHOOSE( CONTROL!$C$37, 15.9201, 15.9184) * CHOOSE(CONTROL!$C$20, $D$12, 100%, $F$12)</f>
        <v>15.9201</v>
      </c>
      <c r="I578" s="7">
        <f>CHOOSE( CONTROL!$C$37, 14.8085, 14.8069) * CHOOSE(CONTROL!$C$20, $D$12, 100%, $F$12)</f>
        <v>14.8085</v>
      </c>
      <c r="J578" s="4">
        <f>CHOOSE( CONTROL!$C$37, 14.6769, 14.6753) * CHOOSE(CONTROL!$C$20, $D$12, 100%, $F$12)</f>
        <v>14.6769</v>
      </c>
      <c r="K578" s="4"/>
      <c r="L578" s="8">
        <v>29.7257</v>
      </c>
      <c r="M578" s="8">
        <v>11.6745</v>
      </c>
      <c r="N578" s="8">
        <v>4.7850000000000001</v>
      </c>
      <c r="O578" s="8">
        <v>0.36199999999999999</v>
      </c>
      <c r="P578" s="8">
        <v>1.2509999999999999</v>
      </c>
      <c r="Q578" s="8">
        <v>19.053000000000001</v>
      </c>
      <c r="R578" s="8"/>
    </row>
    <row r="579" spans="1:18" ht="14.25" customHeight="1">
      <c r="A579" s="11">
        <v>58745</v>
      </c>
      <c r="B579" s="7">
        <f>CHOOSE( CONTROL!$C$37, 15.8133, 15.8122) * CHOOSE(CONTROL!$C$20, $D$12, 100%, $F$12)</f>
        <v>15.8133</v>
      </c>
      <c r="C579" s="7">
        <f>CHOOSE( CONTROL!$C$37, 15.8186, 15.8176) * CHOOSE(CONTROL!$C$20, $D$12, 100%, $F$12)</f>
        <v>15.8186</v>
      </c>
      <c r="D579" s="7">
        <f>CHOOSE( CONTROL!$C$37, 15.8307, 15.8296) * CHOOSE( CONTROL!$C$20, $D$12, 100%, $F$12)</f>
        <v>15.8307</v>
      </c>
      <c r="E579" s="10">
        <f>CHOOSE( CONTROL!$C$37, 15.8261, 15.8251) * CHOOSE( CONTROL!$C$20, $D$12, 100%, $F$12)</f>
        <v>15.8261</v>
      </c>
      <c r="F579" s="4">
        <f>CHOOSE( CONTROL!$C$37, 16.5403, 16.5392) * CHOOSE(CONTROL!$C$20, $D$12, 100%, $F$12)</f>
        <v>16.540299999999998</v>
      </c>
      <c r="G579" s="7">
        <f>CHOOSE( CONTROL!$C$37, 15.6388, 15.6378) * CHOOSE( CONTROL!$C$20, $D$12, 100%, $F$12)</f>
        <v>15.6388</v>
      </c>
      <c r="H579" s="4">
        <f>CHOOSE( CONTROL!$C$37, 16.5834, 16.5823) * CHOOSE(CONTROL!$C$20, $D$12, 100%, $F$12)</f>
        <v>16.583400000000001</v>
      </c>
      <c r="I579" s="7">
        <f>CHOOSE( CONTROL!$C$37, 15.4608, 15.4598) * CHOOSE(CONTROL!$C$20, $D$12, 100%, $F$12)</f>
        <v>15.460800000000001</v>
      </c>
      <c r="J579" s="4">
        <f>CHOOSE( CONTROL!$C$37, 15.3283, 15.3272) * CHOOSE(CONTROL!$C$20, $D$12, 100%, $F$12)</f>
        <v>15.3283</v>
      </c>
      <c r="K579" s="4"/>
      <c r="L579" s="8">
        <v>31.095300000000002</v>
      </c>
      <c r="M579" s="8">
        <v>12.063700000000001</v>
      </c>
      <c r="N579" s="8">
        <v>4.9444999999999997</v>
      </c>
      <c r="O579" s="8">
        <v>0.37409999999999999</v>
      </c>
      <c r="P579" s="8">
        <v>1.2927</v>
      </c>
      <c r="Q579" s="8">
        <v>19.688099999999999</v>
      </c>
      <c r="R579" s="8"/>
    </row>
    <row r="580" spans="1:18" ht="14.25" customHeight="1">
      <c r="A580" s="11">
        <v>58775</v>
      </c>
      <c r="B580" s="7">
        <f>CHOOSE( CONTROL!$C$37, 17.0556, 17.0545) * CHOOSE(CONTROL!$C$20, $D$12, 100%, $F$12)</f>
        <v>17.055599999999998</v>
      </c>
      <c r="C580" s="7">
        <f>CHOOSE( CONTROL!$C$37, 17.0607, 17.0596) * CHOOSE(CONTROL!$C$20, $D$12, 100%, $F$12)</f>
        <v>17.060700000000001</v>
      </c>
      <c r="D580" s="7">
        <f>CHOOSE( CONTROL!$C$37, 17.0392, 17.0381) * CHOOSE( CONTROL!$C$20, $D$12, 100%, $F$12)</f>
        <v>17.039200000000001</v>
      </c>
      <c r="E580" s="10">
        <f>CHOOSE( CONTROL!$C$37, 17.0465, 17.0454) * CHOOSE( CONTROL!$C$20, $D$12, 100%, $F$12)</f>
        <v>17.046500000000002</v>
      </c>
      <c r="F580" s="4">
        <f>CHOOSE( CONTROL!$C$37, 17.7082, 17.7071) * CHOOSE(CONTROL!$C$20, $D$12, 100%, $F$12)</f>
        <v>17.708200000000001</v>
      </c>
      <c r="G580" s="7">
        <f>CHOOSE( CONTROL!$C$37, 16.8503, 16.8493) * CHOOSE( CONTROL!$C$20, $D$12, 100%, $F$12)</f>
        <v>16.850300000000001</v>
      </c>
      <c r="H580" s="4">
        <f>CHOOSE( CONTROL!$C$37, 17.7349, 17.7339) * CHOOSE(CONTROL!$C$20, $D$12, 100%, $F$12)</f>
        <v>17.7349</v>
      </c>
      <c r="I580" s="7">
        <f>CHOOSE( CONTROL!$C$37, 16.7159, 16.7149) * CHOOSE(CONTROL!$C$20, $D$12, 100%, $F$12)</f>
        <v>16.715900000000001</v>
      </c>
      <c r="J580" s="4">
        <f>CHOOSE( CONTROL!$C$37, 16.5316, 16.5306) * CHOOSE(CONTROL!$C$20, $D$12, 100%, $F$12)</f>
        <v>16.531600000000001</v>
      </c>
      <c r="K580" s="4"/>
      <c r="L580" s="8">
        <v>28.360600000000002</v>
      </c>
      <c r="M580" s="8">
        <v>11.6745</v>
      </c>
      <c r="N580" s="8">
        <v>4.7850000000000001</v>
      </c>
      <c r="O580" s="8">
        <v>0.36199999999999999</v>
      </c>
      <c r="P580" s="8">
        <v>1.2509999999999999</v>
      </c>
      <c r="Q580" s="8">
        <v>19.053000000000001</v>
      </c>
      <c r="R580" s="8"/>
    </row>
    <row r="581" spans="1:18" ht="14.25" customHeight="1">
      <c r="A581" s="11">
        <v>58806</v>
      </c>
      <c r="B581" s="7">
        <f>CHOOSE( CONTROL!$C$37, 17.0246, 17.0235) * CHOOSE(CONTROL!$C$20, $D$12, 100%, $F$12)</f>
        <v>17.0246</v>
      </c>
      <c r="C581" s="7">
        <f>CHOOSE( CONTROL!$C$37, 17.0297, 17.0286) * CHOOSE(CONTROL!$C$20, $D$12, 100%, $F$12)</f>
        <v>17.029699999999998</v>
      </c>
      <c r="D581" s="7">
        <f>CHOOSE( CONTROL!$C$37, 17.0097, 17.0086) * CHOOSE( CONTROL!$C$20, $D$12, 100%, $F$12)</f>
        <v>17.009699999999999</v>
      </c>
      <c r="E581" s="10">
        <f>CHOOSE( CONTROL!$C$37, 17.0165, 17.0154) * CHOOSE( CONTROL!$C$20, $D$12, 100%, $F$12)</f>
        <v>17.016500000000001</v>
      </c>
      <c r="F581" s="4">
        <f>CHOOSE( CONTROL!$C$37, 17.6771, 17.676) * CHOOSE(CONTROL!$C$20, $D$12, 100%, $F$12)</f>
        <v>17.677099999999999</v>
      </c>
      <c r="G581" s="7">
        <f>CHOOSE( CONTROL!$C$37, 16.8208, 16.8198) * CHOOSE( CONTROL!$C$20, $D$12, 100%, $F$12)</f>
        <v>16.820799999999998</v>
      </c>
      <c r="H581" s="4">
        <f>CHOOSE( CONTROL!$C$37, 17.7043, 17.7033) * CHOOSE(CONTROL!$C$20, $D$12, 100%, $F$12)</f>
        <v>17.7043</v>
      </c>
      <c r="I581" s="7">
        <f>CHOOSE( CONTROL!$C$37, 16.6907, 16.6897) * CHOOSE(CONTROL!$C$20, $D$12, 100%, $F$12)</f>
        <v>16.6907</v>
      </c>
      <c r="J581" s="4">
        <f>CHOOSE( CONTROL!$C$37, 16.5015, 16.5005) * CHOOSE(CONTROL!$C$20, $D$12, 100%, $F$12)</f>
        <v>16.5015</v>
      </c>
      <c r="K581" s="4"/>
      <c r="L581" s="8">
        <v>29.306000000000001</v>
      </c>
      <c r="M581" s="8">
        <v>12.063700000000001</v>
      </c>
      <c r="N581" s="8">
        <v>4.9444999999999997</v>
      </c>
      <c r="O581" s="8">
        <v>0.37409999999999999</v>
      </c>
      <c r="P581" s="8">
        <v>1.2927</v>
      </c>
      <c r="Q581" s="8">
        <v>19.688099999999999</v>
      </c>
      <c r="R581" s="8"/>
    </row>
    <row r="582" spans="1:18" ht="14.25" customHeight="1">
      <c r="A582" s="11">
        <v>58837</v>
      </c>
      <c r="B582" s="7">
        <f>CHOOSE( CONTROL!$C$37, 17.5272, 17.5261) * CHOOSE(CONTROL!$C$20, $D$12, 100%, $F$12)</f>
        <v>17.527200000000001</v>
      </c>
      <c r="C582" s="7">
        <f>CHOOSE( CONTROL!$C$37, 17.5323, 17.5312) * CHOOSE(CONTROL!$C$20, $D$12, 100%, $F$12)</f>
        <v>17.532299999999999</v>
      </c>
      <c r="D582" s="7">
        <f>CHOOSE( CONTROL!$C$37, 17.5254, 17.5243) * CHOOSE( CONTROL!$C$20, $D$12, 100%, $F$12)</f>
        <v>17.525400000000001</v>
      </c>
      <c r="E582" s="10">
        <f>CHOOSE( CONTROL!$C$37, 17.5274, 17.5263) * CHOOSE( CONTROL!$C$20, $D$12, 100%, $F$12)</f>
        <v>17.5274</v>
      </c>
      <c r="F582" s="4">
        <f>CHOOSE( CONTROL!$C$37, 18.1797, 18.1787) * CHOOSE(CONTROL!$C$20, $D$12, 100%, $F$12)</f>
        <v>18.1797</v>
      </c>
      <c r="G582" s="7">
        <f>CHOOSE( CONTROL!$C$37, 17.321, 17.3199) * CHOOSE( CONTROL!$C$20, $D$12, 100%, $F$12)</f>
        <v>17.321000000000002</v>
      </c>
      <c r="H582" s="4">
        <f>CHOOSE( CONTROL!$C$37, 18.2, 18.1989) * CHOOSE(CONTROL!$C$20, $D$12, 100%, $F$12)</f>
        <v>18.2</v>
      </c>
      <c r="I582" s="7">
        <f>CHOOSE( CONTROL!$C$37, 17.149, 17.1479) * CHOOSE(CONTROL!$C$20, $D$12, 100%, $F$12)</f>
        <v>17.149000000000001</v>
      </c>
      <c r="J582" s="4">
        <f>CHOOSE( CONTROL!$C$37, 16.9883, 16.9872) * CHOOSE(CONTROL!$C$20, $D$12, 100%, $F$12)</f>
        <v>16.988299999999999</v>
      </c>
      <c r="K582" s="4"/>
      <c r="L582" s="8">
        <v>29.306000000000001</v>
      </c>
      <c r="M582" s="8">
        <v>12.063700000000001</v>
      </c>
      <c r="N582" s="8">
        <v>4.9444999999999997</v>
      </c>
      <c r="O582" s="8">
        <v>0.37409999999999999</v>
      </c>
      <c r="P582" s="8">
        <v>1.2927</v>
      </c>
      <c r="Q582" s="8">
        <v>19.688099999999999</v>
      </c>
      <c r="R582" s="8"/>
    </row>
    <row r="583" spans="1:18" ht="14.25" customHeight="1">
      <c r="A583" s="11">
        <v>58865</v>
      </c>
      <c r="B583" s="7">
        <f>CHOOSE( CONTROL!$C$37, 16.3931, 16.392) * CHOOSE(CONTROL!$C$20, $D$12, 100%, $F$12)</f>
        <v>16.3931</v>
      </c>
      <c r="C583" s="7">
        <f>CHOOSE( CONTROL!$C$37, 16.3982, 16.3971) * CHOOSE(CONTROL!$C$20, $D$12, 100%, $F$12)</f>
        <v>16.398199999999999</v>
      </c>
      <c r="D583" s="7">
        <f>CHOOSE( CONTROL!$C$37, 16.3912, 16.3901) * CHOOSE( CONTROL!$C$20, $D$12, 100%, $F$12)</f>
        <v>16.391200000000001</v>
      </c>
      <c r="E583" s="10">
        <f>CHOOSE( CONTROL!$C$37, 16.3932, 16.3921) * CHOOSE( CONTROL!$C$20, $D$12, 100%, $F$12)</f>
        <v>16.3932</v>
      </c>
      <c r="F583" s="4">
        <f>CHOOSE( CONTROL!$C$37, 17.0456, 17.0445) * CHOOSE(CONTROL!$C$20, $D$12, 100%, $F$12)</f>
        <v>17.0456</v>
      </c>
      <c r="G583" s="7">
        <f>CHOOSE( CONTROL!$C$37, 16.2026, 16.2015) * CHOOSE( CONTROL!$C$20, $D$12, 100%, $F$12)</f>
        <v>16.2026</v>
      </c>
      <c r="H583" s="4">
        <f>CHOOSE( CONTROL!$C$37, 17.0816, 17.0806) * CHOOSE(CONTROL!$C$20, $D$12, 100%, $F$12)</f>
        <v>17.081600000000002</v>
      </c>
      <c r="I583" s="7">
        <f>CHOOSE( CONTROL!$C$37, 16.05, 16.0489) * CHOOSE(CONTROL!$C$20, $D$12, 100%, $F$12)</f>
        <v>16.05</v>
      </c>
      <c r="J583" s="4">
        <f>CHOOSE( CONTROL!$C$37, 15.8901, 15.889) * CHOOSE(CONTROL!$C$20, $D$12, 100%, $F$12)</f>
        <v>15.8901</v>
      </c>
      <c r="K583" s="4"/>
      <c r="L583" s="8">
        <v>26.469899999999999</v>
      </c>
      <c r="M583" s="8">
        <v>10.8962</v>
      </c>
      <c r="N583" s="8">
        <v>4.4660000000000002</v>
      </c>
      <c r="O583" s="8">
        <v>0.33789999999999998</v>
      </c>
      <c r="P583" s="8">
        <v>1.1676</v>
      </c>
      <c r="Q583" s="8">
        <v>17.782800000000002</v>
      </c>
      <c r="R583" s="8"/>
    </row>
    <row r="584" spans="1:18" ht="14.25" customHeight="1">
      <c r="A584" s="11">
        <v>58893</v>
      </c>
      <c r="B584" s="7">
        <f>CHOOSE( CONTROL!$C$37, 16.0437, 16.0427) * CHOOSE(CONTROL!$C$20, $D$12, 100%, $F$12)</f>
        <v>16.043700000000001</v>
      </c>
      <c r="C584" s="7">
        <f>CHOOSE( CONTROL!$C$37, 16.0488, 16.0478) * CHOOSE(CONTROL!$C$20, $D$12, 100%, $F$12)</f>
        <v>16.0488</v>
      </c>
      <c r="D584" s="7">
        <f>CHOOSE( CONTROL!$C$37, 16.0412, 16.0402) * CHOOSE( CONTROL!$C$20, $D$12, 100%, $F$12)</f>
        <v>16.0412</v>
      </c>
      <c r="E584" s="10">
        <f>CHOOSE( CONTROL!$C$37, 16.0434, 16.0424) * CHOOSE( CONTROL!$C$20, $D$12, 100%, $F$12)</f>
        <v>16.043399999999998</v>
      </c>
      <c r="F584" s="4">
        <f>CHOOSE( CONTROL!$C$37, 16.6963, 16.6952) * CHOOSE(CONTROL!$C$20, $D$12, 100%, $F$12)</f>
        <v>16.696300000000001</v>
      </c>
      <c r="G584" s="7">
        <f>CHOOSE( CONTROL!$C$37, 15.8577, 15.8566) * CHOOSE( CONTROL!$C$20, $D$12, 100%, $F$12)</f>
        <v>15.857699999999999</v>
      </c>
      <c r="H584" s="4">
        <f>CHOOSE( CONTROL!$C$37, 16.7372, 16.7361) * CHOOSE(CONTROL!$C$20, $D$12, 100%, $F$12)</f>
        <v>16.737200000000001</v>
      </c>
      <c r="I584" s="7">
        <f>CHOOSE( CONTROL!$C$37, 15.7096, 15.7086) * CHOOSE(CONTROL!$C$20, $D$12, 100%, $F$12)</f>
        <v>15.7096</v>
      </c>
      <c r="J584" s="4">
        <f>CHOOSE( CONTROL!$C$37, 15.5518, 15.5508) * CHOOSE(CONTROL!$C$20, $D$12, 100%, $F$12)</f>
        <v>15.5518</v>
      </c>
      <c r="K584" s="4"/>
      <c r="L584" s="8">
        <v>29.306000000000001</v>
      </c>
      <c r="M584" s="8">
        <v>12.063700000000001</v>
      </c>
      <c r="N584" s="8">
        <v>4.9444999999999997</v>
      </c>
      <c r="O584" s="8">
        <v>0.37409999999999999</v>
      </c>
      <c r="P584" s="8">
        <v>1.2927</v>
      </c>
      <c r="Q584" s="8">
        <v>19.688099999999999</v>
      </c>
      <c r="R584" s="8"/>
    </row>
    <row r="585" spans="1:18" ht="14.25" customHeight="1">
      <c r="A585" s="11">
        <v>58926</v>
      </c>
      <c r="B585" s="7">
        <f>CHOOSE( CONTROL!$C$37, 16.2886, 16.2875) * CHOOSE(CONTROL!$C$20, $D$12, 100%, $F$12)</f>
        <v>16.288599999999999</v>
      </c>
      <c r="C585" s="7">
        <f>CHOOSE( CONTROL!$C$37, 16.2931, 16.292) * CHOOSE(CONTROL!$C$20, $D$12, 100%, $F$12)</f>
        <v>16.293099999999999</v>
      </c>
      <c r="D585" s="7">
        <f>CHOOSE( CONTROL!$C$37, 16.305, 16.3039) * CHOOSE( CONTROL!$C$20, $D$12, 100%, $F$12)</f>
        <v>16.305</v>
      </c>
      <c r="E585" s="10">
        <f>CHOOSE( CONTROL!$C$37, 16.3006, 16.2995) * CHOOSE( CONTROL!$C$20, $D$12, 100%, $F$12)</f>
        <v>16.300599999999999</v>
      </c>
      <c r="F585" s="4">
        <f>CHOOSE( CONTROL!$C$37, 17.0153, 17.0142) * CHOOSE(CONTROL!$C$20, $D$12, 100%, $F$12)</f>
        <v>17.0153</v>
      </c>
      <c r="G585" s="7">
        <f>CHOOSE( CONTROL!$C$37, 16.1066, 16.1056) * CHOOSE( CONTROL!$C$20, $D$12, 100%, $F$12)</f>
        <v>16.1066</v>
      </c>
      <c r="H585" s="4">
        <f>CHOOSE( CONTROL!$C$37, 17.0517, 17.0506) * CHOOSE(CONTROL!$C$20, $D$12, 100%, $F$12)</f>
        <v>17.0517</v>
      </c>
      <c r="I585" s="7">
        <f>CHOOSE( CONTROL!$C$37, 15.9187, 15.9176) * CHOOSE(CONTROL!$C$20, $D$12, 100%, $F$12)</f>
        <v>15.918699999999999</v>
      </c>
      <c r="J585" s="4">
        <f>CHOOSE( CONTROL!$C$37, 15.7882, 15.7871) * CHOOSE(CONTROL!$C$20, $D$12, 100%, $F$12)</f>
        <v>15.7882</v>
      </c>
      <c r="K585" s="4"/>
      <c r="L585" s="8">
        <v>30.092199999999998</v>
      </c>
      <c r="M585" s="8">
        <v>11.6745</v>
      </c>
      <c r="N585" s="8">
        <v>4.7850000000000001</v>
      </c>
      <c r="O585" s="8">
        <v>0.36199999999999999</v>
      </c>
      <c r="P585" s="8">
        <v>1.2509999999999999</v>
      </c>
      <c r="Q585" s="8">
        <v>19.053000000000001</v>
      </c>
      <c r="R585" s="8"/>
    </row>
    <row r="586" spans="1:18" ht="14.25" customHeight="1">
      <c r="A586" s="11">
        <v>58957</v>
      </c>
      <c r="B586" s="7">
        <f>CHOOSE( CONTROL!$C$37, 16.725, 16.7233) * CHOOSE(CONTROL!$C$20, $D$12, 100%, $F$12)</f>
        <v>16.725000000000001</v>
      </c>
      <c r="C586" s="7">
        <f>CHOOSE( CONTROL!$C$37, 16.733, 16.7313) * CHOOSE(CONTROL!$C$20, $D$12, 100%, $F$12)</f>
        <v>16.733000000000001</v>
      </c>
      <c r="D586" s="7">
        <f>CHOOSE( CONTROL!$C$37, 16.7386, 16.737) * CHOOSE( CONTROL!$C$20, $D$12, 100%, $F$12)</f>
        <v>16.738600000000002</v>
      </c>
      <c r="E586" s="10">
        <f>CHOOSE( CONTROL!$C$37, 16.7354, 16.7337) * CHOOSE( CONTROL!$C$20, $D$12, 100%, $F$12)</f>
        <v>16.735399999999998</v>
      </c>
      <c r="F586" s="4">
        <f>CHOOSE( CONTROL!$C$37, 17.4503, 17.4486) * CHOOSE(CONTROL!$C$20, $D$12, 100%, $F$12)</f>
        <v>17.450299999999999</v>
      </c>
      <c r="G586" s="7">
        <f>CHOOSE( CONTROL!$C$37, 16.5355, 16.5339) * CHOOSE( CONTROL!$C$20, $D$12, 100%, $F$12)</f>
        <v>16.535499999999999</v>
      </c>
      <c r="H586" s="4">
        <f>CHOOSE( CONTROL!$C$37, 17.4807, 17.479) * CHOOSE(CONTROL!$C$20, $D$12, 100%, $F$12)</f>
        <v>17.480699999999999</v>
      </c>
      <c r="I586" s="7">
        <f>CHOOSE( CONTROL!$C$37, 16.3398, 16.3382) * CHOOSE(CONTROL!$C$20, $D$12, 100%, $F$12)</f>
        <v>16.3398</v>
      </c>
      <c r="J586" s="4">
        <f>CHOOSE( CONTROL!$C$37, 16.2094, 16.2078) * CHOOSE(CONTROL!$C$20, $D$12, 100%, $F$12)</f>
        <v>16.209399999999999</v>
      </c>
      <c r="K586" s="4"/>
      <c r="L586" s="8">
        <v>30.7165</v>
      </c>
      <c r="M586" s="8">
        <v>12.063700000000001</v>
      </c>
      <c r="N586" s="8">
        <v>4.9444999999999997</v>
      </c>
      <c r="O586" s="8">
        <v>0.37409999999999999</v>
      </c>
      <c r="P586" s="8">
        <v>1.2927</v>
      </c>
      <c r="Q586" s="8">
        <v>19.688099999999999</v>
      </c>
      <c r="R586" s="8"/>
    </row>
    <row r="587" spans="1:18" ht="14.25" customHeight="1">
      <c r="A587" s="11">
        <v>58987</v>
      </c>
      <c r="B587" s="7">
        <f>CHOOSE( CONTROL!$C$37, 16.4559, 16.4542) * CHOOSE(CONTROL!$C$20, $D$12, 100%, $F$12)</f>
        <v>16.4559</v>
      </c>
      <c r="C587" s="7">
        <f>CHOOSE( CONTROL!$C$37, 16.4639, 16.4622) * CHOOSE(CONTROL!$C$20, $D$12, 100%, $F$12)</f>
        <v>16.463899999999999</v>
      </c>
      <c r="D587" s="7">
        <f>CHOOSE( CONTROL!$C$37, 16.4698, 16.4681) * CHOOSE( CONTROL!$C$20, $D$12, 100%, $F$12)</f>
        <v>16.469799999999999</v>
      </c>
      <c r="E587" s="10">
        <f>CHOOSE( CONTROL!$C$37, 16.4664, 16.4647) * CHOOSE( CONTROL!$C$20, $D$12, 100%, $F$12)</f>
        <v>16.4664</v>
      </c>
      <c r="F587" s="4">
        <f>CHOOSE( CONTROL!$C$37, 17.1811, 17.1795) * CHOOSE(CONTROL!$C$20, $D$12, 100%, $F$12)</f>
        <v>17.181100000000001</v>
      </c>
      <c r="G587" s="7">
        <f>CHOOSE( CONTROL!$C$37, 16.2704, 16.2688) * CHOOSE( CONTROL!$C$20, $D$12, 100%, $F$12)</f>
        <v>16.270399999999999</v>
      </c>
      <c r="H587" s="4">
        <f>CHOOSE( CONTROL!$C$37, 17.2153, 17.2137) * CHOOSE(CONTROL!$C$20, $D$12, 100%, $F$12)</f>
        <v>17.215299999999999</v>
      </c>
      <c r="I587" s="7">
        <f>CHOOSE( CONTROL!$C$37, 16.08, 16.0784) * CHOOSE(CONTROL!$C$20, $D$12, 100%, $F$12)</f>
        <v>16.079999999999998</v>
      </c>
      <c r="J587" s="4">
        <f>CHOOSE( CONTROL!$C$37, 15.9488, 15.9472) * CHOOSE(CONTROL!$C$20, $D$12, 100%, $F$12)</f>
        <v>15.9488</v>
      </c>
      <c r="K587" s="4"/>
      <c r="L587" s="8">
        <v>29.7257</v>
      </c>
      <c r="M587" s="8">
        <v>11.6745</v>
      </c>
      <c r="N587" s="8">
        <v>4.7850000000000001</v>
      </c>
      <c r="O587" s="8">
        <v>0.36199999999999999</v>
      </c>
      <c r="P587" s="8">
        <v>1.2509999999999999</v>
      </c>
      <c r="Q587" s="8">
        <v>19.053000000000001</v>
      </c>
      <c r="R587" s="8"/>
    </row>
    <row r="588" spans="1:18" ht="14.25" customHeight="1">
      <c r="A588" s="11">
        <v>59018</v>
      </c>
      <c r="B588" s="7">
        <f>CHOOSE( CONTROL!$C$37, 17.1645, 17.1629) * CHOOSE(CONTROL!$C$20, $D$12, 100%, $F$12)</f>
        <v>17.1645</v>
      </c>
      <c r="C588" s="7">
        <f>CHOOSE( CONTROL!$C$37, 17.1725, 17.1709) * CHOOSE(CONTROL!$C$20, $D$12, 100%, $F$12)</f>
        <v>17.172499999999999</v>
      </c>
      <c r="D588" s="7">
        <f>CHOOSE( CONTROL!$C$37, 17.1788, 17.1771) * CHOOSE( CONTROL!$C$20, $D$12, 100%, $F$12)</f>
        <v>17.178799999999999</v>
      </c>
      <c r="E588" s="10">
        <f>CHOOSE( CONTROL!$C$37, 17.1753, 17.1736) * CHOOSE( CONTROL!$C$20, $D$12, 100%, $F$12)</f>
        <v>17.1753</v>
      </c>
      <c r="F588" s="4">
        <f>CHOOSE( CONTROL!$C$37, 17.8898, 17.8882) * CHOOSE(CONTROL!$C$20, $D$12, 100%, $F$12)</f>
        <v>17.889800000000001</v>
      </c>
      <c r="G588" s="7">
        <f>CHOOSE( CONTROL!$C$37, 16.9694, 16.9678) * CHOOSE( CONTROL!$C$20, $D$12, 100%, $F$12)</f>
        <v>16.9694</v>
      </c>
      <c r="H588" s="4">
        <f>CHOOSE( CONTROL!$C$37, 17.9141, 17.9124) * CHOOSE(CONTROL!$C$20, $D$12, 100%, $F$12)</f>
        <v>17.914100000000001</v>
      </c>
      <c r="I588" s="7">
        <f>CHOOSE( CONTROL!$C$37, 16.7676, 16.766) * CHOOSE(CONTROL!$C$20, $D$12, 100%, $F$12)</f>
        <v>16.767600000000002</v>
      </c>
      <c r="J588" s="4">
        <f>CHOOSE( CONTROL!$C$37, 16.635, 16.6334) * CHOOSE(CONTROL!$C$20, $D$12, 100%, $F$12)</f>
        <v>16.635000000000002</v>
      </c>
      <c r="K588" s="4"/>
      <c r="L588" s="8">
        <v>30.7165</v>
      </c>
      <c r="M588" s="8">
        <v>12.063700000000001</v>
      </c>
      <c r="N588" s="8">
        <v>4.9444999999999997</v>
      </c>
      <c r="O588" s="8">
        <v>0.37409999999999999</v>
      </c>
      <c r="P588" s="8">
        <v>1.2927</v>
      </c>
      <c r="Q588" s="8">
        <v>19.688099999999999</v>
      </c>
      <c r="R588" s="8"/>
    </row>
    <row r="589" spans="1:18" ht="14.25" customHeight="1">
      <c r="A589" s="11">
        <v>59049</v>
      </c>
      <c r="B589" s="7">
        <f>CHOOSE( CONTROL!$C$37, 15.8385, 15.8369) * CHOOSE(CONTROL!$C$20, $D$12, 100%, $F$12)</f>
        <v>15.8385</v>
      </c>
      <c r="C589" s="7">
        <f>CHOOSE( CONTROL!$C$37, 15.8465, 15.8449) * CHOOSE(CONTROL!$C$20, $D$12, 100%, $F$12)</f>
        <v>15.846500000000001</v>
      </c>
      <c r="D589" s="7">
        <f>CHOOSE( CONTROL!$C$37, 15.8528, 15.8512) * CHOOSE( CONTROL!$C$20, $D$12, 100%, $F$12)</f>
        <v>15.8528</v>
      </c>
      <c r="E589" s="10">
        <f>CHOOSE( CONTROL!$C$37, 15.8493, 15.8477) * CHOOSE( CONTROL!$C$20, $D$12, 100%, $F$12)</f>
        <v>15.849299999999999</v>
      </c>
      <c r="F589" s="4">
        <f>CHOOSE( CONTROL!$C$37, 16.5638, 16.5621) * CHOOSE(CONTROL!$C$20, $D$12, 100%, $F$12)</f>
        <v>16.563800000000001</v>
      </c>
      <c r="G589" s="7">
        <f>CHOOSE( CONTROL!$C$37, 15.662, 15.6604) * CHOOSE( CONTROL!$C$20, $D$12, 100%, $F$12)</f>
        <v>15.662000000000001</v>
      </c>
      <c r="H589" s="4">
        <f>CHOOSE( CONTROL!$C$37, 16.6066, 16.6049) * CHOOSE(CONTROL!$C$20, $D$12, 100%, $F$12)</f>
        <v>16.6066</v>
      </c>
      <c r="I589" s="7">
        <f>CHOOSE( CONTROL!$C$37, 15.4833, 15.4817) * CHOOSE(CONTROL!$C$20, $D$12, 100%, $F$12)</f>
        <v>15.4833</v>
      </c>
      <c r="J589" s="4">
        <f>CHOOSE( CONTROL!$C$37, 15.351, 15.3494) * CHOOSE(CONTROL!$C$20, $D$12, 100%, $F$12)</f>
        <v>15.351000000000001</v>
      </c>
      <c r="K589" s="4"/>
      <c r="L589" s="8">
        <v>30.7165</v>
      </c>
      <c r="M589" s="8">
        <v>12.063700000000001</v>
      </c>
      <c r="N589" s="8">
        <v>4.9444999999999997</v>
      </c>
      <c r="O589" s="8">
        <v>0.37409999999999999</v>
      </c>
      <c r="P589" s="8">
        <v>1.2927</v>
      </c>
      <c r="Q589" s="8">
        <v>19.688099999999999</v>
      </c>
      <c r="R589" s="8"/>
    </row>
    <row r="590" spans="1:18" ht="14.25" customHeight="1">
      <c r="A590" s="11">
        <v>59079</v>
      </c>
      <c r="B590" s="7">
        <f>CHOOSE( CONTROL!$C$37, 15.5065, 15.5048) * CHOOSE(CONTROL!$C$20, $D$12, 100%, $F$12)</f>
        <v>15.506500000000001</v>
      </c>
      <c r="C590" s="7">
        <f>CHOOSE( CONTROL!$C$37, 15.5145, 15.5128) * CHOOSE(CONTROL!$C$20, $D$12, 100%, $F$12)</f>
        <v>15.5145</v>
      </c>
      <c r="D590" s="7">
        <f>CHOOSE( CONTROL!$C$37, 15.5207, 15.519) * CHOOSE( CONTROL!$C$20, $D$12, 100%, $F$12)</f>
        <v>15.5207</v>
      </c>
      <c r="E590" s="10">
        <f>CHOOSE( CONTROL!$C$37, 15.5172, 15.5155) * CHOOSE( CONTROL!$C$20, $D$12, 100%, $F$12)</f>
        <v>15.517200000000001</v>
      </c>
      <c r="F590" s="4">
        <f>CHOOSE( CONTROL!$C$37, 16.2318, 16.2301) * CHOOSE(CONTROL!$C$20, $D$12, 100%, $F$12)</f>
        <v>16.2318</v>
      </c>
      <c r="G590" s="7">
        <f>CHOOSE( CONTROL!$C$37, 15.3345, 15.3328) * CHOOSE( CONTROL!$C$20, $D$12, 100%, $F$12)</f>
        <v>15.3345</v>
      </c>
      <c r="H590" s="4">
        <f>CHOOSE( CONTROL!$C$37, 16.2792, 16.2775) * CHOOSE(CONTROL!$C$20, $D$12, 100%, $F$12)</f>
        <v>16.279199999999999</v>
      </c>
      <c r="I590" s="7">
        <f>CHOOSE( CONTROL!$C$37, 15.1613, 15.1596) * CHOOSE(CONTROL!$C$20, $D$12, 100%, $F$12)</f>
        <v>15.161300000000001</v>
      </c>
      <c r="J590" s="4">
        <f>CHOOSE( CONTROL!$C$37, 15.0295, 15.0279) * CHOOSE(CONTROL!$C$20, $D$12, 100%, $F$12)</f>
        <v>15.029500000000001</v>
      </c>
      <c r="K590" s="4"/>
      <c r="L590" s="8">
        <v>29.7257</v>
      </c>
      <c r="M590" s="8">
        <v>11.6745</v>
      </c>
      <c r="N590" s="8">
        <v>4.7850000000000001</v>
      </c>
      <c r="O590" s="8">
        <v>0.36199999999999999</v>
      </c>
      <c r="P590" s="8">
        <v>1.2509999999999999</v>
      </c>
      <c r="Q590" s="8">
        <v>19.053000000000001</v>
      </c>
      <c r="R590" s="8"/>
    </row>
    <row r="591" spans="1:18" ht="14.25" customHeight="1">
      <c r="A591" s="11">
        <v>59110</v>
      </c>
      <c r="B591" s="7">
        <f>CHOOSE( CONTROL!$C$37, 16.1936, 16.1925) * CHOOSE(CONTROL!$C$20, $D$12, 100%, $F$12)</f>
        <v>16.1936</v>
      </c>
      <c r="C591" s="7">
        <f>CHOOSE( CONTROL!$C$37, 16.199, 16.1979) * CHOOSE(CONTROL!$C$20, $D$12, 100%, $F$12)</f>
        <v>16.199000000000002</v>
      </c>
      <c r="D591" s="7">
        <f>CHOOSE( CONTROL!$C$37, 16.211, 16.2099) * CHOOSE( CONTROL!$C$20, $D$12, 100%, $F$12)</f>
        <v>16.210999999999999</v>
      </c>
      <c r="E591" s="10">
        <f>CHOOSE( CONTROL!$C$37, 16.2065, 16.2054) * CHOOSE( CONTROL!$C$20, $D$12, 100%, $F$12)</f>
        <v>16.206499999999998</v>
      </c>
      <c r="F591" s="4">
        <f>CHOOSE( CONTROL!$C$37, 16.9206, 16.9195) * CHOOSE(CONTROL!$C$20, $D$12, 100%, $F$12)</f>
        <v>16.9206</v>
      </c>
      <c r="G591" s="7">
        <f>CHOOSE( CONTROL!$C$37, 16.0139, 16.0128) * CHOOSE( CONTROL!$C$20, $D$12, 100%, $F$12)</f>
        <v>16.0139</v>
      </c>
      <c r="H591" s="4">
        <f>CHOOSE( CONTROL!$C$37, 16.9584, 16.9573) * CHOOSE(CONTROL!$C$20, $D$12, 100%, $F$12)</f>
        <v>16.958400000000001</v>
      </c>
      <c r="I591" s="7">
        <f>CHOOSE( CONTROL!$C$37, 15.8293, 15.8282) * CHOOSE(CONTROL!$C$20, $D$12, 100%, $F$12)</f>
        <v>15.8293</v>
      </c>
      <c r="J591" s="4">
        <f>CHOOSE( CONTROL!$C$37, 15.6966, 15.6955) * CHOOSE(CONTROL!$C$20, $D$12, 100%, $F$12)</f>
        <v>15.6966</v>
      </c>
      <c r="K591" s="4"/>
      <c r="L591" s="8">
        <v>31.095300000000002</v>
      </c>
      <c r="M591" s="8">
        <v>12.063700000000001</v>
      </c>
      <c r="N591" s="8">
        <v>4.9444999999999997</v>
      </c>
      <c r="O591" s="8">
        <v>0.37409999999999999</v>
      </c>
      <c r="P591" s="8">
        <v>1.2927</v>
      </c>
      <c r="Q591" s="8">
        <v>19.688099999999999</v>
      </c>
      <c r="R591" s="8"/>
    </row>
    <row r="592" spans="1:18" ht="14.25" customHeight="1">
      <c r="A592" s="11">
        <v>59140</v>
      </c>
      <c r="B592" s="7">
        <f>CHOOSE( CONTROL!$C$37, 17.4658, 17.4647) * CHOOSE(CONTROL!$C$20, $D$12, 100%, $F$12)</f>
        <v>17.465800000000002</v>
      </c>
      <c r="C592" s="7">
        <f>CHOOSE( CONTROL!$C$37, 17.4709, 17.4698) * CHOOSE(CONTROL!$C$20, $D$12, 100%, $F$12)</f>
        <v>17.4709</v>
      </c>
      <c r="D592" s="7">
        <f>CHOOSE( CONTROL!$C$37, 17.4494, 17.4483) * CHOOSE( CONTROL!$C$20, $D$12, 100%, $F$12)</f>
        <v>17.449400000000001</v>
      </c>
      <c r="E592" s="10">
        <f>CHOOSE( CONTROL!$C$37, 17.4567, 17.4556) * CHOOSE( CONTROL!$C$20, $D$12, 100%, $F$12)</f>
        <v>17.456700000000001</v>
      </c>
      <c r="F592" s="4">
        <f>CHOOSE( CONTROL!$C$37, 18.1183, 18.1173) * CHOOSE(CONTROL!$C$20, $D$12, 100%, $F$12)</f>
        <v>18.118300000000001</v>
      </c>
      <c r="G592" s="7">
        <f>CHOOSE( CONTROL!$C$37, 17.2548, 17.2537) * CHOOSE( CONTROL!$C$20, $D$12, 100%, $F$12)</f>
        <v>17.254799999999999</v>
      </c>
      <c r="H592" s="4">
        <f>CHOOSE( CONTROL!$C$37, 18.1394, 18.1383) * CHOOSE(CONTROL!$C$20, $D$12, 100%, $F$12)</f>
        <v>18.139399999999998</v>
      </c>
      <c r="I592" s="7">
        <f>CHOOSE( CONTROL!$C$37, 17.1133, 17.1123) * CHOOSE(CONTROL!$C$20, $D$12, 100%, $F$12)</f>
        <v>17.113299999999999</v>
      </c>
      <c r="J592" s="4">
        <f>CHOOSE( CONTROL!$C$37, 16.9288, 16.9277) * CHOOSE(CONTROL!$C$20, $D$12, 100%, $F$12)</f>
        <v>16.928799999999999</v>
      </c>
      <c r="K592" s="4"/>
      <c r="L592" s="8">
        <v>28.360600000000002</v>
      </c>
      <c r="M592" s="8">
        <v>11.6745</v>
      </c>
      <c r="N592" s="8">
        <v>4.7850000000000001</v>
      </c>
      <c r="O592" s="8">
        <v>0.36199999999999999</v>
      </c>
      <c r="P592" s="8">
        <v>1.2509999999999999</v>
      </c>
      <c r="Q592" s="8">
        <v>19.053000000000001</v>
      </c>
      <c r="R592" s="8"/>
    </row>
    <row r="593" spans="1:18" ht="14.25" customHeight="1">
      <c r="A593" s="11">
        <v>59171</v>
      </c>
      <c r="B593" s="7">
        <f>CHOOSE( CONTROL!$C$37, 17.434, 17.4329) * CHOOSE(CONTROL!$C$20, $D$12, 100%, $F$12)</f>
        <v>17.434000000000001</v>
      </c>
      <c r="C593" s="7">
        <f>CHOOSE( CONTROL!$C$37, 17.4391, 17.438) * CHOOSE(CONTROL!$C$20, $D$12, 100%, $F$12)</f>
        <v>17.4391</v>
      </c>
      <c r="D593" s="7">
        <f>CHOOSE( CONTROL!$C$37, 17.4191, 17.418) * CHOOSE( CONTROL!$C$20, $D$12, 100%, $F$12)</f>
        <v>17.4191</v>
      </c>
      <c r="E593" s="10">
        <f>CHOOSE( CONTROL!$C$37, 17.4259, 17.4248) * CHOOSE( CONTROL!$C$20, $D$12, 100%, $F$12)</f>
        <v>17.425899999999999</v>
      </c>
      <c r="F593" s="4">
        <f>CHOOSE( CONTROL!$C$37, 18.0865, 18.0855) * CHOOSE(CONTROL!$C$20, $D$12, 100%, $F$12)</f>
        <v>18.086500000000001</v>
      </c>
      <c r="G593" s="7">
        <f>CHOOSE( CONTROL!$C$37, 17.2246, 17.2235) * CHOOSE( CONTROL!$C$20, $D$12, 100%, $F$12)</f>
        <v>17.224599999999999</v>
      </c>
      <c r="H593" s="4">
        <f>CHOOSE( CONTROL!$C$37, 18.1081, 18.107) * CHOOSE(CONTROL!$C$20, $D$12, 100%, $F$12)</f>
        <v>18.1081</v>
      </c>
      <c r="I593" s="7">
        <f>CHOOSE( CONTROL!$C$37, 17.0874, 17.0863) * CHOOSE(CONTROL!$C$20, $D$12, 100%, $F$12)</f>
        <v>17.087399999999999</v>
      </c>
      <c r="J593" s="4">
        <f>CHOOSE( CONTROL!$C$37, 16.898, 16.897) * CHOOSE(CONTROL!$C$20, $D$12, 100%, $F$12)</f>
        <v>16.898</v>
      </c>
      <c r="K593" s="4"/>
      <c r="L593" s="8">
        <v>29.306000000000001</v>
      </c>
      <c r="M593" s="8">
        <v>12.063700000000001</v>
      </c>
      <c r="N593" s="8">
        <v>4.9444999999999997</v>
      </c>
      <c r="O593" s="8">
        <v>0.37409999999999999</v>
      </c>
      <c r="P593" s="8">
        <v>1.2927</v>
      </c>
      <c r="Q593" s="8">
        <v>19.688099999999999</v>
      </c>
      <c r="R593" s="8"/>
    </row>
    <row r="594" spans="1:18" ht="14.25" customHeight="1">
      <c r="A594" s="11">
        <v>59202</v>
      </c>
      <c r="B594" s="7">
        <f>CHOOSE( CONTROL!$C$37, 17.9487, 17.9476) * CHOOSE(CONTROL!$C$20, $D$12, 100%, $F$12)</f>
        <v>17.948699999999999</v>
      </c>
      <c r="C594" s="7">
        <f>CHOOSE( CONTROL!$C$37, 17.9538, 17.9527) * CHOOSE(CONTROL!$C$20, $D$12, 100%, $F$12)</f>
        <v>17.953800000000001</v>
      </c>
      <c r="D594" s="7">
        <f>CHOOSE( CONTROL!$C$37, 17.9469, 17.9458) * CHOOSE( CONTROL!$C$20, $D$12, 100%, $F$12)</f>
        <v>17.946899999999999</v>
      </c>
      <c r="E594" s="10">
        <f>CHOOSE( CONTROL!$C$37, 17.9489, 17.9478) * CHOOSE( CONTROL!$C$20, $D$12, 100%, $F$12)</f>
        <v>17.948899999999998</v>
      </c>
      <c r="F594" s="4">
        <f>CHOOSE( CONTROL!$C$37, 18.6013, 18.6002) * CHOOSE(CONTROL!$C$20, $D$12, 100%, $F$12)</f>
        <v>18.601299999999998</v>
      </c>
      <c r="G594" s="7">
        <f>CHOOSE( CONTROL!$C$37, 17.7366, 17.7356) * CHOOSE( CONTROL!$C$20, $D$12, 100%, $F$12)</f>
        <v>17.736599999999999</v>
      </c>
      <c r="H594" s="4">
        <f>CHOOSE( CONTROL!$C$37, 18.6156, 18.6145) * CHOOSE(CONTROL!$C$20, $D$12, 100%, $F$12)</f>
        <v>18.615600000000001</v>
      </c>
      <c r="I594" s="7">
        <f>CHOOSE( CONTROL!$C$37, 17.5573, 17.5563) * CHOOSE(CONTROL!$C$20, $D$12, 100%, $F$12)</f>
        <v>17.557300000000001</v>
      </c>
      <c r="J594" s="4">
        <f>CHOOSE( CONTROL!$C$37, 17.3964, 17.3954) * CHOOSE(CONTROL!$C$20, $D$12, 100%, $F$12)</f>
        <v>17.3964</v>
      </c>
      <c r="K594" s="4"/>
      <c r="L594" s="8">
        <v>29.306000000000001</v>
      </c>
      <c r="M594" s="8">
        <v>12.063700000000001</v>
      </c>
      <c r="N594" s="8">
        <v>4.9444999999999997</v>
      </c>
      <c r="O594" s="8">
        <v>0.37409999999999999</v>
      </c>
      <c r="P594" s="8">
        <v>1.2927</v>
      </c>
      <c r="Q594" s="8">
        <v>19.688099999999999</v>
      </c>
      <c r="R594" s="8"/>
    </row>
    <row r="595" spans="1:18" ht="14.25" customHeight="1">
      <c r="A595" s="11">
        <v>59230</v>
      </c>
      <c r="B595" s="7">
        <f>CHOOSE( CONTROL!$C$37, 16.7873, 16.7862) * CHOOSE(CONTROL!$C$20, $D$12, 100%, $F$12)</f>
        <v>16.787299999999998</v>
      </c>
      <c r="C595" s="7">
        <f>CHOOSE( CONTROL!$C$37, 16.7924, 16.7913) * CHOOSE(CONTROL!$C$20, $D$12, 100%, $F$12)</f>
        <v>16.792400000000001</v>
      </c>
      <c r="D595" s="7">
        <f>CHOOSE( CONTROL!$C$37, 16.7855, 16.7844) * CHOOSE( CONTROL!$C$20, $D$12, 100%, $F$12)</f>
        <v>16.785499999999999</v>
      </c>
      <c r="E595" s="10">
        <f>CHOOSE( CONTROL!$C$37, 16.7875, 16.7864) * CHOOSE( CONTROL!$C$20, $D$12, 100%, $F$12)</f>
        <v>16.787500000000001</v>
      </c>
      <c r="F595" s="4">
        <f>CHOOSE( CONTROL!$C$37, 17.4399, 17.4388) * CHOOSE(CONTROL!$C$20, $D$12, 100%, $F$12)</f>
        <v>17.439900000000002</v>
      </c>
      <c r="G595" s="7">
        <f>CHOOSE( CONTROL!$C$37, 16.5914, 16.5903) * CHOOSE( CONTROL!$C$20, $D$12, 100%, $F$12)</f>
        <v>16.5914</v>
      </c>
      <c r="H595" s="4">
        <f>CHOOSE( CONTROL!$C$37, 17.4704, 17.4693) * CHOOSE(CONTROL!$C$20, $D$12, 100%, $F$12)</f>
        <v>17.470400000000001</v>
      </c>
      <c r="I595" s="7">
        <f>CHOOSE( CONTROL!$C$37, 16.4319, 16.4309) * CHOOSE(CONTROL!$C$20, $D$12, 100%, $F$12)</f>
        <v>16.431899999999999</v>
      </c>
      <c r="J595" s="4">
        <f>CHOOSE( CONTROL!$C$37, 16.2718, 16.2708) * CHOOSE(CONTROL!$C$20, $D$12, 100%, $F$12)</f>
        <v>16.271799999999999</v>
      </c>
      <c r="K595" s="4"/>
      <c r="L595" s="8">
        <v>26.469899999999999</v>
      </c>
      <c r="M595" s="8">
        <v>10.8962</v>
      </c>
      <c r="N595" s="8">
        <v>4.4660000000000002</v>
      </c>
      <c r="O595" s="8">
        <v>0.33789999999999998</v>
      </c>
      <c r="P595" s="8">
        <v>1.1676</v>
      </c>
      <c r="Q595" s="8">
        <v>17.782800000000002</v>
      </c>
      <c r="R595" s="8"/>
    </row>
    <row r="596" spans="1:18" ht="14.25" customHeight="1">
      <c r="A596" s="11">
        <v>59261</v>
      </c>
      <c r="B596" s="7">
        <f>CHOOSE( CONTROL!$C$37, 16.4296, 16.4285) * CHOOSE(CONTROL!$C$20, $D$12, 100%, $F$12)</f>
        <v>16.429600000000001</v>
      </c>
      <c r="C596" s="7">
        <f>CHOOSE( CONTROL!$C$37, 16.4347, 16.4336) * CHOOSE(CONTROL!$C$20, $D$12, 100%, $F$12)</f>
        <v>16.434699999999999</v>
      </c>
      <c r="D596" s="7">
        <f>CHOOSE( CONTROL!$C$37, 16.4271, 16.426) * CHOOSE( CONTROL!$C$20, $D$12, 100%, $F$12)</f>
        <v>16.427099999999999</v>
      </c>
      <c r="E596" s="10">
        <f>CHOOSE( CONTROL!$C$37, 16.4293, 16.4282) * CHOOSE( CONTROL!$C$20, $D$12, 100%, $F$12)</f>
        <v>16.429300000000001</v>
      </c>
      <c r="F596" s="4">
        <f>CHOOSE( CONTROL!$C$37, 17.0822, 17.0811) * CHOOSE(CONTROL!$C$20, $D$12, 100%, $F$12)</f>
        <v>17.0822</v>
      </c>
      <c r="G596" s="7">
        <f>CHOOSE( CONTROL!$C$37, 16.2382, 16.2371) * CHOOSE( CONTROL!$C$20, $D$12, 100%, $F$12)</f>
        <v>16.238199999999999</v>
      </c>
      <c r="H596" s="4">
        <f>CHOOSE( CONTROL!$C$37, 17.1177, 17.1166) * CHOOSE(CONTROL!$C$20, $D$12, 100%, $F$12)</f>
        <v>17.117699999999999</v>
      </c>
      <c r="I596" s="7">
        <f>CHOOSE( CONTROL!$C$37, 16.0834, 16.0824) * CHOOSE(CONTROL!$C$20, $D$12, 100%, $F$12)</f>
        <v>16.083400000000001</v>
      </c>
      <c r="J596" s="4">
        <f>CHOOSE( CONTROL!$C$37, 15.9255, 15.9244) * CHOOSE(CONTROL!$C$20, $D$12, 100%, $F$12)</f>
        <v>15.9255</v>
      </c>
      <c r="K596" s="4"/>
      <c r="L596" s="8">
        <v>29.306000000000001</v>
      </c>
      <c r="M596" s="8">
        <v>12.063700000000001</v>
      </c>
      <c r="N596" s="8">
        <v>4.9444999999999997</v>
      </c>
      <c r="O596" s="8">
        <v>0.37409999999999999</v>
      </c>
      <c r="P596" s="8">
        <v>1.2927</v>
      </c>
      <c r="Q596" s="8">
        <v>19.688099999999999</v>
      </c>
      <c r="R596" s="8"/>
    </row>
    <row r="597" spans="1:18" ht="14.25" customHeight="1">
      <c r="A597" s="11">
        <v>59291</v>
      </c>
      <c r="B597" s="7">
        <f>CHOOSE( CONTROL!$C$37, 16.6803, 16.6793) * CHOOSE(CONTROL!$C$20, $D$12, 100%, $F$12)</f>
        <v>16.680299999999999</v>
      </c>
      <c r="C597" s="7">
        <f>CHOOSE( CONTROL!$C$37, 16.6849, 16.6838) * CHOOSE(CONTROL!$C$20, $D$12, 100%, $F$12)</f>
        <v>16.684899999999999</v>
      </c>
      <c r="D597" s="7">
        <f>CHOOSE( CONTROL!$C$37, 16.6967, 16.6956) * CHOOSE( CONTROL!$C$20, $D$12, 100%, $F$12)</f>
        <v>16.6967</v>
      </c>
      <c r="E597" s="10">
        <f>CHOOSE( CONTROL!$C$37, 16.6923, 16.6912) * CHOOSE( CONTROL!$C$20, $D$12, 100%, $F$12)</f>
        <v>16.692299999999999</v>
      </c>
      <c r="F597" s="4">
        <f>CHOOSE( CONTROL!$C$37, 17.407, 17.4059) * CHOOSE(CONTROL!$C$20, $D$12, 100%, $F$12)</f>
        <v>17.407</v>
      </c>
      <c r="G597" s="7">
        <f>CHOOSE( CONTROL!$C$37, 16.4929, 16.4919) * CHOOSE( CONTROL!$C$20, $D$12, 100%, $F$12)</f>
        <v>16.492899999999999</v>
      </c>
      <c r="H597" s="4">
        <f>CHOOSE( CONTROL!$C$37, 17.438, 17.4369) * CHOOSE(CONTROL!$C$20, $D$12, 100%, $F$12)</f>
        <v>17.437999999999999</v>
      </c>
      <c r="I597" s="7">
        <f>CHOOSE( CONTROL!$C$37, 16.2982, 16.2971) * CHOOSE(CONTROL!$C$20, $D$12, 100%, $F$12)</f>
        <v>16.298200000000001</v>
      </c>
      <c r="J597" s="4">
        <f>CHOOSE( CONTROL!$C$37, 16.1675, 16.1664) * CHOOSE(CONTROL!$C$20, $D$12, 100%, $F$12)</f>
        <v>16.1675</v>
      </c>
      <c r="K597" s="4"/>
      <c r="L597" s="8">
        <v>30.092199999999998</v>
      </c>
      <c r="M597" s="8">
        <v>11.6745</v>
      </c>
      <c r="N597" s="8">
        <v>4.7850000000000001</v>
      </c>
      <c r="O597" s="8">
        <v>0.36199999999999999</v>
      </c>
      <c r="P597" s="8">
        <v>1.2509999999999999</v>
      </c>
      <c r="Q597" s="8">
        <v>19.053000000000001</v>
      </c>
      <c r="R597" s="8"/>
    </row>
    <row r="598" spans="1:18" ht="14.25" customHeight="1">
      <c r="A598" s="11">
        <v>59322</v>
      </c>
      <c r="B598" s="7">
        <f>CHOOSE( CONTROL!$C$37, 17.1272, 17.1255) * CHOOSE(CONTROL!$C$20, $D$12, 100%, $F$12)</f>
        <v>17.127199999999998</v>
      </c>
      <c r="C598" s="7">
        <f>CHOOSE( CONTROL!$C$37, 17.1352, 17.1335) * CHOOSE(CONTROL!$C$20, $D$12, 100%, $F$12)</f>
        <v>17.135200000000001</v>
      </c>
      <c r="D598" s="7">
        <f>CHOOSE( CONTROL!$C$37, 17.1408, 17.1391) * CHOOSE( CONTROL!$C$20, $D$12, 100%, $F$12)</f>
        <v>17.140799999999999</v>
      </c>
      <c r="E598" s="10">
        <f>CHOOSE( CONTROL!$C$37, 17.1376, 17.1359) * CHOOSE( CONTROL!$C$20, $D$12, 100%, $F$12)</f>
        <v>17.137599999999999</v>
      </c>
      <c r="F598" s="4">
        <f>CHOOSE( CONTROL!$C$37, 17.8524, 17.8508) * CHOOSE(CONTROL!$C$20, $D$12, 100%, $F$12)</f>
        <v>17.852399999999999</v>
      </c>
      <c r="G598" s="7">
        <f>CHOOSE( CONTROL!$C$37, 16.9321, 16.9305) * CHOOSE( CONTROL!$C$20, $D$12, 100%, $F$12)</f>
        <v>16.932099999999998</v>
      </c>
      <c r="H598" s="4">
        <f>CHOOSE( CONTROL!$C$37, 17.8772, 17.8756) * CHOOSE(CONTROL!$C$20, $D$12, 100%, $F$12)</f>
        <v>17.877199999999998</v>
      </c>
      <c r="I598" s="7">
        <f>CHOOSE( CONTROL!$C$37, 16.7294, 16.7278) * CHOOSE(CONTROL!$C$20, $D$12, 100%, $F$12)</f>
        <v>16.729399999999998</v>
      </c>
      <c r="J598" s="4">
        <f>CHOOSE( CONTROL!$C$37, 16.5988, 16.5972) * CHOOSE(CONTROL!$C$20, $D$12, 100%, $F$12)</f>
        <v>16.598800000000001</v>
      </c>
      <c r="K598" s="4"/>
      <c r="L598" s="8">
        <v>30.7165</v>
      </c>
      <c r="M598" s="8">
        <v>12.063700000000001</v>
      </c>
      <c r="N598" s="8">
        <v>4.9444999999999997</v>
      </c>
      <c r="O598" s="8">
        <v>0.37409999999999999</v>
      </c>
      <c r="P598" s="8">
        <v>1.2927</v>
      </c>
      <c r="Q598" s="8">
        <v>19.688099999999999</v>
      </c>
      <c r="R598" s="8"/>
    </row>
    <row r="599" spans="1:18" ht="14.25" customHeight="1">
      <c r="A599" s="11">
        <v>59352</v>
      </c>
      <c r="B599" s="7">
        <f>CHOOSE( CONTROL!$C$37, 16.8516, 16.8499) * CHOOSE(CONTROL!$C$20, $D$12, 100%, $F$12)</f>
        <v>16.851600000000001</v>
      </c>
      <c r="C599" s="7">
        <f>CHOOSE( CONTROL!$C$37, 16.8596, 16.8579) * CHOOSE(CONTROL!$C$20, $D$12, 100%, $F$12)</f>
        <v>16.8596</v>
      </c>
      <c r="D599" s="7">
        <f>CHOOSE( CONTROL!$C$37, 16.8655, 16.8638) * CHOOSE( CONTROL!$C$20, $D$12, 100%, $F$12)</f>
        <v>16.865500000000001</v>
      </c>
      <c r="E599" s="10">
        <f>CHOOSE( CONTROL!$C$37, 16.8621, 16.8604) * CHOOSE( CONTROL!$C$20, $D$12, 100%, $F$12)</f>
        <v>16.862100000000002</v>
      </c>
      <c r="F599" s="4">
        <f>CHOOSE( CONTROL!$C$37, 17.5769, 17.5752) * CHOOSE(CONTROL!$C$20, $D$12, 100%, $F$12)</f>
        <v>17.576899999999998</v>
      </c>
      <c r="G599" s="7">
        <f>CHOOSE( CONTROL!$C$37, 16.6606, 16.659) * CHOOSE( CONTROL!$C$20, $D$12, 100%, $F$12)</f>
        <v>16.660599999999999</v>
      </c>
      <c r="H599" s="4">
        <f>CHOOSE( CONTROL!$C$37, 17.6055, 17.6038) * CHOOSE(CONTROL!$C$20, $D$12, 100%, $F$12)</f>
        <v>17.605499999999999</v>
      </c>
      <c r="I599" s="7">
        <f>CHOOSE( CONTROL!$C$37, 16.4634, 16.4618) * CHOOSE(CONTROL!$C$20, $D$12, 100%, $F$12)</f>
        <v>16.4634</v>
      </c>
      <c r="J599" s="4">
        <f>CHOOSE( CONTROL!$C$37, 16.332, 16.3304) * CHOOSE(CONTROL!$C$20, $D$12, 100%, $F$12)</f>
        <v>16.332000000000001</v>
      </c>
      <c r="K599" s="4"/>
      <c r="L599" s="8">
        <v>29.7257</v>
      </c>
      <c r="M599" s="8">
        <v>11.6745</v>
      </c>
      <c r="N599" s="8">
        <v>4.7850000000000001</v>
      </c>
      <c r="O599" s="8">
        <v>0.36199999999999999</v>
      </c>
      <c r="P599" s="8">
        <v>1.2509999999999999</v>
      </c>
      <c r="Q599" s="8">
        <v>19.053000000000001</v>
      </c>
      <c r="R599" s="8"/>
    </row>
    <row r="600" spans="1:18" ht="14.25" customHeight="1">
      <c r="A600" s="11">
        <v>59383</v>
      </c>
      <c r="B600" s="7">
        <f>CHOOSE( CONTROL!$C$37, 17.5773, 17.5756) * CHOOSE(CONTROL!$C$20, $D$12, 100%, $F$12)</f>
        <v>17.577300000000001</v>
      </c>
      <c r="C600" s="7">
        <f>CHOOSE( CONTROL!$C$37, 17.5853, 17.5836) * CHOOSE(CONTROL!$C$20, $D$12, 100%, $F$12)</f>
        <v>17.5853</v>
      </c>
      <c r="D600" s="7">
        <f>CHOOSE( CONTROL!$C$37, 17.5915, 17.5898) * CHOOSE( CONTROL!$C$20, $D$12, 100%, $F$12)</f>
        <v>17.5915</v>
      </c>
      <c r="E600" s="10">
        <f>CHOOSE( CONTROL!$C$37, 17.588, 17.5863) * CHOOSE( CONTROL!$C$20, $D$12, 100%, $F$12)</f>
        <v>17.588000000000001</v>
      </c>
      <c r="F600" s="4">
        <f>CHOOSE( CONTROL!$C$37, 18.3026, 18.3009) * CHOOSE(CONTROL!$C$20, $D$12, 100%, $F$12)</f>
        <v>18.302600000000002</v>
      </c>
      <c r="G600" s="7">
        <f>CHOOSE( CONTROL!$C$37, 17.3764, 17.3748) * CHOOSE( CONTROL!$C$20, $D$12, 100%, $F$12)</f>
        <v>17.3764</v>
      </c>
      <c r="H600" s="4">
        <f>CHOOSE( CONTROL!$C$37, 18.3211, 18.3194) * CHOOSE(CONTROL!$C$20, $D$12, 100%, $F$12)</f>
        <v>18.321100000000001</v>
      </c>
      <c r="I600" s="7">
        <f>CHOOSE( CONTROL!$C$37, 17.1675, 17.1659) * CHOOSE(CONTROL!$C$20, $D$12, 100%, $F$12)</f>
        <v>17.1675</v>
      </c>
      <c r="J600" s="4">
        <f>CHOOSE( CONTROL!$C$37, 17.0347, 17.0331) * CHOOSE(CONTROL!$C$20, $D$12, 100%, $F$12)</f>
        <v>17.034700000000001</v>
      </c>
      <c r="K600" s="4"/>
      <c r="L600" s="8">
        <v>30.7165</v>
      </c>
      <c r="M600" s="8">
        <v>12.063700000000001</v>
      </c>
      <c r="N600" s="8">
        <v>4.9444999999999997</v>
      </c>
      <c r="O600" s="8">
        <v>0.37409999999999999</v>
      </c>
      <c r="P600" s="8">
        <v>1.2927</v>
      </c>
      <c r="Q600" s="8">
        <v>19.688099999999999</v>
      </c>
      <c r="R600" s="8"/>
    </row>
    <row r="601" spans="1:18" ht="14.25" customHeight="1">
      <c r="A601" s="11">
        <v>59414</v>
      </c>
      <c r="B601" s="7">
        <f>CHOOSE( CONTROL!$C$37, 16.2194, 16.2177) * CHOOSE(CONTROL!$C$20, $D$12, 100%, $F$12)</f>
        <v>16.2194</v>
      </c>
      <c r="C601" s="7">
        <f>CHOOSE( CONTROL!$C$37, 16.2274, 16.2257) * CHOOSE(CONTROL!$C$20, $D$12, 100%, $F$12)</f>
        <v>16.227399999999999</v>
      </c>
      <c r="D601" s="7">
        <f>CHOOSE( CONTROL!$C$37, 16.2337, 16.2321) * CHOOSE( CONTROL!$C$20, $D$12, 100%, $F$12)</f>
        <v>16.233699999999999</v>
      </c>
      <c r="E601" s="10">
        <f>CHOOSE( CONTROL!$C$37, 16.2302, 16.2286) * CHOOSE( CONTROL!$C$20, $D$12, 100%, $F$12)</f>
        <v>16.2302</v>
      </c>
      <c r="F601" s="4">
        <f>CHOOSE( CONTROL!$C$37, 16.9447, 16.943) * CHOOSE(CONTROL!$C$20, $D$12, 100%, $F$12)</f>
        <v>16.944700000000001</v>
      </c>
      <c r="G601" s="7">
        <f>CHOOSE( CONTROL!$C$37, 16.0376, 16.0359) * CHOOSE( CONTROL!$C$20, $D$12, 100%, $F$12)</f>
        <v>16.037600000000001</v>
      </c>
      <c r="H601" s="4">
        <f>CHOOSE( CONTROL!$C$37, 16.9821, 16.9805) * CHOOSE(CONTROL!$C$20, $D$12, 100%, $F$12)</f>
        <v>16.982099999999999</v>
      </c>
      <c r="I601" s="7">
        <f>CHOOSE( CONTROL!$C$37, 15.8523, 15.8507) * CHOOSE(CONTROL!$C$20, $D$12, 100%, $F$12)</f>
        <v>15.8523</v>
      </c>
      <c r="J601" s="4">
        <f>CHOOSE( CONTROL!$C$37, 15.7198, 15.7182) * CHOOSE(CONTROL!$C$20, $D$12, 100%, $F$12)</f>
        <v>15.719799999999999</v>
      </c>
      <c r="K601" s="4"/>
      <c r="L601" s="8">
        <v>30.7165</v>
      </c>
      <c r="M601" s="8">
        <v>12.063700000000001</v>
      </c>
      <c r="N601" s="8">
        <v>4.9444999999999997</v>
      </c>
      <c r="O601" s="8">
        <v>0.37409999999999999</v>
      </c>
      <c r="P601" s="8">
        <v>1.2927</v>
      </c>
      <c r="Q601" s="8">
        <v>19.688099999999999</v>
      </c>
      <c r="R601" s="8"/>
    </row>
    <row r="602" spans="1:18" ht="14.25" customHeight="1">
      <c r="A602" s="11">
        <v>59444</v>
      </c>
      <c r="B602" s="7">
        <f>CHOOSE( CONTROL!$C$37, 15.8794, 15.8777) * CHOOSE(CONTROL!$C$20, $D$12, 100%, $F$12)</f>
        <v>15.8794</v>
      </c>
      <c r="C602" s="7">
        <f>CHOOSE( CONTROL!$C$37, 15.8874, 15.8857) * CHOOSE(CONTROL!$C$20, $D$12, 100%, $F$12)</f>
        <v>15.8874</v>
      </c>
      <c r="D602" s="7">
        <f>CHOOSE( CONTROL!$C$37, 15.8936, 15.8919) * CHOOSE( CONTROL!$C$20, $D$12, 100%, $F$12)</f>
        <v>15.893599999999999</v>
      </c>
      <c r="E602" s="10">
        <f>CHOOSE( CONTROL!$C$37, 15.8901, 15.8884) * CHOOSE( CONTROL!$C$20, $D$12, 100%, $F$12)</f>
        <v>15.8901</v>
      </c>
      <c r="F602" s="4">
        <f>CHOOSE( CONTROL!$C$37, 16.6047, 16.603) * CHOOSE(CONTROL!$C$20, $D$12, 100%, $F$12)</f>
        <v>16.604700000000001</v>
      </c>
      <c r="G602" s="7">
        <f>CHOOSE( CONTROL!$C$37, 15.7022, 15.7006) * CHOOSE( CONTROL!$C$20, $D$12, 100%, $F$12)</f>
        <v>15.702199999999999</v>
      </c>
      <c r="H602" s="4">
        <f>CHOOSE( CONTROL!$C$37, 16.6469, 16.6452) * CHOOSE(CONTROL!$C$20, $D$12, 100%, $F$12)</f>
        <v>16.646899999999999</v>
      </c>
      <c r="I602" s="7">
        <f>CHOOSE( CONTROL!$C$37, 15.5225, 15.5209) * CHOOSE(CONTROL!$C$20, $D$12, 100%, $F$12)</f>
        <v>15.522500000000001</v>
      </c>
      <c r="J602" s="4">
        <f>CHOOSE( CONTROL!$C$37, 15.3906, 15.389) * CHOOSE(CONTROL!$C$20, $D$12, 100%, $F$12)</f>
        <v>15.390599999999999</v>
      </c>
      <c r="K602" s="4"/>
      <c r="L602" s="8">
        <v>29.7257</v>
      </c>
      <c r="M602" s="8">
        <v>11.6745</v>
      </c>
      <c r="N602" s="8">
        <v>4.7850000000000001</v>
      </c>
      <c r="O602" s="8">
        <v>0.36199999999999999</v>
      </c>
      <c r="P602" s="8">
        <v>1.2509999999999999</v>
      </c>
      <c r="Q602" s="8">
        <v>19.053000000000001</v>
      </c>
      <c r="R602" s="8"/>
    </row>
    <row r="603" spans="1:18" ht="14.25" customHeight="1">
      <c r="A603" s="11">
        <v>59475</v>
      </c>
      <c r="B603" s="7">
        <f>CHOOSE( CONTROL!$C$37, 16.5831, 16.582) * CHOOSE(CONTROL!$C$20, $D$12, 100%, $F$12)</f>
        <v>16.583100000000002</v>
      </c>
      <c r="C603" s="7">
        <f>CHOOSE( CONTROL!$C$37, 16.5884, 16.5874) * CHOOSE(CONTROL!$C$20, $D$12, 100%, $F$12)</f>
        <v>16.5884</v>
      </c>
      <c r="D603" s="7">
        <f>CHOOSE( CONTROL!$C$37, 16.6005, 16.5994) * CHOOSE( CONTROL!$C$20, $D$12, 100%, $F$12)</f>
        <v>16.6005</v>
      </c>
      <c r="E603" s="10">
        <f>CHOOSE( CONTROL!$C$37, 16.5959, 16.5949) * CHOOSE( CONTROL!$C$20, $D$12, 100%, $F$12)</f>
        <v>16.5959</v>
      </c>
      <c r="F603" s="4">
        <f>CHOOSE( CONTROL!$C$37, 17.3101, 17.309) * CHOOSE(CONTROL!$C$20, $D$12, 100%, $F$12)</f>
        <v>17.310099999999998</v>
      </c>
      <c r="G603" s="7">
        <f>CHOOSE( CONTROL!$C$37, 16.3979, 16.3968) * CHOOSE( CONTROL!$C$20, $D$12, 100%, $F$12)</f>
        <v>16.3979</v>
      </c>
      <c r="H603" s="4">
        <f>CHOOSE( CONTROL!$C$37, 17.3425, 17.3414) * CHOOSE(CONTROL!$C$20, $D$12, 100%, $F$12)</f>
        <v>17.342500000000001</v>
      </c>
      <c r="I603" s="7">
        <f>CHOOSE( CONTROL!$C$37, 16.2066, 16.2055) * CHOOSE(CONTROL!$C$20, $D$12, 100%, $F$12)</f>
        <v>16.206600000000002</v>
      </c>
      <c r="J603" s="4">
        <f>CHOOSE( CONTROL!$C$37, 16.0737, 16.0726) * CHOOSE(CONTROL!$C$20, $D$12, 100%, $F$12)</f>
        <v>16.073699999999999</v>
      </c>
      <c r="K603" s="4"/>
      <c r="L603" s="8">
        <v>31.095300000000002</v>
      </c>
      <c r="M603" s="8">
        <v>12.063700000000001</v>
      </c>
      <c r="N603" s="8">
        <v>4.9444999999999997</v>
      </c>
      <c r="O603" s="8">
        <v>0.37409999999999999</v>
      </c>
      <c r="P603" s="8">
        <v>1.2927</v>
      </c>
      <c r="Q603" s="8">
        <v>19.688099999999999</v>
      </c>
      <c r="R603" s="8"/>
    </row>
    <row r="604" spans="1:18" ht="14.25" customHeight="1">
      <c r="A604" s="11">
        <v>59505</v>
      </c>
      <c r="B604" s="7">
        <f>CHOOSE( CONTROL!$C$37, 17.8858, 17.8848) * CHOOSE(CONTROL!$C$20, $D$12, 100%, $F$12)</f>
        <v>17.8858</v>
      </c>
      <c r="C604" s="7">
        <f>CHOOSE( CONTROL!$C$37, 17.8909, 17.8899) * CHOOSE(CONTROL!$C$20, $D$12, 100%, $F$12)</f>
        <v>17.890899999999998</v>
      </c>
      <c r="D604" s="7">
        <f>CHOOSE( CONTROL!$C$37, 17.8694, 17.8683) * CHOOSE( CONTROL!$C$20, $D$12, 100%, $F$12)</f>
        <v>17.869399999999999</v>
      </c>
      <c r="E604" s="10">
        <f>CHOOSE( CONTROL!$C$37, 17.8767, 17.8757) * CHOOSE( CONTROL!$C$20, $D$12, 100%, $F$12)</f>
        <v>17.8767</v>
      </c>
      <c r="F604" s="4">
        <f>CHOOSE( CONTROL!$C$37, 18.5384, 18.5373) * CHOOSE(CONTROL!$C$20, $D$12, 100%, $F$12)</f>
        <v>18.538399999999999</v>
      </c>
      <c r="G604" s="7">
        <f>CHOOSE( CONTROL!$C$37, 17.669, 17.6679) * CHOOSE( CONTROL!$C$20, $D$12, 100%, $F$12)</f>
        <v>17.669</v>
      </c>
      <c r="H604" s="4">
        <f>CHOOSE( CONTROL!$C$37, 18.5536, 18.5525) * CHOOSE(CONTROL!$C$20, $D$12, 100%, $F$12)</f>
        <v>18.553599999999999</v>
      </c>
      <c r="I604" s="7">
        <f>CHOOSE( CONTROL!$C$37, 17.5202, 17.5192) * CHOOSE(CONTROL!$C$20, $D$12, 100%, $F$12)</f>
        <v>17.520199999999999</v>
      </c>
      <c r="J604" s="4">
        <f>CHOOSE( CONTROL!$C$37, 17.3355, 17.3345) * CHOOSE(CONTROL!$C$20, $D$12, 100%, $F$12)</f>
        <v>17.3355</v>
      </c>
      <c r="K604" s="4"/>
      <c r="L604" s="8">
        <v>28.360600000000002</v>
      </c>
      <c r="M604" s="8">
        <v>11.6745</v>
      </c>
      <c r="N604" s="8">
        <v>4.7850000000000001</v>
      </c>
      <c r="O604" s="8">
        <v>0.36199999999999999</v>
      </c>
      <c r="P604" s="8">
        <v>1.2509999999999999</v>
      </c>
      <c r="Q604" s="8">
        <v>19.053000000000001</v>
      </c>
      <c r="R604" s="8"/>
    </row>
    <row r="605" spans="1:18" ht="14.25" customHeight="1">
      <c r="A605" s="11">
        <v>59536</v>
      </c>
      <c r="B605" s="7">
        <f>CHOOSE( CONTROL!$C$37, 17.8533, 17.8522) * CHOOSE(CONTROL!$C$20, $D$12, 100%, $F$12)</f>
        <v>17.853300000000001</v>
      </c>
      <c r="C605" s="7">
        <f>CHOOSE( CONTROL!$C$37, 17.8584, 17.8573) * CHOOSE(CONTROL!$C$20, $D$12, 100%, $F$12)</f>
        <v>17.8584</v>
      </c>
      <c r="D605" s="7">
        <f>CHOOSE( CONTROL!$C$37, 17.8384, 17.8373) * CHOOSE( CONTROL!$C$20, $D$12, 100%, $F$12)</f>
        <v>17.8384</v>
      </c>
      <c r="E605" s="10">
        <f>CHOOSE( CONTROL!$C$37, 17.8452, 17.8441) * CHOOSE( CONTROL!$C$20, $D$12, 100%, $F$12)</f>
        <v>17.845199999999998</v>
      </c>
      <c r="F605" s="4">
        <f>CHOOSE( CONTROL!$C$37, 18.5058, 18.5047) * CHOOSE(CONTROL!$C$20, $D$12, 100%, $F$12)</f>
        <v>18.505800000000001</v>
      </c>
      <c r="G605" s="7">
        <f>CHOOSE( CONTROL!$C$37, 17.638, 17.6369) * CHOOSE( CONTROL!$C$20, $D$12, 100%, $F$12)</f>
        <v>17.638000000000002</v>
      </c>
      <c r="H605" s="4">
        <f>CHOOSE( CONTROL!$C$37, 18.5215, 18.5204) * CHOOSE(CONTROL!$C$20, $D$12, 100%, $F$12)</f>
        <v>18.5215</v>
      </c>
      <c r="I605" s="7">
        <f>CHOOSE( CONTROL!$C$37, 17.4936, 17.4925) * CHOOSE(CONTROL!$C$20, $D$12, 100%, $F$12)</f>
        <v>17.493600000000001</v>
      </c>
      <c r="J605" s="4">
        <f>CHOOSE( CONTROL!$C$37, 17.304, 17.3029) * CHOOSE(CONTROL!$C$20, $D$12, 100%, $F$12)</f>
        <v>17.303999999999998</v>
      </c>
      <c r="K605" s="4"/>
      <c r="L605" s="8">
        <v>29.306000000000001</v>
      </c>
      <c r="M605" s="8">
        <v>12.063700000000001</v>
      </c>
      <c r="N605" s="8">
        <v>4.9444999999999997</v>
      </c>
      <c r="O605" s="8">
        <v>0.37409999999999999</v>
      </c>
      <c r="P605" s="8">
        <v>1.2927</v>
      </c>
      <c r="Q605" s="8">
        <v>19.688099999999999</v>
      </c>
      <c r="R605" s="8"/>
    </row>
    <row r="606" spans="1:18" ht="14.25" customHeight="1">
      <c r="A606" s="11">
        <v>59567</v>
      </c>
      <c r="B606" s="7">
        <f>CHOOSE( CONTROL!$C$37, 18.3804, 18.3793) * CHOOSE(CONTROL!$C$20, $D$12, 100%, $F$12)</f>
        <v>18.380400000000002</v>
      </c>
      <c r="C606" s="7">
        <f>CHOOSE( CONTROL!$C$37, 18.3855, 18.3844) * CHOOSE(CONTROL!$C$20, $D$12, 100%, $F$12)</f>
        <v>18.3855</v>
      </c>
      <c r="D606" s="7">
        <f>CHOOSE( CONTROL!$C$37, 18.3786, 18.3775) * CHOOSE( CONTROL!$C$20, $D$12, 100%, $F$12)</f>
        <v>18.378599999999999</v>
      </c>
      <c r="E606" s="10">
        <f>CHOOSE( CONTROL!$C$37, 18.3806, 18.3795) * CHOOSE( CONTROL!$C$20, $D$12, 100%, $F$12)</f>
        <v>18.380600000000001</v>
      </c>
      <c r="F606" s="4">
        <f>CHOOSE( CONTROL!$C$37, 19.0329, 19.0318) * CHOOSE(CONTROL!$C$20, $D$12, 100%, $F$12)</f>
        <v>19.032900000000001</v>
      </c>
      <c r="G606" s="7">
        <f>CHOOSE( CONTROL!$C$37, 18.1623, 18.1612) * CHOOSE( CONTROL!$C$20, $D$12, 100%, $F$12)</f>
        <v>18.162299999999998</v>
      </c>
      <c r="H606" s="4">
        <f>CHOOSE( CONTROL!$C$37, 19.0412, 19.0402) * CHOOSE(CONTROL!$C$20, $D$12, 100%, $F$12)</f>
        <v>19.0412</v>
      </c>
      <c r="I606" s="7">
        <f>CHOOSE( CONTROL!$C$37, 17.9755, 17.9744) * CHOOSE(CONTROL!$C$20, $D$12, 100%, $F$12)</f>
        <v>17.9755</v>
      </c>
      <c r="J606" s="4">
        <f>CHOOSE( CONTROL!$C$37, 17.8144, 17.8133) * CHOOSE(CONTROL!$C$20, $D$12, 100%, $F$12)</f>
        <v>17.814399999999999</v>
      </c>
      <c r="K606" s="4"/>
      <c r="L606" s="8">
        <v>29.306000000000001</v>
      </c>
      <c r="M606" s="8">
        <v>12.063700000000001</v>
      </c>
      <c r="N606" s="8">
        <v>4.9444999999999997</v>
      </c>
      <c r="O606" s="8">
        <v>0.37409999999999999</v>
      </c>
      <c r="P606" s="8">
        <v>1.2927</v>
      </c>
      <c r="Q606" s="8">
        <v>19.688099999999999</v>
      </c>
      <c r="R606" s="8"/>
    </row>
    <row r="607" spans="1:18" ht="14.25" customHeight="1">
      <c r="A607" s="11">
        <v>59595</v>
      </c>
      <c r="B607" s="7">
        <f>CHOOSE( CONTROL!$C$37, 17.1911, 17.19) * CHOOSE(CONTROL!$C$20, $D$12, 100%, $F$12)</f>
        <v>17.191099999999999</v>
      </c>
      <c r="C607" s="7">
        <f>CHOOSE( CONTROL!$C$37, 17.1962, 17.1951) * CHOOSE(CONTROL!$C$20, $D$12, 100%, $F$12)</f>
        <v>17.196200000000001</v>
      </c>
      <c r="D607" s="7">
        <f>CHOOSE( CONTROL!$C$37, 17.1892, 17.1881) * CHOOSE( CONTROL!$C$20, $D$12, 100%, $F$12)</f>
        <v>17.1892</v>
      </c>
      <c r="E607" s="10">
        <f>CHOOSE( CONTROL!$C$37, 17.1912, 17.1901) * CHOOSE( CONTROL!$C$20, $D$12, 100%, $F$12)</f>
        <v>17.191199999999998</v>
      </c>
      <c r="F607" s="4">
        <f>CHOOSE( CONTROL!$C$37, 17.8436, 17.8425) * CHOOSE(CONTROL!$C$20, $D$12, 100%, $F$12)</f>
        <v>17.843599999999999</v>
      </c>
      <c r="G607" s="7">
        <f>CHOOSE( CONTROL!$C$37, 16.9895, 16.9884) * CHOOSE( CONTROL!$C$20, $D$12, 100%, $F$12)</f>
        <v>16.9895</v>
      </c>
      <c r="H607" s="4">
        <f>CHOOSE( CONTROL!$C$37, 17.8685, 17.8675) * CHOOSE(CONTROL!$C$20, $D$12, 100%, $F$12)</f>
        <v>17.868500000000001</v>
      </c>
      <c r="I607" s="7">
        <f>CHOOSE( CONTROL!$C$37, 16.8231, 16.822) * CHOOSE(CONTROL!$C$20, $D$12, 100%, $F$12)</f>
        <v>16.8231</v>
      </c>
      <c r="J607" s="4">
        <f>CHOOSE( CONTROL!$C$37, 16.6628, 16.6617) * CHOOSE(CONTROL!$C$20, $D$12, 100%, $F$12)</f>
        <v>16.662800000000001</v>
      </c>
      <c r="K607" s="4"/>
      <c r="L607" s="8">
        <v>26.469899999999999</v>
      </c>
      <c r="M607" s="8">
        <v>10.8962</v>
      </c>
      <c r="N607" s="8">
        <v>4.4660000000000002</v>
      </c>
      <c r="O607" s="8">
        <v>0.33789999999999998</v>
      </c>
      <c r="P607" s="8">
        <v>1.1676</v>
      </c>
      <c r="Q607" s="8">
        <v>17.782800000000002</v>
      </c>
      <c r="R607" s="8"/>
    </row>
    <row r="608" spans="1:18" ht="14.25" customHeight="1">
      <c r="A608" s="11">
        <v>59626</v>
      </c>
      <c r="B608" s="7">
        <f>CHOOSE( CONTROL!$C$37, 16.8248, 16.8237) * CHOOSE(CONTROL!$C$20, $D$12, 100%, $F$12)</f>
        <v>16.8248</v>
      </c>
      <c r="C608" s="7">
        <f>CHOOSE( CONTROL!$C$37, 16.8299, 16.8288) * CHOOSE(CONTROL!$C$20, $D$12, 100%, $F$12)</f>
        <v>16.829899999999999</v>
      </c>
      <c r="D608" s="7">
        <f>CHOOSE( CONTROL!$C$37, 16.8223, 16.8212) * CHOOSE( CONTROL!$C$20, $D$12, 100%, $F$12)</f>
        <v>16.822299999999998</v>
      </c>
      <c r="E608" s="10">
        <f>CHOOSE( CONTROL!$C$37, 16.8245, 16.8234) * CHOOSE( CONTROL!$C$20, $D$12, 100%, $F$12)</f>
        <v>16.8245</v>
      </c>
      <c r="F608" s="4">
        <f>CHOOSE( CONTROL!$C$37, 17.4773, 17.4762) * CHOOSE(CONTROL!$C$20, $D$12, 100%, $F$12)</f>
        <v>17.4773</v>
      </c>
      <c r="G608" s="7">
        <f>CHOOSE( CONTROL!$C$37, 16.6278, 16.6268) * CHOOSE( CONTROL!$C$20, $D$12, 100%, $F$12)</f>
        <v>16.627800000000001</v>
      </c>
      <c r="H608" s="4">
        <f>CHOOSE( CONTROL!$C$37, 17.5073, 17.5063) * CHOOSE(CONTROL!$C$20, $D$12, 100%, $F$12)</f>
        <v>17.507300000000001</v>
      </c>
      <c r="I608" s="7">
        <f>CHOOSE( CONTROL!$C$37, 16.4663, 16.4652) * CHOOSE(CONTROL!$C$20, $D$12, 100%, $F$12)</f>
        <v>16.4663</v>
      </c>
      <c r="J608" s="4">
        <f>CHOOSE( CONTROL!$C$37, 16.3081, 16.307) * CHOOSE(CONTROL!$C$20, $D$12, 100%, $F$12)</f>
        <v>16.3081</v>
      </c>
      <c r="K608" s="4"/>
      <c r="L608" s="8">
        <v>29.306000000000001</v>
      </c>
      <c r="M608" s="8">
        <v>12.063700000000001</v>
      </c>
      <c r="N608" s="8">
        <v>4.9444999999999997</v>
      </c>
      <c r="O608" s="8">
        <v>0.37409999999999999</v>
      </c>
      <c r="P608" s="8">
        <v>1.2927</v>
      </c>
      <c r="Q608" s="8">
        <v>19.688099999999999</v>
      </c>
      <c r="R608" s="8"/>
    </row>
    <row r="609" spans="1:18" ht="14.25" customHeight="1">
      <c r="A609" s="11">
        <v>59656</v>
      </c>
      <c r="B609" s="7">
        <f>CHOOSE( CONTROL!$C$37, 17.0815, 17.0804) * CHOOSE(CONTROL!$C$20, $D$12, 100%, $F$12)</f>
        <v>17.081499999999998</v>
      </c>
      <c r="C609" s="7">
        <f>CHOOSE( CONTROL!$C$37, 17.086, 17.0849) * CHOOSE(CONTROL!$C$20, $D$12, 100%, $F$12)</f>
        <v>17.085999999999999</v>
      </c>
      <c r="D609" s="7">
        <f>CHOOSE( CONTROL!$C$37, 17.0979, 17.0968) * CHOOSE( CONTROL!$C$20, $D$12, 100%, $F$12)</f>
        <v>17.097899999999999</v>
      </c>
      <c r="E609" s="10">
        <f>CHOOSE( CONTROL!$C$37, 17.0935, 17.0924) * CHOOSE( CONTROL!$C$20, $D$12, 100%, $F$12)</f>
        <v>17.093499999999999</v>
      </c>
      <c r="F609" s="4">
        <f>CHOOSE( CONTROL!$C$37, 17.8082, 17.8071) * CHOOSE(CONTROL!$C$20, $D$12, 100%, $F$12)</f>
        <v>17.808199999999999</v>
      </c>
      <c r="G609" s="7">
        <f>CHOOSE( CONTROL!$C$37, 16.8885, 16.8874) * CHOOSE( CONTROL!$C$20, $D$12, 100%, $F$12)</f>
        <v>16.888500000000001</v>
      </c>
      <c r="H609" s="4">
        <f>CHOOSE( CONTROL!$C$37, 17.8336, 17.8325) * CHOOSE(CONTROL!$C$20, $D$12, 100%, $F$12)</f>
        <v>17.833600000000001</v>
      </c>
      <c r="I609" s="7">
        <f>CHOOSE( CONTROL!$C$37, 16.6868, 16.6858) * CHOOSE(CONTROL!$C$20, $D$12, 100%, $F$12)</f>
        <v>16.686800000000002</v>
      </c>
      <c r="J609" s="4">
        <f>CHOOSE( CONTROL!$C$37, 16.5559, 16.5549) * CHOOSE(CONTROL!$C$20, $D$12, 100%, $F$12)</f>
        <v>16.555900000000001</v>
      </c>
      <c r="K609" s="4"/>
      <c r="L609" s="8">
        <v>30.092199999999998</v>
      </c>
      <c r="M609" s="8">
        <v>11.6745</v>
      </c>
      <c r="N609" s="8">
        <v>4.7850000000000001</v>
      </c>
      <c r="O609" s="8">
        <v>0.36199999999999999</v>
      </c>
      <c r="P609" s="8">
        <v>1.2509999999999999</v>
      </c>
      <c r="Q609" s="8">
        <v>19.053000000000001</v>
      </c>
      <c r="R609" s="8"/>
    </row>
    <row r="610" spans="1:18" ht="14.25" customHeight="1">
      <c r="A610" s="11">
        <v>59687</v>
      </c>
      <c r="B610" s="7">
        <f>CHOOSE( CONTROL!$C$37, 17.539, 17.5373) * CHOOSE(CONTROL!$C$20, $D$12, 100%, $F$12)</f>
        <v>17.539000000000001</v>
      </c>
      <c r="C610" s="7">
        <f>CHOOSE( CONTROL!$C$37, 17.547, 17.5453) * CHOOSE(CONTROL!$C$20, $D$12, 100%, $F$12)</f>
        <v>17.547000000000001</v>
      </c>
      <c r="D610" s="7">
        <f>CHOOSE( CONTROL!$C$37, 17.5527, 17.551) * CHOOSE( CONTROL!$C$20, $D$12, 100%, $F$12)</f>
        <v>17.552700000000002</v>
      </c>
      <c r="E610" s="10">
        <f>CHOOSE( CONTROL!$C$37, 17.5494, 17.5477) * CHOOSE( CONTROL!$C$20, $D$12, 100%, $F$12)</f>
        <v>17.549399999999999</v>
      </c>
      <c r="F610" s="4">
        <f>CHOOSE( CONTROL!$C$37, 18.2643, 18.2626) * CHOOSE(CONTROL!$C$20, $D$12, 100%, $F$12)</f>
        <v>18.264299999999999</v>
      </c>
      <c r="G610" s="7">
        <f>CHOOSE( CONTROL!$C$37, 17.3382, 17.3366) * CHOOSE( CONTROL!$C$20, $D$12, 100%, $F$12)</f>
        <v>17.338200000000001</v>
      </c>
      <c r="H610" s="4">
        <f>CHOOSE( CONTROL!$C$37, 18.2833, 18.2817) * CHOOSE(CONTROL!$C$20, $D$12, 100%, $F$12)</f>
        <v>18.283300000000001</v>
      </c>
      <c r="I610" s="7">
        <f>CHOOSE( CONTROL!$C$37, 17.1284, 17.1268) * CHOOSE(CONTROL!$C$20, $D$12, 100%, $F$12)</f>
        <v>17.128399999999999</v>
      </c>
      <c r="J610" s="4">
        <f>CHOOSE( CONTROL!$C$37, 16.9976, 16.996) * CHOOSE(CONTROL!$C$20, $D$12, 100%, $F$12)</f>
        <v>16.997599999999998</v>
      </c>
      <c r="K610" s="4"/>
      <c r="L610" s="8">
        <v>30.7165</v>
      </c>
      <c r="M610" s="8">
        <v>12.063700000000001</v>
      </c>
      <c r="N610" s="8">
        <v>4.9444999999999997</v>
      </c>
      <c r="O610" s="8">
        <v>0.37409999999999999</v>
      </c>
      <c r="P610" s="8">
        <v>1.2927</v>
      </c>
      <c r="Q610" s="8">
        <v>19.688099999999999</v>
      </c>
      <c r="R610" s="8"/>
    </row>
    <row r="611" spans="1:18" ht="14.25" customHeight="1">
      <c r="A611" s="11">
        <v>59717</v>
      </c>
      <c r="B611" s="7">
        <f>CHOOSE( CONTROL!$C$37, 17.2568, 17.2551) * CHOOSE(CONTROL!$C$20, $D$12, 100%, $F$12)</f>
        <v>17.256799999999998</v>
      </c>
      <c r="C611" s="7">
        <f>CHOOSE( CONTROL!$C$37, 17.2648, 17.2631) * CHOOSE(CONTROL!$C$20, $D$12, 100%, $F$12)</f>
        <v>17.264800000000001</v>
      </c>
      <c r="D611" s="7">
        <f>CHOOSE( CONTROL!$C$37, 17.2707, 17.2691) * CHOOSE( CONTROL!$C$20, $D$12, 100%, $F$12)</f>
        <v>17.270700000000001</v>
      </c>
      <c r="E611" s="10">
        <f>CHOOSE( CONTROL!$C$37, 17.2673, 17.2657) * CHOOSE( CONTROL!$C$20, $D$12, 100%, $F$12)</f>
        <v>17.267299999999999</v>
      </c>
      <c r="F611" s="4">
        <f>CHOOSE( CONTROL!$C$37, 17.9821, 17.9804) * CHOOSE(CONTROL!$C$20, $D$12, 100%, $F$12)</f>
        <v>17.982099999999999</v>
      </c>
      <c r="G611" s="7">
        <f>CHOOSE( CONTROL!$C$37, 17.0602, 17.0585) * CHOOSE( CONTROL!$C$20, $D$12, 100%, $F$12)</f>
        <v>17.060199999999998</v>
      </c>
      <c r="H611" s="4">
        <f>CHOOSE( CONTROL!$C$37, 18.0051, 18.0034) * CHOOSE(CONTROL!$C$20, $D$12, 100%, $F$12)</f>
        <v>18.005099999999999</v>
      </c>
      <c r="I611" s="7">
        <f>CHOOSE( CONTROL!$C$37, 16.856, 16.8544) * CHOOSE(CONTROL!$C$20, $D$12, 100%, $F$12)</f>
        <v>16.856000000000002</v>
      </c>
      <c r="J611" s="4">
        <f>CHOOSE( CONTROL!$C$37, 16.7244, 16.7227) * CHOOSE(CONTROL!$C$20, $D$12, 100%, $F$12)</f>
        <v>16.724399999999999</v>
      </c>
      <c r="K611" s="4"/>
      <c r="L611" s="8">
        <v>29.7257</v>
      </c>
      <c r="M611" s="8">
        <v>11.6745</v>
      </c>
      <c r="N611" s="8">
        <v>4.7850000000000001</v>
      </c>
      <c r="O611" s="8">
        <v>0.36199999999999999</v>
      </c>
      <c r="P611" s="8">
        <v>1.2509999999999999</v>
      </c>
      <c r="Q611" s="8">
        <v>19.053000000000001</v>
      </c>
      <c r="R611" s="8"/>
    </row>
    <row r="612" spans="1:18" ht="14.25" customHeight="1">
      <c r="A612" s="11">
        <v>59748</v>
      </c>
      <c r="B612" s="7">
        <f>CHOOSE( CONTROL!$C$37, 17.9999, 17.9983) * CHOOSE(CONTROL!$C$20, $D$12, 100%, $F$12)</f>
        <v>17.9999</v>
      </c>
      <c r="C612" s="7">
        <f>CHOOSE( CONTROL!$C$37, 18.0079, 18.0063) * CHOOSE(CONTROL!$C$20, $D$12, 100%, $F$12)</f>
        <v>18.007899999999999</v>
      </c>
      <c r="D612" s="7">
        <f>CHOOSE( CONTROL!$C$37, 18.0142, 18.0125) * CHOOSE( CONTROL!$C$20, $D$12, 100%, $F$12)</f>
        <v>18.014199999999999</v>
      </c>
      <c r="E612" s="10">
        <f>CHOOSE( CONTROL!$C$37, 18.0107, 18.009) * CHOOSE( CONTROL!$C$20, $D$12, 100%, $F$12)</f>
        <v>18.0107</v>
      </c>
      <c r="F612" s="4">
        <f>CHOOSE( CONTROL!$C$37, 18.7252, 18.7236) * CHOOSE(CONTROL!$C$20, $D$12, 100%, $F$12)</f>
        <v>18.725200000000001</v>
      </c>
      <c r="G612" s="7">
        <f>CHOOSE( CONTROL!$C$37, 17.7932, 17.7915) * CHOOSE( CONTROL!$C$20, $D$12, 100%, $F$12)</f>
        <v>17.793199999999999</v>
      </c>
      <c r="H612" s="4">
        <f>CHOOSE( CONTROL!$C$37, 18.7378, 18.7362) * CHOOSE(CONTROL!$C$20, $D$12, 100%, $F$12)</f>
        <v>18.7378</v>
      </c>
      <c r="I612" s="7">
        <f>CHOOSE( CONTROL!$C$37, 17.577, 17.5754) * CHOOSE(CONTROL!$C$20, $D$12, 100%, $F$12)</f>
        <v>17.577000000000002</v>
      </c>
      <c r="J612" s="4">
        <f>CHOOSE( CONTROL!$C$37, 17.4439, 17.4423) * CHOOSE(CONTROL!$C$20, $D$12, 100%, $F$12)</f>
        <v>17.443899999999999</v>
      </c>
      <c r="K612" s="4"/>
      <c r="L612" s="8">
        <v>30.7165</v>
      </c>
      <c r="M612" s="8">
        <v>12.063700000000001</v>
      </c>
      <c r="N612" s="8">
        <v>4.9444999999999997</v>
      </c>
      <c r="O612" s="8">
        <v>0.37409999999999999</v>
      </c>
      <c r="P612" s="8">
        <v>1.2927</v>
      </c>
      <c r="Q612" s="8">
        <v>19.688099999999999</v>
      </c>
      <c r="R612" s="8"/>
    </row>
    <row r="613" spans="1:18" ht="14.25" customHeight="1">
      <c r="A613" s="11">
        <v>59779</v>
      </c>
      <c r="B613" s="7">
        <f>CHOOSE( CONTROL!$C$37, 16.6094, 16.6078) * CHOOSE(CONTROL!$C$20, $D$12, 100%, $F$12)</f>
        <v>16.609400000000001</v>
      </c>
      <c r="C613" s="7">
        <f>CHOOSE( CONTROL!$C$37, 16.6174, 16.6158) * CHOOSE(CONTROL!$C$20, $D$12, 100%, $F$12)</f>
        <v>16.6174</v>
      </c>
      <c r="D613" s="7">
        <f>CHOOSE( CONTROL!$C$37, 16.6238, 16.6221) * CHOOSE( CONTROL!$C$20, $D$12, 100%, $F$12)</f>
        <v>16.623799999999999</v>
      </c>
      <c r="E613" s="10">
        <f>CHOOSE( CONTROL!$C$37, 16.6203, 16.6186) * CHOOSE( CONTROL!$C$20, $D$12, 100%, $F$12)</f>
        <v>16.6203</v>
      </c>
      <c r="F613" s="4">
        <f>CHOOSE( CONTROL!$C$37, 17.3347, 17.3331) * CHOOSE(CONTROL!$C$20, $D$12, 100%, $F$12)</f>
        <v>17.334700000000002</v>
      </c>
      <c r="G613" s="7">
        <f>CHOOSE( CONTROL!$C$37, 16.4222, 16.4205) * CHOOSE( CONTROL!$C$20, $D$12, 100%, $F$12)</f>
        <v>16.4222</v>
      </c>
      <c r="H613" s="4">
        <f>CHOOSE( CONTROL!$C$37, 17.3667, 17.3651) * CHOOSE(CONTROL!$C$20, $D$12, 100%, $F$12)</f>
        <v>17.366700000000002</v>
      </c>
      <c r="I613" s="7">
        <f>CHOOSE( CONTROL!$C$37, 16.2302, 16.2286) * CHOOSE(CONTROL!$C$20, $D$12, 100%, $F$12)</f>
        <v>16.2302</v>
      </c>
      <c r="J613" s="4">
        <f>CHOOSE( CONTROL!$C$37, 16.0975, 16.0959) * CHOOSE(CONTROL!$C$20, $D$12, 100%, $F$12)</f>
        <v>16.0975</v>
      </c>
      <c r="K613" s="4"/>
      <c r="L613" s="8">
        <v>30.7165</v>
      </c>
      <c r="M613" s="8">
        <v>12.063700000000001</v>
      </c>
      <c r="N613" s="8">
        <v>4.9444999999999997</v>
      </c>
      <c r="O613" s="8">
        <v>0.37409999999999999</v>
      </c>
      <c r="P613" s="8">
        <v>1.2927</v>
      </c>
      <c r="Q613" s="8">
        <v>19.688099999999999</v>
      </c>
      <c r="R613" s="8"/>
    </row>
    <row r="614" spans="1:18" ht="14.25" customHeight="1">
      <c r="A614" s="11">
        <v>59809</v>
      </c>
      <c r="B614" s="7">
        <f>CHOOSE( CONTROL!$C$37, 16.2612, 16.2596) * CHOOSE(CONTROL!$C$20, $D$12, 100%, $F$12)</f>
        <v>16.261199999999999</v>
      </c>
      <c r="C614" s="7">
        <f>CHOOSE( CONTROL!$C$37, 16.2692, 16.2676) * CHOOSE(CONTROL!$C$20, $D$12, 100%, $F$12)</f>
        <v>16.269200000000001</v>
      </c>
      <c r="D614" s="7">
        <f>CHOOSE( CONTROL!$C$37, 16.2754, 16.2738) * CHOOSE( CONTROL!$C$20, $D$12, 100%, $F$12)</f>
        <v>16.275400000000001</v>
      </c>
      <c r="E614" s="10">
        <f>CHOOSE( CONTROL!$C$37, 16.2719, 16.2703) * CHOOSE( CONTROL!$C$20, $D$12, 100%, $F$12)</f>
        <v>16.271899999999999</v>
      </c>
      <c r="F614" s="4">
        <f>CHOOSE( CONTROL!$C$37, 16.9865, 16.9849) * CHOOSE(CONTROL!$C$20, $D$12, 100%, $F$12)</f>
        <v>16.986499999999999</v>
      </c>
      <c r="G614" s="7">
        <f>CHOOSE( CONTROL!$C$37, 16.0787, 16.0771) * CHOOSE( CONTROL!$C$20, $D$12, 100%, $F$12)</f>
        <v>16.078700000000001</v>
      </c>
      <c r="H614" s="4">
        <f>CHOOSE( CONTROL!$C$37, 17.0234, 17.0218) * CHOOSE(CONTROL!$C$20, $D$12, 100%, $F$12)</f>
        <v>17.023399999999999</v>
      </c>
      <c r="I614" s="7">
        <f>CHOOSE( CONTROL!$C$37, 15.8925, 15.8908) * CHOOSE(CONTROL!$C$20, $D$12, 100%, $F$12)</f>
        <v>15.8925</v>
      </c>
      <c r="J614" s="4">
        <f>CHOOSE( CONTROL!$C$37, 15.7604, 15.7588) * CHOOSE(CONTROL!$C$20, $D$12, 100%, $F$12)</f>
        <v>15.760400000000001</v>
      </c>
      <c r="K614" s="4"/>
      <c r="L614" s="8">
        <v>29.7257</v>
      </c>
      <c r="M614" s="8">
        <v>11.6745</v>
      </c>
      <c r="N614" s="8">
        <v>4.7850000000000001</v>
      </c>
      <c r="O614" s="8">
        <v>0.36199999999999999</v>
      </c>
      <c r="P614" s="8">
        <v>1.2509999999999999</v>
      </c>
      <c r="Q614" s="8">
        <v>19.053000000000001</v>
      </c>
      <c r="R614" s="8"/>
    </row>
    <row r="615" spans="1:18" ht="14.25" customHeight="1">
      <c r="A615" s="11">
        <v>59840</v>
      </c>
      <c r="B615" s="7">
        <f>CHOOSE( CONTROL!$C$37, 16.9819, 16.9808) * CHOOSE(CONTROL!$C$20, $D$12, 100%, $F$12)</f>
        <v>16.9819</v>
      </c>
      <c r="C615" s="7">
        <f>CHOOSE( CONTROL!$C$37, 16.9873, 16.9862) * CHOOSE(CONTROL!$C$20, $D$12, 100%, $F$12)</f>
        <v>16.987300000000001</v>
      </c>
      <c r="D615" s="7">
        <f>CHOOSE( CONTROL!$C$37, 16.9993, 16.9982) * CHOOSE( CONTROL!$C$20, $D$12, 100%, $F$12)</f>
        <v>16.999300000000002</v>
      </c>
      <c r="E615" s="10">
        <f>CHOOSE( CONTROL!$C$37, 16.9948, 16.9937) * CHOOSE( CONTROL!$C$20, $D$12, 100%, $F$12)</f>
        <v>16.994800000000001</v>
      </c>
      <c r="F615" s="4">
        <f>CHOOSE( CONTROL!$C$37, 17.7089, 17.7078) * CHOOSE(CONTROL!$C$20, $D$12, 100%, $F$12)</f>
        <v>17.7089</v>
      </c>
      <c r="G615" s="7">
        <f>CHOOSE( CONTROL!$C$37, 16.7912, 16.7901) * CHOOSE( CONTROL!$C$20, $D$12, 100%, $F$12)</f>
        <v>16.7912</v>
      </c>
      <c r="H615" s="4">
        <f>CHOOSE( CONTROL!$C$37, 17.7357, 17.7346) * CHOOSE(CONTROL!$C$20, $D$12, 100%, $F$12)</f>
        <v>17.735700000000001</v>
      </c>
      <c r="I615" s="7">
        <f>CHOOSE( CONTROL!$C$37, 16.593, 16.5919) * CHOOSE(CONTROL!$C$20, $D$12, 100%, $F$12)</f>
        <v>16.593</v>
      </c>
      <c r="J615" s="4">
        <f>CHOOSE( CONTROL!$C$37, 16.4599, 16.4588) * CHOOSE(CONTROL!$C$20, $D$12, 100%, $F$12)</f>
        <v>16.459900000000001</v>
      </c>
      <c r="K615" s="4"/>
      <c r="L615" s="8">
        <v>31.095300000000002</v>
      </c>
      <c r="M615" s="8">
        <v>12.063700000000001</v>
      </c>
      <c r="N615" s="8">
        <v>4.9444999999999997</v>
      </c>
      <c r="O615" s="8">
        <v>0.37409999999999999</v>
      </c>
      <c r="P615" s="8">
        <v>1.2927</v>
      </c>
      <c r="Q615" s="8">
        <v>19.688099999999999</v>
      </c>
      <c r="R615" s="8"/>
    </row>
    <row r="616" spans="1:18" ht="14.25" customHeight="1">
      <c r="A616" s="11">
        <v>59870</v>
      </c>
      <c r="B616" s="7">
        <f>CHOOSE( CONTROL!$C$37, 18.316, 18.3149) * CHOOSE(CONTROL!$C$20, $D$12, 100%, $F$12)</f>
        <v>18.315999999999999</v>
      </c>
      <c r="C616" s="7">
        <f>CHOOSE( CONTROL!$C$37, 18.3211, 18.32) * CHOOSE(CONTROL!$C$20, $D$12, 100%, $F$12)</f>
        <v>18.321100000000001</v>
      </c>
      <c r="D616" s="7">
        <f>CHOOSE( CONTROL!$C$37, 18.2995, 18.2985) * CHOOSE( CONTROL!$C$20, $D$12, 100%, $F$12)</f>
        <v>18.299499999999998</v>
      </c>
      <c r="E616" s="10">
        <f>CHOOSE( CONTROL!$C$37, 18.3069, 18.3058) * CHOOSE( CONTROL!$C$20, $D$12, 100%, $F$12)</f>
        <v>18.306899999999999</v>
      </c>
      <c r="F616" s="4">
        <f>CHOOSE( CONTROL!$C$37, 18.9685, 18.9674) * CHOOSE(CONTROL!$C$20, $D$12, 100%, $F$12)</f>
        <v>18.968499999999999</v>
      </c>
      <c r="G616" s="7">
        <f>CHOOSE( CONTROL!$C$37, 18.0931, 18.0921) * CHOOSE( CONTROL!$C$20, $D$12, 100%, $F$12)</f>
        <v>18.0931</v>
      </c>
      <c r="H616" s="4">
        <f>CHOOSE( CONTROL!$C$37, 18.9777, 18.9767) * CHOOSE(CONTROL!$C$20, $D$12, 100%, $F$12)</f>
        <v>18.977699999999999</v>
      </c>
      <c r="I616" s="7">
        <f>CHOOSE( CONTROL!$C$37, 17.937, 17.9359) * CHOOSE(CONTROL!$C$20, $D$12, 100%, $F$12)</f>
        <v>17.937000000000001</v>
      </c>
      <c r="J616" s="4">
        <f>CHOOSE( CONTROL!$C$37, 17.752, 17.751) * CHOOSE(CONTROL!$C$20, $D$12, 100%, $F$12)</f>
        <v>17.751999999999999</v>
      </c>
      <c r="K616" s="4"/>
      <c r="L616" s="8">
        <v>28.360600000000002</v>
      </c>
      <c r="M616" s="8">
        <v>11.6745</v>
      </c>
      <c r="N616" s="8">
        <v>4.7850000000000001</v>
      </c>
      <c r="O616" s="8">
        <v>0.36199999999999999</v>
      </c>
      <c r="P616" s="8">
        <v>1.2509999999999999</v>
      </c>
      <c r="Q616" s="8">
        <v>19.053000000000001</v>
      </c>
      <c r="R616" s="8"/>
    </row>
    <row r="617" spans="1:18" ht="14.25" customHeight="1">
      <c r="A617" s="11">
        <v>59901</v>
      </c>
      <c r="B617" s="7">
        <f>CHOOSE( CONTROL!$C$37, 18.2826, 18.2816) * CHOOSE(CONTROL!$C$20, $D$12, 100%, $F$12)</f>
        <v>18.282599999999999</v>
      </c>
      <c r="C617" s="7">
        <f>CHOOSE( CONTROL!$C$37, 18.2877, 18.2867) * CHOOSE(CONTROL!$C$20, $D$12, 100%, $F$12)</f>
        <v>18.287700000000001</v>
      </c>
      <c r="D617" s="7">
        <f>CHOOSE( CONTROL!$C$37, 18.2678, 18.2667) * CHOOSE( CONTROL!$C$20, $D$12, 100%, $F$12)</f>
        <v>18.267800000000001</v>
      </c>
      <c r="E617" s="10">
        <f>CHOOSE( CONTROL!$C$37, 18.2745, 18.2735) * CHOOSE( CONTROL!$C$20, $D$12, 100%, $F$12)</f>
        <v>18.2745</v>
      </c>
      <c r="F617" s="4">
        <f>CHOOSE( CONTROL!$C$37, 18.9352, 18.9341) * CHOOSE(CONTROL!$C$20, $D$12, 100%, $F$12)</f>
        <v>18.935199999999998</v>
      </c>
      <c r="G617" s="7">
        <f>CHOOSE( CONTROL!$C$37, 18.0614, 18.0603) * CHOOSE( CONTROL!$C$20, $D$12, 100%, $F$12)</f>
        <v>18.061399999999999</v>
      </c>
      <c r="H617" s="4">
        <f>CHOOSE( CONTROL!$C$37, 18.9449, 18.9438) * CHOOSE(CONTROL!$C$20, $D$12, 100%, $F$12)</f>
        <v>18.944900000000001</v>
      </c>
      <c r="I617" s="7">
        <f>CHOOSE( CONTROL!$C$37, 17.9095, 17.9085) * CHOOSE(CONTROL!$C$20, $D$12, 100%, $F$12)</f>
        <v>17.909500000000001</v>
      </c>
      <c r="J617" s="4">
        <f>CHOOSE( CONTROL!$C$37, 17.7197, 17.7187) * CHOOSE(CONTROL!$C$20, $D$12, 100%, $F$12)</f>
        <v>17.7197</v>
      </c>
      <c r="K617" s="4"/>
      <c r="L617" s="8">
        <v>29.306000000000001</v>
      </c>
      <c r="M617" s="8">
        <v>12.063700000000001</v>
      </c>
      <c r="N617" s="8">
        <v>4.9444999999999997</v>
      </c>
      <c r="O617" s="8">
        <v>0.37409999999999999</v>
      </c>
      <c r="P617" s="8">
        <v>1.2927</v>
      </c>
      <c r="Q617" s="8">
        <v>19.688099999999999</v>
      </c>
      <c r="R617" s="8"/>
    </row>
    <row r="618" spans="1:18" ht="14.25" customHeight="1">
      <c r="A618" s="11">
        <v>59932</v>
      </c>
      <c r="B618" s="7">
        <f>CHOOSE( CONTROL!$C$37, 18.8224, 18.8213) * CHOOSE(CONTROL!$C$20, $D$12, 100%, $F$12)</f>
        <v>18.822399999999998</v>
      </c>
      <c r="C618" s="7">
        <f>CHOOSE( CONTROL!$C$37, 18.8275, 18.8264) * CHOOSE(CONTROL!$C$20, $D$12, 100%, $F$12)</f>
        <v>18.827500000000001</v>
      </c>
      <c r="D618" s="7">
        <f>CHOOSE( CONTROL!$C$37, 18.8206, 18.8195) * CHOOSE( CONTROL!$C$20, $D$12, 100%, $F$12)</f>
        <v>18.820599999999999</v>
      </c>
      <c r="E618" s="10">
        <f>CHOOSE( CONTROL!$C$37, 18.8226, 18.8215) * CHOOSE( CONTROL!$C$20, $D$12, 100%, $F$12)</f>
        <v>18.822600000000001</v>
      </c>
      <c r="F618" s="4">
        <f>CHOOSE( CONTROL!$C$37, 19.4749, 19.4739) * CHOOSE(CONTROL!$C$20, $D$12, 100%, $F$12)</f>
        <v>19.474900000000002</v>
      </c>
      <c r="G618" s="7">
        <f>CHOOSE( CONTROL!$C$37, 18.5981, 18.597) * CHOOSE( CONTROL!$C$20, $D$12, 100%, $F$12)</f>
        <v>18.598099999999999</v>
      </c>
      <c r="H618" s="4">
        <f>CHOOSE( CONTROL!$C$37, 19.4771, 19.476) * CHOOSE(CONTROL!$C$20, $D$12, 100%, $F$12)</f>
        <v>19.4771</v>
      </c>
      <c r="I618" s="7">
        <f>CHOOSE( CONTROL!$C$37, 18.4037, 18.4027) * CHOOSE(CONTROL!$C$20, $D$12, 100%, $F$12)</f>
        <v>18.403700000000001</v>
      </c>
      <c r="J618" s="4">
        <f>CHOOSE( CONTROL!$C$37, 18.2424, 18.2413) * CHOOSE(CONTROL!$C$20, $D$12, 100%, $F$12)</f>
        <v>18.2424</v>
      </c>
      <c r="K618" s="4"/>
      <c r="L618" s="8">
        <v>29.306000000000001</v>
      </c>
      <c r="M618" s="8">
        <v>12.063700000000001</v>
      </c>
      <c r="N618" s="8">
        <v>4.9444999999999997</v>
      </c>
      <c r="O618" s="8">
        <v>0.37409999999999999</v>
      </c>
      <c r="P618" s="8">
        <v>1.2927</v>
      </c>
      <c r="Q618" s="8">
        <v>19.688099999999999</v>
      </c>
      <c r="R618" s="8"/>
    </row>
    <row r="619" spans="1:18" ht="14.25" customHeight="1">
      <c r="A619" s="11">
        <v>59961</v>
      </c>
      <c r="B619" s="7">
        <f>CHOOSE( CONTROL!$C$37, 17.6045, 17.6034) * CHOOSE(CONTROL!$C$20, $D$12, 100%, $F$12)</f>
        <v>17.604500000000002</v>
      </c>
      <c r="C619" s="7">
        <f>CHOOSE( CONTROL!$C$37, 17.6096, 17.6085) * CHOOSE(CONTROL!$C$20, $D$12, 100%, $F$12)</f>
        <v>17.6096</v>
      </c>
      <c r="D619" s="7">
        <f>CHOOSE( CONTROL!$C$37, 17.6026, 17.6016) * CHOOSE( CONTROL!$C$20, $D$12, 100%, $F$12)</f>
        <v>17.602599999999999</v>
      </c>
      <c r="E619" s="10">
        <f>CHOOSE( CONTROL!$C$37, 17.6046, 17.6036) * CHOOSE( CONTROL!$C$20, $D$12, 100%, $F$12)</f>
        <v>17.604600000000001</v>
      </c>
      <c r="F619" s="4">
        <f>CHOOSE( CONTROL!$C$37, 18.2571, 18.256) * CHOOSE(CONTROL!$C$20, $D$12, 100%, $F$12)</f>
        <v>18.257100000000001</v>
      </c>
      <c r="G619" s="7">
        <f>CHOOSE( CONTROL!$C$37, 17.3972, 17.3961) * CHOOSE( CONTROL!$C$20, $D$12, 100%, $F$12)</f>
        <v>17.397200000000002</v>
      </c>
      <c r="H619" s="4">
        <f>CHOOSE( CONTROL!$C$37, 18.2762, 18.2751) * CHOOSE(CONTROL!$C$20, $D$12, 100%, $F$12)</f>
        <v>18.276199999999999</v>
      </c>
      <c r="I619" s="7">
        <f>CHOOSE( CONTROL!$C$37, 17.2236, 17.2225) * CHOOSE(CONTROL!$C$20, $D$12, 100%, $F$12)</f>
        <v>17.223600000000001</v>
      </c>
      <c r="J619" s="4">
        <f>CHOOSE( CONTROL!$C$37, 17.0631, 17.0621) * CHOOSE(CONTROL!$C$20, $D$12, 100%, $F$12)</f>
        <v>17.063099999999999</v>
      </c>
      <c r="K619" s="4"/>
      <c r="L619" s="8">
        <v>27.415299999999998</v>
      </c>
      <c r="M619" s="8">
        <v>11.285299999999999</v>
      </c>
      <c r="N619" s="8">
        <v>4.6254999999999997</v>
      </c>
      <c r="O619" s="8">
        <v>0.34989999999999999</v>
      </c>
      <c r="P619" s="8">
        <v>1.2093</v>
      </c>
      <c r="Q619" s="8">
        <v>18.417899999999999</v>
      </c>
      <c r="R619" s="8"/>
    </row>
    <row r="620" spans="1:18" ht="14.25" customHeight="1">
      <c r="A620" s="11">
        <v>59992</v>
      </c>
      <c r="B620" s="7">
        <f>CHOOSE( CONTROL!$C$37, 17.2294, 17.2283) * CHOOSE(CONTROL!$C$20, $D$12, 100%, $F$12)</f>
        <v>17.229399999999998</v>
      </c>
      <c r="C620" s="7">
        <f>CHOOSE( CONTROL!$C$37, 17.2345, 17.2334) * CHOOSE(CONTROL!$C$20, $D$12, 100%, $F$12)</f>
        <v>17.234500000000001</v>
      </c>
      <c r="D620" s="7">
        <f>CHOOSE( CONTROL!$C$37, 17.2269, 17.2258) * CHOOSE( CONTROL!$C$20, $D$12, 100%, $F$12)</f>
        <v>17.226900000000001</v>
      </c>
      <c r="E620" s="10">
        <f>CHOOSE( CONTROL!$C$37, 17.2291, 17.228) * CHOOSE( CONTROL!$C$20, $D$12, 100%, $F$12)</f>
        <v>17.229099999999999</v>
      </c>
      <c r="F620" s="4">
        <f>CHOOSE( CONTROL!$C$37, 17.882, 17.8809) * CHOOSE(CONTROL!$C$20, $D$12, 100%, $F$12)</f>
        <v>17.882000000000001</v>
      </c>
      <c r="G620" s="7">
        <f>CHOOSE( CONTROL!$C$37, 17.0268, 17.0258) * CHOOSE( CONTROL!$C$20, $D$12, 100%, $F$12)</f>
        <v>17.026800000000001</v>
      </c>
      <c r="H620" s="4">
        <f>CHOOSE( CONTROL!$C$37, 17.9063, 17.9053) * CHOOSE(CONTROL!$C$20, $D$12, 100%, $F$12)</f>
        <v>17.906300000000002</v>
      </c>
      <c r="I620" s="7">
        <f>CHOOSE( CONTROL!$C$37, 16.8583, 16.8572) * CHOOSE(CONTROL!$C$20, $D$12, 100%, $F$12)</f>
        <v>16.8583</v>
      </c>
      <c r="J620" s="4">
        <f>CHOOSE( CONTROL!$C$37, 16.6999, 16.6989) * CHOOSE(CONTROL!$C$20, $D$12, 100%, $F$12)</f>
        <v>16.6999</v>
      </c>
      <c r="K620" s="4"/>
      <c r="L620" s="8">
        <v>29.306000000000001</v>
      </c>
      <c r="M620" s="8">
        <v>12.063700000000001</v>
      </c>
      <c r="N620" s="8">
        <v>4.9444999999999997</v>
      </c>
      <c r="O620" s="8">
        <v>0.37409999999999999</v>
      </c>
      <c r="P620" s="8">
        <v>1.2927</v>
      </c>
      <c r="Q620" s="8">
        <v>19.688099999999999</v>
      </c>
      <c r="R620" s="8"/>
    </row>
    <row r="621" spans="1:18" ht="14.25" customHeight="1">
      <c r="A621" s="11">
        <v>60022</v>
      </c>
      <c r="B621" s="7">
        <f>CHOOSE( CONTROL!$C$37, 17.4923, 17.4912) * CHOOSE(CONTROL!$C$20, $D$12, 100%, $F$12)</f>
        <v>17.4923</v>
      </c>
      <c r="C621" s="7">
        <f>CHOOSE( CONTROL!$C$37, 17.4968, 17.4957) * CHOOSE(CONTROL!$C$20, $D$12, 100%, $F$12)</f>
        <v>17.4968</v>
      </c>
      <c r="D621" s="7">
        <f>CHOOSE( CONTROL!$C$37, 17.5087, 17.5076) * CHOOSE( CONTROL!$C$20, $D$12, 100%, $F$12)</f>
        <v>17.508700000000001</v>
      </c>
      <c r="E621" s="10">
        <f>CHOOSE( CONTROL!$C$37, 17.5043, 17.5032) * CHOOSE( CONTROL!$C$20, $D$12, 100%, $F$12)</f>
        <v>17.504300000000001</v>
      </c>
      <c r="F621" s="4">
        <f>CHOOSE( CONTROL!$C$37, 18.2189, 18.2179) * CHOOSE(CONTROL!$C$20, $D$12, 100%, $F$12)</f>
        <v>18.218900000000001</v>
      </c>
      <c r="G621" s="7">
        <f>CHOOSE( CONTROL!$C$37, 17.2935, 17.2925) * CHOOSE( CONTROL!$C$20, $D$12, 100%, $F$12)</f>
        <v>17.293500000000002</v>
      </c>
      <c r="H621" s="4">
        <f>CHOOSE( CONTROL!$C$37, 18.2386, 18.2375) * CHOOSE(CONTROL!$C$20, $D$12, 100%, $F$12)</f>
        <v>18.238600000000002</v>
      </c>
      <c r="I621" s="7">
        <f>CHOOSE( CONTROL!$C$37, 17.0848, 17.0837) * CHOOSE(CONTROL!$C$20, $D$12, 100%, $F$12)</f>
        <v>17.084800000000001</v>
      </c>
      <c r="J621" s="4">
        <f>CHOOSE( CONTROL!$C$37, 16.9537, 16.9527) * CHOOSE(CONTROL!$C$20, $D$12, 100%, $F$12)</f>
        <v>16.953700000000001</v>
      </c>
      <c r="K621" s="4"/>
      <c r="L621" s="8">
        <v>30.092199999999998</v>
      </c>
      <c r="M621" s="8">
        <v>11.6745</v>
      </c>
      <c r="N621" s="8">
        <v>4.7850000000000001</v>
      </c>
      <c r="O621" s="8">
        <v>0.36199999999999999</v>
      </c>
      <c r="P621" s="8">
        <v>1.2509999999999999</v>
      </c>
      <c r="Q621" s="8">
        <v>19.053000000000001</v>
      </c>
      <c r="R621" s="8"/>
    </row>
    <row r="622" spans="1:18" ht="14.25" customHeight="1">
      <c r="A622" s="11">
        <v>60053</v>
      </c>
      <c r="B622" s="7">
        <f>CHOOSE( CONTROL!$C$37, 17.9607, 17.9591) * CHOOSE(CONTROL!$C$20, $D$12, 100%, $F$12)</f>
        <v>17.960699999999999</v>
      </c>
      <c r="C622" s="7">
        <f>CHOOSE( CONTROL!$C$37, 17.9687, 17.9671) * CHOOSE(CONTROL!$C$20, $D$12, 100%, $F$12)</f>
        <v>17.968699999999998</v>
      </c>
      <c r="D622" s="7">
        <f>CHOOSE( CONTROL!$C$37, 17.9744, 17.9727) * CHOOSE( CONTROL!$C$20, $D$12, 100%, $F$12)</f>
        <v>17.974399999999999</v>
      </c>
      <c r="E622" s="10">
        <f>CHOOSE( CONTROL!$C$37, 17.9711, 17.9695) * CHOOSE( CONTROL!$C$20, $D$12, 100%, $F$12)</f>
        <v>17.9711</v>
      </c>
      <c r="F622" s="4">
        <f>CHOOSE( CONTROL!$C$37, 18.686, 18.6844) * CHOOSE(CONTROL!$C$20, $D$12, 100%, $F$12)</f>
        <v>18.686</v>
      </c>
      <c r="G622" s="7">
        <f>CHOOSE( CONTROL!$C$37, 17.7541, 17.7524) * CHOOSE( CONTROL!$C$20, $D$12, 100%, $F$12)</f>
        <v>17.754100000000001</v>
      </c>
      <c r="H622" s="4">
        <f>CHOOSE( CONTROL!$C$37, 18.6992, 18.6975) * CHOOSE(CONTROL!$C$20, $D$12, 100%, $F$12)</f>
        <v>18.699200000000001</v>
      </c>
      <c r="I622" s="7">
        <f>CHOOSE( CONTROL!$C$37, 17.537, 17.5354) * CHOOSE(CONTROL!$C$20, $D$12, 100%, $F$12)</f>
        <v>17.536999999999999</v>
      </c>
      <c r="J622" s="4">
        <f>CHOOSE( CONTROL!$C$37, 17.406, 17.4044) * CHOOSE(CONTROL!$C$20, $D$12, 100%, $F$12)</f>
        <v>17.405999999999999</v>
      </c>
      <c r="K622" s="4"/>
      <c r="L622" s="8">
        <v>30.7165</v>
      </c>
      <c r="M622" s="8">
        <v>12.063700000000001</v>
      </c>
      <c r="N622" s="8">
        <v>4.9444999999999997</v>
      </c>
      <c r="O622" s="8">
        <v>0.37409999999999999</v>
      </c>
      <c r="P622" s="8">
        <v>1.2927</v>
      </c>
      <c r="Q622" s="8">
        <v>19.688099999999999</v>
      </c>
      <c r="R622" s="8"/>
    </row>
    <row r="623" spans="1:18" ht="14.25" customHeight="1">
      <c r="A623" s="11">
        <v>60083</v>
      </c>
      <c r="B623" s="7">
        <f>CHOOSE( CONTROL!$C$37, 17.6718, 17.6701) * CHOOSE(CONTROL!$C$20, $D$12, 100%, $F$12)</f>
        <v>17.671800000000001</v>
      </c>
      <c r="C623" s="7">
        <f>CHOOSE( CONTROL!$C$37, 17.6798, 17.6781) * CHOOSE(CONTROL!$C$20, $D$12, 100%, $F$12)</f>
        <v>17.6798</v>
      </c>
      <c r="D623" s="7">
        <f>CHOOSE( CONTROL!$C$37, 17.6857, 17.684) * CHOOSE( CONTROL!$C$20, $D$12, 100%, $F$12)</f>
        <v>17.685700000000001</v>
      </c>
      <c r="E623" s="10">
        <f>CHOOSE( CONTROL!$C$37, 17.6823, 17.6806) * CHOOSE( CONTROL!$C$20, $D$12, 100%, $F$12)</f>
        <v>17.682300000000001</v>
      </c>
      <c r="F623" s="4">
        <f>CHOOSE( CONTROL!$C$37, 18.397, 18.3954) * CHOOSE(CONTROL!$C$20, $D$12, 100%, $F$12)</f>
        <v>18.396999999999998</v>
      </c>
      <c r="G623" s="7">
        <f>CHOOSE( CONTROL!$C$37, 17.4693, 17.4677) * CHOOSE( CONTROL!$C$20, $D$12, 100%, $F$12)</f>
        <v>17.4693</v>
      </c>
      <c r="H623" s="4">
        <f>CHOOSE( CONTROL!$C$37, 18.4142, 18.4126) * CHOOSE(CONTROL!$C$20, $D$12, 100%, $F$12)</f>
        <v>18.414200000000001</v>
      </c>
      <c r="I623" s="7">
        <f>CHOOSE( CONTROL!$C$37, 17.258, 17.2564) * CHOOSE(CONTROL!$C$20, $D$12, 100%, $F$12)</f>
        <v>17.257999999999999</v>
      </c>
      <c r="J623" s="4">
        <f>CHOOSE( CONTROL!$C$37, 17.1262, 17.1246) * CHOOSE(CONTROL!$C$20, $D$12, 100%, $F$12)</f>
        <v>17.126200000000001</v>
      </c>
      <c r="K623" s="4"/>
      <c r="L623" s="8">
        <v>29.7257</v>
      </c>
      <c r="M623" s="8">
        <v>11.6745</v>
      </c>
      <c r="N623" s="8">
        <v>4.7850000000000001</v>
      </c>
      <c r="O623" s="8">
        <v>0.36199999999999999</v>
      </c>
      <c r="P623" s="8">
        <v>1.2509999999999999</v>
      </c>
      <c r="Q623" s="8">
        <v>19.053000000000001</v>
      </c>
      <c r="R623" s="8"/>
    </row>
    <row r="624" spans="1:18" ht="14.25" customHeight="1">
      <c r="A624" s="11">
        <v>60114</v>
      </c>
      <c r="B624" s="7">
        <f>CHOOSE( CONTROL!$C$37, 18.4328, 18.4311) * CHOOSE(CONTROL!$C$20, $D$12, 100%, $F$12)</f>
        <v>18.4328</v>
      </c>
      <c r="C624" s="7">
        <f>CHOOSE( CONTROL!$C$37, 18.4408, 18.4391) * CHOOSE(CONTROL!$C$20, $D$12, 100%, $F$12)</f>
        <v>18.440799999999999</v>
      </c>
      <c r="D624" s="7">
        <f>CHOOSE( CONTROL!$C$37, 18.447, 18.4453) * CHOOSE( CONTROL!$C$20, $D$12, 100%, $F$12)</f>
        <v>18.446999999999999</v>
      </c>
      <c r="E624" s="10">
        <f>CHOOSE( CONTROL!$C$37, 18.4435, 18.4418) * CHOOSE( CONTROL!$C$20, $D$12, 100%, $F$12)</f>
        <v>18.4435</v>
      </c>
      <c r="F624" s="4">
        <f>CHOOSE( CONTROL!$C$37, 19.158, 19.1564) * CHOOSE(CONTROL!$C$20, $D$12, 100%, $F$12)</f>
        <v>19.158000000000001</v>
      </c>
      <c r="G624" s="7">
        <f>CHOOSE( CONTROL!$C$37, 18.22, 18.2183) * CHOOSE( CONTROL!$C$20, $D$12, 100%, $F$12)</f>
        <v>18.22</v>
      </c>
      <c r="H624" s="4">
        <f>CHOOSE( CONTROL!$C$37, 19.1646, 19.163) * CHOOSE(CONTROL!$C$20, $D$12, 100%, $F$12)</f>
        <v>19.1646</v>
      </c>
      <c r="I624" s="7">
        <f>CHOOSE( CONTROL!$C$37, 17.9963, 17.9947) * CHOOSE(CONTROL!$C$20, $D$12, 100%, $F$12)</f>
        <v>17.996300000000002</v>
      </c>
      <c r="J624" s="4">
        <f>CHOOSE( CONTROL!$C$37, 17.863, 17.8614) * CHOOSE(CONTROL!$C$20, $D$12, 100%, $F$12)</f>
        <v>17.863</v>
      </c>
      <c r="K624" s="4"/>
      <c r="L624" s="8">
        <v>30.7165</v>
      </c>
      <c r="M624" s="8">
        <v>12.063700000000001</v>
      </c>
      <c r="N624" s="8">
        <v>4.9444999999999997</v>
      </c>
      <c r="O624" s="8">
        <v>0.37409999999999999</v>
      </c>
      <c r="P624" s="8">
        <v>1.2927</v>
      </c>
      <c r="Q624" s="8">
        <v>19.688099999999999</v>
      </c>
      <c r="R624" s="8"/>
    </row>
    <row r="625" spans="1:18" ht="14.25" customHeight="1">
      <c r="A625" s="11">
        <v>60145</v>
      </c>
      <c r="B625" s="7">
        <f>CHOOSE( CONTROL!$C$37, 17.0088, 17.0072) * CHOOSE(CONTROL!$C$20, $D$12, 100%, $F$12)</f>
        <v>17.008800000000001</v>
      </c>
      <c r="C625" s="7">
        <f>CHOOSE( CONTROL!$C$37, 17.0168, 17.0152) * CHOOSE(CONTROL!$C$20, $D$12, 100%, $F$12)</f>
        <v>17.0168</v>
      </c>
      <c r="D625" s="7">
        <f>CHOOSE( CONTROL!$C$37, 17.0232, 17.0215) * CHOOSE( CONTROL!$C$20, $D$12, 100%, $F$12)</f>
        <v>17.023199999999999</v>
      </c>
      <c r="E625" s="10">
        <f>CHOOSE( CONTROL!$C$37, 17.0197, 17.018) * CHOOSE( CONTROL!$C$20, $D$12, 100%, $F$12)</f>
        <v>17.0197</v>
      </c>
      <c r="F625" s="4">
        <f>CHOOSE( CONTROL!$C$37, 17.7341, 17.7325) * CHOOSE(CONTROL!$C$20, $D$12, 100%, $F$12)</f>
        <v>17.734100000000002</v>
      </c>
      <c r="G625" s="7">
        <f>CHOOSE( CONTROL!$C$37, 16.816, 16.8143) * CHOOSE( CONTROL!$C$20, $D$12, 100%, $F$12)</f>
        <v>16.815999999999999</v>
      </c>
      <c r="H625" s="4">
        <f>CHOOSE( CONTROL!$C$37, 17.7606, 17.7589) * CHOOSE(CONTROL!$C$20, $D$12, 100%, $F$12)</f>
        <v>17.7606</v>
      </c>
      <c r="I625" s="7">
        <f>CHOOSE( CONTROL!$C$37, 16.6171, 16.6155) * CHOOSE(CONTROL!$C$20, $D$12, 100%, $F$12)</f>
        <v>16.617100000000001</v>
      </c>
      <c r="J625" s="4">
        <f>CHOOSE( CONTROL!$C$37, 16.4843, 16.4827) * CHOOSE(CONTROL!$C$20, $D$12, 100%, $F$12)</f>
        <v>16.484300000000001</v>
      </c>
      <c r="K625" s="4"/>
      <c r="L625" s="8">
        <v>30.7165</v>
      </c>
      <c r="M625" s="8">
        <v>12.063700000000001</v>
      </c>
      <c r="N625" s="8">
        <v>4.9444999999999997</v>
      </c>
      <c r="O625" s="8">
        <v>0.37409999999999999</v>
      </c>
      <c r="P625" s="8">
        <v>1.2927</v>
      </c>
      <c r="Q625" s="8">
        <v>19.688099999999999</v>
      </c>
      <c r="R625" s="8"/>
    </row>
    <row r="626" spans="1:18" ht="14.25" customHeight="1">
      <c r="A626" s="11">
        <v>60175</v>
      </c>
      <c r="B626" s="7">
        <f>CHOOSE( CONTROL!$C$37, 16.6523, 16.6506) * CHOOSE(CONTROL!$C$20, $D$12, 100%, $F$12)</f>
        <v>16.6523</v>
      </c>
      <c r="C626" s="7">
        <f>CHOOSE( CONTROL!$C$37, 16.6603, 16.6586) * CHOOSE(CONTROL!$C$20, $D$12, 100%, $F$12)</f>
        <v>16.660299999999999</v>
      </c>
      <c r="D626" s="7">
        <f>CHOOSE( CONTROL!$C$37, 16.6665, 16.6648) * CHOOSE( CONTROL!$C$20, $D$12, 100%, $F$12)</f>
        <v>16.666499999999999</v>
      </c>
      <c r="E626" s="10">
        <f>CHOOSE( CONTROL!$C$37, 16.663, 16.6613) * CHOOSE( CONTROL!$C$20, $D$12, 100%, $F$12)</f>
        <v>16.663</v>
      </c>
      <c r="F626" s="4">
        <f>CHOOSE( CONTROL!$C$37, 17.3776, 17.3759) * CHOOSE(CONTROL!$C$20, $D$12, 100%, $F$12)</f>
        <v>17.377600000000001</v>
      </c>
      <c r="G626" s="7">
        <f>CHOOSE( CONTROL!$C$37, 16.4643, 16.4627) * CHOOSE( CONTROL!$C$20, $D$12, 100%, $F$12)</f>
        <v>16.464300000000001</v>
      </c>
      <c r="H626" s="4">
        <f>CHOOSE( CONTROL!$C$37, 17.409, 17.4073) * CHOOSE(CONTROL!$C$20, $D$12, 100%, $F$12)</f>
        <v>17.408999999999999</v>
      </c>
      <c r="I626" s="7">
        <f>CHOOSE( CONTROL!$C$37, 16.2713, 16.2697) * CHOOSE(CONTROL!$C$20, $D$12, 100%, $F$12)</f>
        <v>16.2713</v>
      </c>
      <c r="J626" s="4">
        <f>CHOOSE( CONTROL!$C$37, 16.139, 16.1374) * CHOOSE(CONTROL!$C$20, $D$12, 100%, $F$12)</f>
        <v>16.138999999999999</v>
      </c>
      <c r="K626" s="4"/>
      <c r="L626" s="8">
        <v>29.7257</v>
      </c>
      <c r="M626" s="8">
        <v>11.6745</v>
      </c>
      <c r="N626" s="8">
        <v>4.7850000000000001</v>
      </c>
      <c r="O626" s="8">
        <v>0.36199999999999999</v>
      </c>
      <c r="P626" s="8">
        <v>1.2509999999999999</v>
      </c>
      <c r="Q626" s="8">
        <v>19.053000000000001</v>
      </c>
      <c r="R626" s="8"/>
    </row>
    <row r="627" spans="1:18" ht="14.25" customHeight="1">
      <c r="A627" s="11">
        <v>60206</v>
      </c>
      <c r="B627" s="7">
        <f>CHOOSE( CONTROL!$C$37, 17.3903, 17.3892) * CHOOSE(CONTROL!$C$20, $D$12, 100%, $F$12)</f>
        <v>17.3903</v>
      </c>
      <c r="C627" s="7">
        <f>CHOOSE( CONTROL!$C$37, 17.3957, 17.3946) * CHOOSE(CONTROL!$C$20, $D$12, 100%, $F$12)</f>
        <v>17.395700000000001</v>
      </c>
      <c r="D627" s="7">
        <f>CHOOSE( CONTROL!$C$37, 17.4077, 17.4066) * CHOOSE( CONTROL!$C$20, $D$12, 100%, $F$12)</f>
        <v>17.407699999999998</v>
      </c>
      <c r="E627" s="10">
        <f>CHOOSE( CONTROL!$C$37, 17.4032, 17.4021) * CHOOSE( CONTROL!$C$20, $D$12, 100%, $F$12)</f>
        <v>17.403199999999998</v>
      </c>
      <c r="F627" s="4">
        <f>CHOOSE( CONTROL!$C$37, 18.1173, 18.1163) * CHOOSE(CONTROL!$C$20, $D$12, 100%, $F$12)</f>
        <v>18.1173</v>
      </c>
      <c r="G627" s="7">
        <f>CHOOSE( CONTROL!$C$37, 17.1939, 17.1928) * CHOOSE( CONTROL!$C$20, $D$12, 100%, $F$12)</f>
        <v>17.193899999999999</v>
      </c>
      <c r="H627" s="4">
        <f>CHOOSE( CONTROL!$C$37, 18.1384, 18.1374) * CHOOSE(CONTROL!$C$20, $D$12, 100%, $F$12)</f>
        <v>18.138400000000001</v>
      </c>
      <c r="I627" s="7">
        <f>CHOOSE( CONTROL!$C$37, 16.9886, 16.9876) * CHOOSE(CONTROL!$C$20, $D$12, 100%, $F$12)</f>
        <v>16.988600000000002</v>
      </c>
      <c r="J627" s="4">
        <f>CHOOSE( CONTROL!$C$37, 16.8553, 16.8543) * CHOOSE(CONTROL!$C$20, $D$12, 100%, $F$12)</f>
        <v>16.8553</v>
      </c>
      <c r="K627" s="4"/>
      <c r="L627" s="8">
        <v>31.095300000000002</v>
      </c>
      <c r="M627" s="8">
        <v>12.063700000000001</v>
      </c>
      <c r="N627" s="8">
        <v>4.9444999999999997</v>
      </c>
      <c r="O627" s="8">
        <v>0.37409999999999999</v>
      </c>
      <c r="P627" s="8">
        <v>1.2927</v>
      </c>
      <c r="Q627" s="8">
        <v>19.688099999999999</v>
      </c>
      <c r="R627" s="8"/>
    </row>
    <row r="628" spans="1:18" ht="14.25" customHeight="1">
      <c r="A628" s="11">
        <v>60236</v>
      </c>
      <c r="B628" s="7">
        <f>CHOOSE( CONTROL!$C$37, 18.7565, 18.7554) * CHOOSE(CONTROL!$C$20, $D$12, 100%, $F$12)</f>
        <v>18.756499999999999</v>
      </c>
      <c r="C628" s="7">
        <f>CHOOSE( CONTROL!$C$37, 18.7616, 18.7605) * CHOOSE(CONTROL!$C$20, $D$12, 100%, $F$12)</f>
        <v>18.761600000000001</v>
      </c>
      <c r="D628" s="7">
        <f>CHOOSE( CONTROL!$C$37, 18.74, 18.7389) * CHOOSE( CONTROL!$C$20, $D$12, 100%, $F$12)</f>
        <v>18.739999999999998</v>
      </c>
      <c r="E628" s="10">
        <f>CHOOSE( CONTROL!$C$37, 18.7474, 18.7463) * CHOOSE( CONTROL!$C$20, $D$12, 100%, $F$12)</f>
        <v>18.747399999999999</v>
      </c>
      <c r="F628" s="4">
        <f>CHOOSE( CONTROL!$C$37, 19.409, 19.4079) * CHOOSE(CONTROL!$C$20, $D$12, 100%, $F$12)</f>
        <v>19.408999999999999</v>
      </c>
      <c r="G628" s="7">
        <f>CHOOSE( CONTROL!$C$37, 18.5275, 18.5264) * CHOOSE( CONTROL!$C$20, $D$12, 100%, $F$12)</f>
        <v>18.5275</v>
      </c>
      <c r="H628" s="4">
        <f>CHOOSE( CONTROL!$C$37, 19.4121, 19.411) * CHOOSE(CONTROL!$C$20, $D$12, 100%, $F$12)</f>
        <v>19.412099999999999</v>
      </c>
      <c r="I628" s="7">
        <f>CHOOSE( CONTROL!$C$37, 18.3637, 18.3626) * CHOOSE(CONTROL!$C$20, $D$12, 100%, $F$12)</f>
        <v>18.363700000000001</v>
      </c>
      <c r="J628" s="4">
        <f>CHOOSE( CONTROL!$C$37, 18.1785, 18.1775) * CHOOSE(CONTROL!$C$20, $D$12, 100%, $F$12)</f>
        <v>18.1785</v>
      </c>
      <c r="K628" s="4"/>
      <c r="L628" s="8">
        <v>28.360600000000002</v>
      </c>
      <c r="M628" s="8">
        <v>11.6745</v>
      </c>
      <c r="N628" s="8">
        <v>4.7850000000000001</v>
      </c>
      <c r="O628" s="8">
        <v>0.36199999999999999</v>
      </c>
      <c r="P628" s="8">
        <v>1.2509999999999999</v>
      </c>
      <c r="Q628" s="8">
        <v>19.053000000000001</v>
      </c>
      <c r="R628" s="8"/>
    </row>
    <row r="629" spans="1:18" ht="14.25" customHeight="1">
      <c r="A629" s="11">
        <v>60267</v>
      </c>
      <c r="B629" s="7">
        <f>CHOOSE( CONTROL!$C$37, 18.7223, 18.7212) * CHOOSE(CONTROL!$C$20, $D$12, 100%, $F$12)</f>
        <v>18.722300000000001</v>
      </c>
      <c r="C629" s="7">
        <f>CHOOSE( CONTROL!$C$37, 18.7274, 18.7263) * CHOOSE(CONTROL!$C$20, $D$12, 100%, $F$12)</f>
        <v>18.727399999999999</v>
      </c>
      <c r="D629" s="7">
        <f>CHOOSE( CONTROL!$C$37, 18.7074, 18.7064) * CHOOSE( CONTROL!$C$20, $D$12, 100%, $F$12)</f>
        <v>18.7074</v>
      </c>
      <c r="E629" s="10">
        <f>CHOOSE( CONTROL!$C$37, 18.7142, 18.7131) * CHOOSE( CONTROL!$C$20, $D$12, 100%, $F$12)</f>
        <v>18.714200000000002</v>
      </c>
      <c r="F629" s="4">
        <f>CHOOSE( CONTROL!$C$37, 19.3749, 19.3738) * CHOOSE(CONTROL!$C$20, $D$12, 100%, $F$12)</f>
        <v>19.3749</v>
      </c>
      <c r="G629" s="7">
        <f>CHOOSE( CONTROL!$C$37, 18.4949, 18.4938) * CHOOSE( CONTROL!$C$20, $D$12, 100%, $F$12)</f>
        <v>18.494900000000001</v>
      </c>
      <c r="H629" s="4">
        <f>CHOOSE( CONTROL!$C$37, 19.3784, 19.3773) * CHOOSE(CONTROL!$C$20, $D$12, 100%, $F$12)</f>
        <v>19.378399999999999</v>
      </c>
      <c r="I629" s="7">
        <f>CHOOSE( CONTROL!$C$37, 18.3355, 18.3344) * CHOOSE(CONTROL!$C$20, $D$12, 100%, $F$12)</f>
        <v>18.3355</v>
      </c>
      <c r="J629" s="4">
        <f>CHOOSE( CONTROL!$C$37, 18.1455, 18.1444) * CHOOSE(CONTROL!$C$20, $D$12, 100%, $F$12)</f>
        <v>18.145499999999998</v>
      </c>
      <c r="K629" s="4"/>
      <c r="L629" s="8">
        <v>29.306000000000001</v>
      </c>
      <c r="M629" s="8">
        <v>12.063700000000001</v>
      </c>
      <c r="N629" s="8">
        <v>4.9444999999999997</v>
      </c>
      <c r="O629" s="8">
        <v>0.37409999999999999</v>
      </c>
      <c r="P629" s="8">
        <v>1.2927</v>
      </c>
      <c r="Q629" s="8">
        <v>19.688099999999999</v>
      </c>
      <c r="R629" s="8"/>
    </row>
    <row r="630" spans="1:18" ht="14.25" customHeight="1">
      <c r="A630" s="11">
        <v>60298</v>
      </c>
      <c r="B630" s="7">
        <f>CHOOSE( CONTROL!$C$37, 19.275, 19.274) * CHOOSE(CONTROL!$C$20, $D$12, 100%, $F$12)</f>
        <v>19.274999999999999</v>
      </c>
      <c r="C630" s="7">
        <f>CHOOSE( CONTROL!$C$37, 19.2801, 19.2791) * CHOOSE(CONTROL!$C$20, $D$12, 100%, $F$12)</f>
        <v>19.280100000000001</v>
      </c>
      <c r="D630" s="7">
        <f>CHOOSE( CONTROL!$C$37, 19.2732, 19.2722) * CHOOSE( CONTROL!$C$20, $D$12, 100%, $F$12)</f>
        <v>19.273199999999999</v>
      </c>
      <c r="E630" s="10">
        <f>CHOOSE( CONTROL!$C$37, 19.2752, 19.2742) * CHOOSE( CONTROL!$C$20, $D$12, 100%, $F$12)</f>
        <v>19.275200000000002</v>
      </c>
      <c r="F630" s="4">
        <f>CHOOSE( CONTROL!$C$37, 19.9276, 19.9265) * CHOOSE(CONTROL!$C$20, $D$12, 100%, $F$12)</f>
        <v>19.927600000000002</v>
      </c>
      <c r="G630" s="7">
        <f>CHOOSE( CONTROL!$C$37, 19.0444, 19.0434) * CHOOSE( CONTROL!$C$20, $D$12, 100%, $F$12)</f>
        <v>19.0444</v>
      </c>
      <c r="H630" s="4">
        <f>CHOOSE( CONTROL!$C$37, 19.9234, 19.9223) * CHOOSE(CONTROL!$C$20, $D$12, 100%, $F$12)</f>
        <v>19.923400000000001</v>
      </c>
      <c r="I630" s="7">
        <f>CHOOSE( CONTROL!$C$37, 18.8422, 18.8412) * CHOOSE(CONTROL!$C$20, $D$12, 100%, $F$12)</f>
        <v>18.842199999999998</v>
      </c>
      <c r="J630" s="4">
        <f>CHOOSE( CONTROL!$C$37, 18.6807, 18.6796) * CHOOSE(CONTROL!$C$20, $D$12, 100%, $F$12)</f>
        <v>18.680700000000002</v>
      </c>
      <c r="K630" s="4"/>
      <c r="L630" s="8">
        <v>29.306000000000001</v>
      </c>
      <c r="M630" s="8">
        <v>12.063700000000001</v>
      </c>
      <c r="N630" s="8">
        <v>4.9444999999999997</v>
      </c>
      <c r="O630" s="8">
        <v>0.37409999999999999</v>
      </c>
      <c r="P630" s="8">
        <v>1.2927</v>
      </c>
      <c r="Q630" s="8">
        <v>19.688099999999999</v>
      </c>
      <c r="R630" s="8"/>
    </row>
    <row r="631" spans="1:18" ht="14.25" customHeight="1">
      <c r="A631" s="11">
        <v>60326</v>
      </c>
      <c r="B631" s="7">
        <f>CHOOSE( CONTROL!$C$37, 18.0279, 18.0268) * CHOOSE(CONTROL!$C$20, $D$12, 100%, $F$12)</f>
        <v>18.027899999999999</v>
      </c>
      <c r="C631" s="7">
        <f>CHOOSE( CONTROL!$C$37, 18.033, 18.0319) * CHOOSE(CONTROL!$C$20, $D$12, 100%, $F$12)</f>
        <v>18.033000000000001</v>
      </c>
      <c r="D631" s="7">
        <f>CHOOSE( CONTROL!$C$37, 18.026, 18.0249) * CHOOSE( CONTROL!$C$20, $D$12, 100%, $F$12)</f>
        <v>18.026</v>
      </c>
      <c r="E631" s="10">
        <f>CHOOSE( CONTROL!$C$37, 18.028, 18.0269) * CHOOSE( CONTROL!$C$20, $D$12, 100%, $F$12)</f>
        <v>18.027999999999999</v>
      </c>
      <c r="F631" s="4">
        <f>CHOOSE( CONTROL!$C$37, 18.6804, 18.6794) * CHOOSE(CONTROL!$C$20, $D$12, 100%, $F$12)</f>
        <v>18.680399999999999</v>
      </c>
      <c r="G631" s="7">
        <f>CHOOSE( CONTROL!$C$37, 17.8146, 17.8136) * CHOOSE( CONTROL!$C$20, $D$12, 100%, $F$12)</f>
        <v>17.814599999999999</v>
      </c>
      <c r="H631" s="4">
        <f>CHOOSE( CONTROL!$C$37, 18.6937, 18.6926) * CHOOSE(CONTROL!$C$20, $D$12, 100%, $F$12)</f>
        <v>18.6937</v>
      </c>
      <c r="I631" s="7">
        <f>CHOOSE( CONTROL!$C$37, 17.6338, 17.6327) * CHOOSE(CONTROL!$C$20, $D$12, 100%, $F$12)</f>
        <v>17.633800000000001</v>
      </c>
      <c r="J631" s="4">
        <f>CHOOSE( CONTROL!$C$37, 17.4731, 17.472) * CHOOSE(CONTROL!$C$20, $D$12, 100%, $F$12)</f>
        <v>17.473099999999999</v>
      </c>
      <c r="K631" s="4"/>
      <c r="L631" s="8">
        <v>26.469899999999999</v>
      </c>
      <c r="M631" s="8">
        <v>10.8962</v>
      </c>
      <c r="N631" s="8">
        <v>4.4660000000000002</v>
      </c>
      <c r="O631" s="8">
        <v>0.33789999999999998</v>
      </c>
      <c r="P631" s="8">
        <v>1.1676</v>
      </c>
      <c r="Q631" s="8">
        <v>17.782800000000002</v>
      </c>
      <c r="R631" s="8"/>
    </row>
    <row r="632" spans="1:18" ht="14.25" customHeight="1">
      <c r="A632" s="11">
        <v>60357</v>
      </c>
      <c r="B632" s="7">
        <f>CHOOSE( CONTROL!$C$37, 17.6438, 17.6427) * CHOOSE(CONTROL!$C$20, $D$12, 100%, $F$12)</f>
        <v>17.643799999999999</v>
      </c>
      <c r="C632" s="7">
        <f>CHOOSE( CONTROL!$C$37, 17.6489, 17.6478) * CHOOSE(CONTROL!$C$20, $D$12, 100%, $F$12)</f>
        <v>17.648900000000001</v>
      </c>
      <c r="D632" s="7">
        <f>CHOOSE( CONTROL!$C$37, 17.6413, 17.6402) * CHOOSE( CONTROL!$C$20, $D$12, 100%, $F$12)</f>
        <v>17.641300000000001</v>
      </c>
      <c r="E632" s="10">
        <f>CHOOSE( CONTROL!$C$37, 17.6435, 17.6424) * CHOOSE( CONTROL!$C$20, $D$12, 100%, $F$12)</f>
        <v>17.6435</v>
      </c>
      <c r="F632" s="4">
        <f>CHOOSE( CONTROL!$C$37, 18.2963, 18.2952) * CHOOSE(CONTROL!$C$20, $D$12, 100%, $F$12)</f>
        <v>18.296299999999999</v>
      </c>
      <c r="G632" s="7">
        <f>CHOOSE( CONTROL!$C$37, 17.4354, 17.4344) * CHOOSE( CONTROL!$C$20, $D$12, 100%, $F$12)</f>
        <v>17.435400000000001</v>
      </c>
      <c r="H632" s="4">
        <f>CHOOSE( CONTROL!$C$37, 18.3149, 18.3138) * CHOOSE(CONTROL!$C$20, $D$12, 100%, $F$12)</f>
        <v>18.314900000000002</v>
      </c>
      <c r="I632" s="7">
        <f>CHOOSE( CONTROL!$C$37, 17.2597, 17.2587) * CHOOSE(CONTROL!$C$20, $D$12, 100%, $F$12)</f>
        <v>17.259699999999999</v>
      </c>
      <c r="J632" s="4">
        <f>CHOOSE( CONTROL!$C$37, 17.1011, 17.1001) * CHOOSE(CONTROL!$C$20, $D$12, 100%, $F$12)</f>
        <v>17.101099999999999</v>
      </c>
      <c r="K632" s="4"/>
      <c r="L632" s="8">
        <v>29.306000000000001</v>
      </c>
      <c r="M632" s="8">
        <v>12.063700000000001</v>
      </c>
      <c r="N632" s="8">
        <v>4.9444999999999997</v>
      </c>
      <c r="O632" s="8">
        <v>0.37409999999999999</v>
      </c>
      <c r="P632" s="8">
        <v>1.2927</v>
      </c>
      <c r="Q632" s="8">
        <v>19.688099999999999</v>
      </c>
      <c r="R632" s="8"/>
    </row>
    <row r="633" spans="1:18" ht="14.25" customHeight="1">
      <c r="A633" s="11">
        <v>60387</v>
      </c>
      <c r="B633" s="7">
        <f>CHOOSE( CONTROL!$C$37, 17.913, 17.9119) * CHOOSE(CONTROL!$C$20, $D$12, 100%, $F$12)</f>
        <v>17.913</v>
      </c>
      <c r="C633" s="7">
        <f>CHOOSE( CONTROL!$C$37, 17.9175, 17.9164) * CHOOSE(CONTROL!$C$20, $D$12, 100%, $F$12)</f>
        <v>17.9175</v>
      </c>
      <c r="D633" s="7">
        <f>CHOOSE( CONTROL!$C$37, 17.9293, 17.9282) * CHOOSE( CONTROL!$C$20, $D$12, 100%, $F$12)</f>
        <v>17.929300000000001</v>
      </c>
      <c r="E633" s="10">
        <f>CHOOSE( CONTROL!$C$37, 17.9249, 17.9238) * CHOOSE( CONTROL!$C$20, $D$12, 100%, $F$12)</f>
        <v>17.924900000000001</v>
      </c>
      <c r="F633" s="4">
        <f>CHOOSE( CONTROL!$C$37, 18.6396, 18.6385) * CHOOSE(CONTROL!$C$20, $D$12, 100%, $F$12)</f>
        <v>18.639600000000002</v>
      </c>
      <c r="G633" s="7">
        <f>CHOOSE( CONTROL!$C$37, 17.7083, 17.7073) * CHOOSE( CONTROL!$C$20, $D$12, 100%, $F$12)</f>
        <v>17.708300000000001</v>
      </c>
      <c r="H633" s="4">
        <f>CHOOSE( CONTROL!$C$37, 18.6534, 18.6523) * CHOOSE(CONTROL!$C$20, $D$12, 100%, $F$12)</f>
        <v>18.653400000000001</v>
      </c>
      <c r="I633" s="7">
        <f>CHOOSE( CONTROL!$C$37, 17.4923, 17.4913) * CHOOSE(CONTROL!$C$20, $D$12, 100%, $F$12)</f>
        <v>17.4923</v>
      </c>
      <c r="J633" s="4">
        <f>CHOOSE( CONTROL!$C$37, 17.361, 17.36) * CHOOSE(CONTROL!$C$20, $D$12, 100%, $F$12)</f>
        <v>17.361000000000001</v>
      </c>
      <c r="K633" s="4"/>
      <c r="L633" s="8">
        <v>30.092199999999998</v>
      </c>
      <c r="M633" s="8">
        <v>11.6745</v>
      </c>
      <c r="N633" s="8">
        <v>4.7850000000000001</v>
      </c>
      <c r="O633" s="8">
        <v>0.36199999999999999</v>
      </c>
      <c r="P633" s="8">
        <v>1.2509999999999999</v>
      </c>
      <c r="Q633" s="8">
        <v>19.053000000000001</v>
      </c>
      <c r="R633" s="8"/>
    </row>
    <row r="634" spans="1:18" ht="14.25" customHeight="1">
      <c r="A634" s="11">
        <v>60418</v>
      </c>
      <c r="B634" s="7">
        <f>CHOOSE( CONTROL!$C$37, 18.3926, 18.391) * CHOOSE(CONTROL!$C$20, $D$12, 100%, $F$12)</f>
        <v>18.392600000000002</v>
      </c>
      <c r="C634" s="7">
        <f>CHOOSE( CONTROL!$C$37, 18.4006, 18.3989) * CHOOSE(CONTROL!$C$20, $D$12, 100%, $F$12)</f>
        <v>18.400600000000001</v>
      </c>
      <c r="D634" s="7">
        <f>CHOOSE( CONTROL!$C$37, 18.4063, 18.4046) * CHOOSE( CONTROL!$C$20, $D$12, 100%, $F$12)</f>
        <v>18.406300000000002</v>
      </c>
      <c r="E634" s="10">
        <f>CHOOSE( CONTROL!$C$37, 18.403, 18.4013) * CHOOSE( CONTROL!$C$20, $D$12, 100%, $F$12)</f>
        <v>18.402999999999999</v>
      </c>
      <c r="F634" s="4">
        <f>CHOOSE( CONTROL!$C$37, 19.1179, 19.1162) * CHOOSE(CONTROL!$C$20, $D$12, 100%, $F$12)</f>
        <v>19.117899999999999</v>
      </c>
      <c r="G634" s="7">
        <f>CHOOSE( CONTROL!$C$37, 18.1799, 18.1783) * CHOOSE( CONTROL!$C$20, $D$12, 100%, $F$12)</f>
        <v>18.1799</v>
      </c>
      <c r="H634" s="4">
        <f>CHOOSE( CONTROL!$C$37, 19.125, 19.1234) * CHOOSE(CONTROL!$C$20, $D$12, 100%, $F$12)</f>
        <v>19.125</v>
      </c>
      <c r="I634" s="7">
        <f>CHOOSE( CONTROL!$C$37, 17.9554, 17.9538) * CHOOSE(CONTROL!$C$20, $D$12, 100%, $F$12)</f>
        <v>17.955400000000001</v>
      </c>
      <c r="J634" s="4">
        <f>CHOOSE( CONTROL!$C$37, 17.8242, 17.8226) * CHOOSE(CONTROL!$C$20, $D$12, 100%, $F$12)</f>
        <v>17.824200000000001</v>
      </c>
      <c r="K634" s="4"/>
      <c r="L634" s="8">
        <v>30.7165</v>
      </c>
      <c r="M634" s="8">
        <v>12.063700000000001</v>
      </c>
      <c r="N634" s="8">
        <v>4.9444999999999997</v>
      </c>
      <c r="O634" s="8">
        <v>0.37409999999999999</v>
      </c>
      <c r="P634" s="8">
        <v>1.2927</v>
      </c>
      <c r="Q634" s="8">
        <v>19.688099999999999</v>
      </c>
      <c r="R634" s="8"/>
    </row>
    <row r="635" spans="1:18" ht="14.25" customHeight="1">
      <c r="A635" s="11">
        <v>60448</v>
      </c>
      <c r="B635" s="7">
        <f>CHOOSE( CONTROL!$C$37, 18.0967, 18.095) * CHOOSE(CONTROL!$C$20, $D$12, 100%, $F$12)</f>
        <v>18.096699999999998</v>
      </c>
      <c r="C635" s="7">
        <f>CHOOSE( CONTROL!$C$37, 18.1047, 18.103) * CHOOSE(CONTROL!$C$20, $D$12, 100%, $F$12)</f>
        <v>18.104700000000001</v>
      </c>
      <c r="D635" s="7">
        <f>CHOOSE( CONTROL!$C$37, 18.1106, 18.109) * CHOOSE( CONTROL!$C$20, $D$12, 100%, $F$12)</f>
        <v>18.110600000000002</v>
      </c>
      <c r="E635" s="10">
        <f>CHOOSE( CONTROL!$C$37, 18.1072, 18.1056) * CHOOSE( CONTROL!$C$20, $D$12, 100%, $F$12)</f>
        <v>18.107199999999999</v>
      </c>
      <c r="F635" s="4">
        <f>CHOOSE( CONTROL!$C$37, 18.822, 18.8203) * CHOOSE(CONTROL!$C$20, $D$12, 100%, $F$12)</f>
        <v>18.821999999999999</v>
      </c>
      <c r="G635" s="7">
        <f>CHOOSE( CONTROL!$C$37, 17.8883, 17.8867) * CHOOSE( CONTROL!$C$20, $D$12, 100%, $F$12)</f>
        <v>17.888300000000001</v>
      </c>
      <c r="H635" s="4">
        <f>CHOOSE( CONTROL!$C$37, 18.8332, 18.8316) * CHOOSE(CONTROL!$C$20, $D$12, 100%, $F$12)</f>
        <v>18.833200000000001</v>
      </c>
      <c r="I635" s="7">
        <f>CHOOSE( CONTROL!$C$37, 17.6697, 17.668) * CHOOSE(CONTROL!$C$20, $D$12, 100%, $F$12)</f>
        <v>17.669699999999999</v>
      </c>
      <c r="J635" s="4">
        <f>CHOOSE( CONTROL!$C$37, 17.5376, 17.536) * CHOOSE(CONTROL!$C$20, $D$12, 100%, $F$12)</f>
        <v>17.537600000000001</v>
      </c>
      <c r="K635" s="4"/>
      <c r="L635" s="8">
        <v>29.7257</v>
      </c>
      <c r="M635" s="8">
        <v>11.6745</v>
      </c>
      <c r="N635" s="8">
        <v>4.7850000000000001</v>
      </c>
      <c r="O635" s="8">
        <v>0.36199999999999999</v>
      </c>
      <c r="P635" s="8">
        <v>1.2509999999999999</v>
      </c>
      <c r="Q635" s="8">
        <v>19.053000000000001</v>
      </c>
      <c r="R635" s="8"/>
    </row>
    <row r="636" spans="1:18" ht="14.25" customHeight="1">
      <c r="A636" s="11">
        <v>60479</v>
      </c>
      <c r="B636" s="7">
        <f>CHOOSE( CONTROL!$C$37, 18.876, 18.8743) * CHOOSE(CONTROL!$C$20, $D$12, 100%, $F$12)</f>
        <v>18.876000000000001</v>
      </c>
      <c r="C636" s="7">
        <f>CHOOSE( CONTROL!$C$37, 18.884, 18.8823) * CHOOSE(CONTROL!$C$20, $D$12, 100%, $F$12)</f>
        <v>18.884</v>
      </c>
      <c r="D636" s="7">
        <f>CHOOSE( CONTROL!$C$37, 18.8902, 18.8885) * CHOOSE( CONTROL!$C$20, $D$12, 100%, $F$12)</f>
        <v>18.8902</v>
      </c>
      <c r="E636" s="10">
        <f>CHOOSE( CONTROL!$C$37, 18.8867, 18.885) * CHOOSE( CONTROL!$C$20, $D$12, 100%, $F$12)</f>
        <v>18.886700000000001</v>
      </c>
      <c r="F636" s="4">
        <f>CHOOSE( CONTROL!$C$37, 19.6013, 19.5996) * CHOOSE(CONTROL!$C$20, $D$12, 100%, $F$12)</f>
        <v>19.601299999999998</v>
      </c>
      <c r="G636" s="7">
        <f>CHOOSE( CONTROL!$C$37, 18.657, 18.6554) * CHOOSE( CONTROL!$C$20, $D$12, 100%, $F$12)</f>
        <v>18.657</v>
      </c>
      <c r="H636" s="4">
        <f>CHOOSE( CONTROL!$C$37, 19.6016, 19.6) * CHOOSE(CONTROL!$C$20, $D$12, 100%, $F$12)</f>
        <v>19.601600000000001</v>
      </c>
      <c r="I636" s="7">
        <f>CHOOSE( CONTROL!$C$37, 18.4256, 18.424) * CHOOSE(CONTROL!$C$20, $D$12, 100%, $F$12)</f>
        <v>18.425599999999999</v>
      </c>
      <c r="J636" s="4">
        <f>CHOOSE( CONTROL!$C$37, 18.2922, 18.2906) * CHOOSE(CONTROL!$C$20, $D$12, 100%, $F$12)</f>
        <v>18.292200000000001</v>
      </c>
      <c r="K636" s="4"/>
      <c r="L636" s="8">
        <v>30.7165</v>
      </c>
      <c r="M636" s="8">
        <v>12.063700000000001</v>
      </c>
      <c r="N636" s="8">
        <v>4.9444999999999997</v>
      </c>
      <c r="O636" s="8">
        <v>0.37409999999999999</v>
      </c>
      <c r="P636" s="8">
        <v>1.2927</v>
      </c>
      <c r="Q636" s="8">
        <v>19.688099999999999</v>
      </c>
      <c r="R636" s="8"/>
    </row>
    <row r="637" spans="1:18" ht="14.25" customHeight="1">
      <c r="A637" s="11">
        <v>60510</v>
      </c>
      <c r="B637" s="7">
        <f>CHOOSE( CONTROL!$C$37, 17.4178, 17.4162) * CHOOSE(CONTROL!$C$20, $D$12, 100%, $F$12)</f>
        <v>17.4178</v>
      </c>
      <c r="C637" s="7">
        <f>CHOOSE( CONTROL!$C$37, 17.4258, 17.4242) * CHOOSE(CONTROL!$C$20, $D$12, 100%, $F$12)</f>
        <v>17.425799999999999</v>
      </c>
      <c r="D637" s="7">
        <f>CHOOSE( CONTROL!$C$37, 17.4322, 17.4305) * CHOOSE( CONTROL!$C$20, $D$12, 100%, $F$12)</f>
        <v>17.432200000000002</v>
      </c>
      <c r="E637" s="10">
        <f>CHOOSE( CONTROL!$C$37, 17.4287, 17.427) * CHOOSE( CONTROL!$C$20, $D$12, 100%, $F$12)</f>
        <v>17.428699999999999</v>
      </c>
      <c r="F637" s="4">
        <f>CHOOSE( CONTROL!$C$37, 18.1431, 18.1415) * CHOOSE(CONTROL!$C$20, $D$12, 100%, $F$12)</f>
        <v>18.1431</v>
      </c>
      <c r="G637" s="7">
        <f>CHOOSE( CONTROL!$C$37, 17.2193, 17.2176) * CHOOSE( CONTROL!$C$20, $D$12, 100%, $F$12)</f>
        <v>17.2193</v>
      </c>
      <c r="H637" s="4">
        <f>CHOOSE( CONTROL!$C$37, 18.1639, 18.1622) * CHOOSE(CONTROL!$C$20, $D$12, 100%, $F$12)</f>
        <v>18.163900000000002</v>
      </c>
      <c r="I637" s="7">
        <f>CHOOSE( CONTROL!$C$37, 17.0133, 17.0117) * CHOOSE(CONTROL!$C$20, $D$12, 100%, $F$12)</f>
        <v>17.013300000000001</v>
      </c>
      <c r="J637" s="4">
        <f>CHOOSE( CONTROL!$C$37, 16.8803, 16.8787) * CHOOSE(CONTROL!$C$20, $D$12, 100%, $F$12)</f>
        <v>16.880299999999998</v>
      </c>
      <c r="K637" s="4"/>
      <c r="L637" s="8">
        <v>30.7165</v>
      </c>
      <c r="M637" s="8">
        <v>12.063700000000001</v>
      </c>
      <c r="N637" s="8">
        <v>4.9444999999999997</v>
      </c>
      <c r="O637" s="8">
        <v>0.37409999999999999</v>
      </c>
      <c r="P637" s="8">
        <v>1.2927</v>
      </c>
      <c r="Q637" s="8">
        <v>19.688099999999999</v>
      </c>
      <c r="R637" s="8"/>
    </row>
    <row r="638" spans="1:18" ht="14.25" customHeight="1">
      <c r="A638" s="11">
        <v>60540</v>
      </c>
      <c r="B638" s="7">
        <f>CHOOSE( CONTROL!$C$37, 17.0527, 17.0511) * CHOOSE(CONTROL!$C$20, $D$12, 100%, $F$12)</f>
        <v>17.052700000000002</v>
      </c>
      <c r="C638" s="7">
        <f>CHOOSE( CONTROL!$C$37, 17.0607, 17.0591) * CHOOSE(CONTROL!$C$20, $D$12, 100%, $F$12)</f>
        <v>17.060700000000001</v>
      </c>
      <c r="D638" s="7">
        <f>CHOOSE( CONTROL!$C$37, 17.0669, 17.0653) * CHOOSE( CONTROL!$C$20, $D$12, 100%, $F$12)</f>
        <v>17.0669</v>
      </c>
      <c r="E638" s="10">
        <f>CHOOSE( CONTROL!$C$37, 17.0634, 17.0618) * CHOOSE( CONTROL!$C$20, $D$12, 100%, $F$12)</f>
        <v>17.063400000000001</v>
      </c>
      <c r="F638" s="4">
        <f>CHOOSE( CONTROL!$C$37, 17.778, 17.7763) * CHOOSE(CONTROL!$C$20, $D$12, 100%, $F$12)</f>
        <v>17.777999999999999</v>
      </c>
      <c r="G638" s="7">
        <f>CHOOSE( CONTROL!$C$37, 16.8592, 16.8575) * CHOOSE( CONTROL!$C$20, $D$12, 100%, $F$12)</f>
        <v>16.859200000000001</v>
      </c>
      <c r="H638" s="4">
        <f>CHOOSE( CONTROL!$C$37, 17.8038, 17.8022) * CHOOSE(CONTROL!$C$20, $D$12, 100%, $F$12)</f>
        <v>17.803799999999999</v>
      </c>
      <c r="I638" s="7">
        <f>CHOOSE( CONTROL!$C$37, 16.6592, 16.6576) * CHOOSE(CONTROL!$C$20, $D$12, 100%, $F$12)</f>
        <v>16.659199999999998</v>
      </c>
      <c r="J638" s="4">
        <f>CHOOSE( CONTROL!$C$37, 16.5267, 16.5251) * CHOOSE(CONTROL!$C$20, $D$12, 100%, $F$12)</f>
        <v>16.526700000000002</v>
      </c>
      <c r="K638" s="4"/>
      <c r="L638" s="8">
        <v>29.7257</v>
      </c>
      <c r="M638" s="8">
        <v>11.6745</v>
      </c>
      <c r="N638" s="8">
        <v>4.7850000000000001</v>
      </c>
      <c r="O638" s="8">
        <v>0.36199999999999999</v>
      </c>
      <c r="P638" s="8">
        <v>1.2509999999999999</v>
      </c>
      <c r="Q638" s="8">
        <v>19.053000000000001</v>
      </c>
      <c r="R638" s="8"/>
    </row>
    <row r="639" spans="1:18" ht="14.25" customHeight="1">
      <c r="A639" s="11">
        <v>60571</v>
      </c>
      <c r="B639" s="7">
        <f>CHOOSE( CONTROL!$C$37, 17.8086, 17.8075) * CHOOSE(CONTROL!$C$20, $D$12, 100%, $F$12)</f>
        <v>17.808599999999998</v>
      </c>
      <c r="C639" s="7">
        <f>CHOOSE( CONTROL!$C$37, 17.8139, 17.8128) * CHOOSE(CONTROL!$C$20, $D$12, 100%, $F$12)</f>
        <v>17.8139</v>
      </c>
      <c r="D639" s="7">
        <f>CHOOSE( CONTROL!$C$37, 17.8259, 17.8248) * CHOOSE( CONTROL!$C$20, $D$12, 100%, $F$12)</f>
        <v>17.825900000000001</v>
      </c>
      <c r="E639" s="10">
        <f>CHOOSE( CONTROL!$C$37, 17.8214, 17.8203) * CHOOSE( CONTROL!$C$20, $D$12, 100%, $F$12)</f>
        <v>17.821400000000001</v>
      </c>
      <c r="F639" s="4">
        <f>CHOOSE( CONTROL!$C$37, 18.5356, 18.5345) * CHOOSE(CONTROL!$C$20, $D$12, 100%, $F$12)</f>
        <v>18.535599999999999</v>
      </c>
      <c r="G639" s="7">
        <f>CHOOSE( CONTROL!$C$37, 17.6063, 17.6052) * CHOOSE( CONTROL!$C$20, $D$12, 100%, $F$12)</f>
        <v>17.606300000000001</v>
      </c>
      <c r="H639" s="4">
        <f>CHOOSE( CONTROL!$C$37, 18.5508, 18.5497) * CHOOSE(CONTROL!$C$20, $D$12, 100%, $F$12)</f>
        <v>18.550799999999999</v>
      </c>
      <c r="I639" s="7">
        <f>CHOOSE( CONTROL!$C$37, 17.3938, 17.3927) * CHOOSE(CONTROL!$C$20, $D$12, 100%, $F$12)</f>
        <v>17.393799999999999</v>
      </c>
      <c r="J639" s="4">
        <f>CHOOSE( CONTROL!$C$37, 17.2603, 17.2592) * CHOOSE(CONTROL!$C$20, $D$12, 100%, $F$12)</f>
        <v>17.260300000000001</v>
      </c>
      <c r="K639" s="4"/>
      <c r="L639" s="8">
        <v>31.095300000000002</v>
      </c>
      <c r="M639" s="8">
        <v>12.063700000000001</v>
      </c>
      <c r="N639" s="8">
        <v>4.9444999999999997</v>
      </c>
      <c r="O639" s="8">
        <v>0.37409999999999999</v>
      </c>
      <c r="P639" s="8">
        <v>1.2927</v>
      </c>
      <c r="Q639" s="8">
        <v>19.688099999999999</v>
      </c>
      <c r="R639" s="8"/>
    </row>
    <row r="640" spans="1:18" ht="14.25" customHeight="1">
      <c r="A640" s="11">
        <v>60601</v>
      </c>
      <c r="B640" s="7">
        <f>CHOOSE( CONTROL!$C$37, 19.2075, 19.2064) * CHOOSE(CONTROL!$C$20, $D$12, 100%, $F$12)</f>
        <v>19.2075</v>
      </c>
      <c r="C640" s="7">
        <f>CHOOSE( CONTROL!$C$37, 19.2126, 19.2115) * CHOOSE(CONTROL!$C$20, $D$12, 100%, $F$12)</f>
        <v>19.212599999999998</v>
      </c>
      <c r="D640" s="7">
        <f>CHOOSE( CONTROL!$C$37, 19.1911, 19.19) * CHOOSE( CONTROL!$C$20, $D$12, 100%, $F$12)</f>
        <v>19.191099999999999</v>
      </c>
      <c r="E640" s="10">
        <f>CHOOSE( CONTROL!$C$37, 19.1984, 19.1973) * CHOOSE( CONTROL!$C$20, $D$12, 100%, $F$12)</f>
        <v>19.198399999999999</v>
      </c>
      <c r="F640" s="4">
        <f>CHOOSE( CONTROL!$C$37, 19.8601, 19.859) * CHOOSE(CONTROL!$C$20, $D$12, 100%, $F$12)</f>
        <v>19.860099999999999</v>
      </c>
      <c r="G640" s="7">
        <f>CHOOSE( CONTROL!$C$37, 18.9722, 18.9712) * CHOOSE( CONTROL!$C$20, $D$12, 100%, $F$12)</f>
        <v>18.972200000000001</v>
      </c>
      <c r="H640" s="4">
        <f>CHOOSE( CONTROL!$C$37, 19.8568, 19.8558) * CHOOSE(CONTROL!$C$20, $D$12, 100%, $F$12)</f>
        <v>19.8568</v>
      </c>
      <c r="I640" s="7">
        <f>CHOOSE( CONTROL!$C$37, 18.8007, 18.7996) * CHOOSE(CONTROL!$C$20, $D$12, 100%, $F$12)</f>
        <v>18.800699999999999</v>
      </c>
      <c r="J640" s="4">
        <f>CHOOSE( CONTROL!$C$37, 18.6153, 18.6142) * CHOOSE(CONTROL!$C$20, $D$12, 100%, $F$12)</f>
        <v>18.615300000000001</v>
      </c>
      <c r="K640" s="4"/>
      <c r="L640" s="8">
        <v>28.360600000000002</v>
      </c>
      <c r="M640" s="8">
        <v>11.6745</v>
      </c>
      <c r="N640" s="8">
        <v>4.7850000000000001</v>
      </c>
      <c r="O640" s="8">
        <v>0.36199999999999999</v>
      </c>
      <c r="P640" s="8">
        <v>1.2509999999999999</v>
      </c>
      <c r="Q640" s="8">
        <v>19.053000000000001</v>
      </c>
      <c r="R640" s="8"/>
    </row>
    <row r="641" spans="1:18" ht="14.25" customHeight="1">
      <c r="A641" s="11">
        <v>60632</v>
      </c>
      <c r="B641" s="7">
        <f>CHOOSE( CONTROL!$C$37, 19.1726, 19.1715) * CHOOSE(CONTROL!$C$20, $D$12, 100%, $F$12)</f>
        <v>19.172599999999999</v>
      </c>
      <c r="C641" s="7">
        <f>CHOOSE( CONTROL!$C$37, 19.1777, 19.1766) * CHOOSE(CONTROL!$C$20, $D$12, 100%, $F$12)</f>
        <v>19.177700000000002</v>
      </c>
      <c r="D641" s="7">
        <f>CHOOSE( CONTROL!$C$37, 19.1577, 19.1566) * CHOOSE( CONTROL!$C$20, $D$12, 100%, $F$12)</f>
        <v>19.157699999999998</v>
      </c>
      <c r="E641" s="10">
        <f>CHOOSE( CONTROL!$C$37, 19.1645, 19.1634) * CHOOSE( CONTROL!$C$20, $D$12, 100%, $F$12)</f>
        <v>19.1645</v>
      </c>
      <c r="F641" s="4">
        <f>CHOOSE( CONTROL!$C$37, 19.8251, 19.824) * CHOOSE(CONTROL!$C$20, $D$12, 100%, $F$12)</f>
        <v>19.825099999999999</v>
      </c>
      <c r="G641" s="7">
        <f>CHOOSE( CONTROL!$C$37, 18.9389, 18.9378) * CHOOSE( CONTROL!$C$20, $D$12, 100%, $F$12)</f>
        <v>18.9389</v>
      </c>
      <c r="H641" s="4">
        <f>CHOOSE( CONTROL!$C$37, 19.8224, 19.8213) * CHOOSE(CONTROL!$C$20, $D$12, 100%, $F$12)</f>
        <v>19.822399999999998</v>
      </c>
      <c r="I641" s="7">
        <f>CHOOSE( CONTROL!$C$37, 18.7717, 18.7706) * CHOOSE(CONTROL!$C$20, $D$12, 100%, $F$12)</f>
        <v>18.771699999999999</v>
      </c>
      <c r="J641" s="4">
        <f>CHOOSE( CONTROL!$C$37, 18.5814, 18.5804) * CHOOSE(CONTROL!$C$20, $D$12, 100%, $F$12)</f>
        <v>18.581399999999999</v>
      </c>
      <c r="K641" s="4"/>
      <c r="L641" s="8">
        <v>29.306000000000001</v>
      </c>
      <c r="M641" s="8">
        <v>12.063700000000001</v>
      </c>
      <c r="N641" s="8">
        <v>4.9444999999999997</v>
      </c>
      <c r="O641" s="8">
        <v>0.37409999999999999</v>
      </c>
      <c r="P641" s="8">
        <v>1.2927</v>
      </c>
      <c r="Q641" s="8">
        <v>19.688099999999999</v>
      </c>
      <c r="R641" s="8"/>
    </row>
    <row r="642" spans="1:18" ht="14.25" customHeight="1">
      <c r="A642" s="11">
        <v>60663</v>
      </c>
      <c r="B642" s="7">
        <f>CHOOSE( CONTROL!$C$37, 19.7386, 19.7375) * CHOOSE(CONTROL!$C$20, $D$12, 100%, $F$12)</f>
        <v>19.738600000000002</v>
      </c>
      <c r="C642" s="7">
        <f>CHOOSE( CONTROL!$C$37, 19.7437, 19.7426) * CHOOSE(CONTROL!$C$20, $D$12, 100%, $F$12)</f>
        <v>19.7437</v>
      </c>
      <c r="D642" s="7">
        <f>CHOOSE( CONTROL!$C$37, 19.7368, 19.7357) * CHOOSE( CONTROL!$C$20, $D$12, 100%, $F$12)</f>
        <v>19.736799999999999</v>
      </c>
      <c r="E642" s="10">
        <f>CHOOSE( CONTROL!$C$37, 19.7388, 19.7377) * CHOOSE( CONTROL!$C$20, $D$12, 100%, $F$12)</f>
        <v>19.738800000000001</v>
      </c>
      <c r="F642" s="4">
        <f>CHOOSE( CONTROL!$C$37, 20.3911, 20.39) * CHOOSE(CONTROL!$C$20, $D$12, 100%, $F$12)</f>
        <v>20.391100000000002</v>
      </c>
      <c r="G642" s="7">
        <f>CHOOSE( CONTROL!$C$37, 19.5015, 19.5004) * CHOOSE( CONTROL!$C$20, $D$12, 100%, $F$12)</f>
        <v>19.5015</v>
      </c>
      <c r="H642" s="4">
        <f>CHOOSE( CONTROL!$C$37, 20.3805, 20.3794) * CHOOSE(CONTROL!$C$20, $D$12, 100%, $F$12)</f>
        <v>20.380500000000001</v>
      </c>
      <c r="I642" s="7">
        <f>CHOOSE( CONTROL!$C$37, 19.2913, 19.2902) * CHOOSE(CONTROL!$C$20, $D$12, 100%, $F$12)</f>
        <v>19.2913</v>
      </c>
      <c r="J642" s="4">
        <f>CHOOSE( CONTROL!$C$37, 19.1295, 19.1285) * CHOOSE(CONTROL!$C$20, $D$12, 100%, $F$12)</f>
        <v>19.1295</v>
      </c>
      <c r="K642" s="4"/>
      <c r="L642" s="8">
        <v>29.306000000000001</v>
      </c>
      <c r="M642" s="8">
        <v>12.063700000000001</v>
      </c>
      <c r="N642" s="8">
        <v>4.9444999999999997</v>
      </c>
      <c r="O642" s="8">
        <v>0.37409999999999999</v>
      </c>
      <c r="P642" s="8">
        <v>1.2927</v>
      </c>
      <c r="Q642" s="8">
        <v>19.688099999999999</v>
      </c>
      <c r="R642" s="8"/>
    </row>
    <row r="643" spans="1:18" ht="14.25" customHeight="1">
      <c r="A643" s="11">
        <v>60691</v>
      </c>
      <c r="B643" s="7">
        <f>CHOOSE( CONTROL!$C$37, 18.4615, 18.4604) * CHOOSE(CONTROL!$C$20, $D$12, 100%, $F$12)</f>
        <v>18.461500000000001</v>
      </c>
      <c r="C643" s="7">
        <f>CHOOSE( CONTROL!$C$37, 18.4666, 18.4655) * CHOOSE(CONTROL!$C$20, $D$12, 100%, $F$12)</f>
        <v>18.4666</v>
      </c>
      <c r="D643" s="7">
        <f>CHOOSE( CONTROL!$C$37, 18.4596, 18.4585) * CHOOSE( CONTROL!$C$20, $D$12, 100%, $F$12)</f>
        <v>18.459599999999998</v>
      </c>
      <c r="E643" s="10">
        <f>CHOOSE( CONTROL!$C$37, 18.4616, 18.4605) * CHOOSE( CONTROL!$C$20, $D$12, 100%, $F$12)</f>
        <v>18.461600000000001</v>
      </c>
      <c r="F643" s="4">
        <f>CHOOSE( CONTROL!$C$37, 19.114, 19.1129) * CHOOSE(CONTROL!$C$20, $D$12, 100%, $F$12)</f>
        <v>19.114000000000001</v>
      </c>
      <c r="G643" s="7">
        <f>CHOOSE( CONTROL!$C$37, 18.2421, 18.2411) * CHOOSE( CONTROL!$C$20, $D$12, 100%, $F$12)</f>
        <v>18.242100000000001</v>
      </c>
      <c r="H643" s="4">
        <f>CHOOSE( CONTROL!$C$37, 19.1212, 19.1201) * CHOOSE(CONTROL!$C$20, $D$12, 100%, $F$12)</f>
        <v>19.121200000000002</v>
      </c>
      <c r="I643" s="7">
        <f>CHOOSE( CONTROL!$C$37, 18.0538, 18.0527) * CHOOSE(CONTROL!$C$20, $D$12, 100%, $F$12)</f>
        <v>18.053799999999999</v>
      </c>
      <c r="J643" s="4">
        <f>CHOOSE( CONTROL!$C$37, 17.8929, 17.8918) * CHOOSE(CONTROL!$C$20, $D$12, 100%, $F$12)</f>
        <v>17.892900000000001</v>
      </c>
      <c r="K643" s="4"/>
      <c r="L643" s="8">
        <v>26.469899999999999</v>
      </c>
      <c r="M643" s="8">
        <v>10.8962</v>
      </c>
      <c r="N643" s="8">
        <v>4.4660000000000002</v>
      </c>
      <c r="O643" s="8">
        <v>0.33789999999999998</v>
      </c>
      <c r="P643" s="8">
        <v>1.1676</v>
      </c>
      <c r="Q643" s="8">
        <v>17.782800000000002</v>
      </c>
      <c r="R643" s="8"/>
    </row>
    <row r="644" spans="1:18" ht="14.25" customHeight="1">
      <c r="A644" s="11">
        <v>60722</v>
      </c>
      <c r="B644" s="7">
        <f>CHOOSE( CONTROL!$C$37, 18.0681, 18.067) * CHOOSE(CONTROL!$C$20, $D$12, 100%, $F$12)</f>
        <v>18.068100000000001</v>
      </c>
      <c r="C644" s="7">
        <f>CHOOSE( CONTROL!$C$37, 18.0732, 18.0721) * CHOOSE(CONTROL!$C$20, $D$12, 100%, $F$12)</f>
        <v>18.0732</v>
      </c>
      <c r="D644" s="7">
        <f>CHOOSE( CONTROL!$C$37, 18.0656, 18.0645) * CHOOSE( CONTROL!$C$20, $D$12, 100%, $F$12)</f>
        <v>18.0656</v>
      </c>
      <c r="E644" s="10">
        <f>CHOOSE( CONTROL!$C$37, 18.0678, 18.0667) * CHOOSE( CONTROL!$C$20, $D$12, 100%, $F$12)</f>
        <v>18.067799999999998</v>
      </c>
      <c r="F644" s="4">
        <f>CHOOSE( CONTROL!$C$37, 18.7206, 18.7196) * CHOOSE(CONTROL!$C$20, $D$12, 100%, $F$12)</f>
        <v>18.720600000000001</v>
      </c>
      <c r="G644" s="7">
        <f>CHOOSE( CONTROL!$C$37, 17.8538, 17.8528) * CHOOSE( CONTROL!$C$20, $D$12, 100%, $F$12)</f>
        <v>17.8538</v>
      </c>
      <c r="H644" s="4">
        <f>CHOOSE( CONTROL!$C$37, 18.7333, 18.7322) * CHOOSE(CONTROL!$C$20, $D$12, 100%, $F$12)</f>
        <v>18.7333</v>
      </c>
      <c r="I644" s="7">
        <f>CHOOSE( CONTROL!$C$37, 17.6708, 17.6697) * CHOOSE(CONTROL!$C$20, $D$12, 100%, $F$12)</f>
        <v>17.6708</v>
      </c>
      <c r="J644" s="4">
        <f>CHOOSE( CONTROL!$C$37, 17.512, 17.511) * CHOOSE(CONTROL!$C$20, $D$12, 100%, $F$12)</f>
        <v>17.512</v>
      </c>
      <c r="K644" s="4"/>
      <c r="L644" s="8">
        <v>29.306000000000001</v>
      </c>
      <c r="M644" s="8">
        <v>12.063700000000001</v>
      </c>
      <c r="N644" s="8">
        <v>4.9444999999999997</v>
      </c>
      <c r="O644" s="8">
        <v>0.37409999999999999</v>
      </c>
      <c r="P644" s="8">
        <v>1.2927</v>
      </c>
      <c r="Q644" s="8">
        <v>19.688099999999999</v>
      </c>
      <c r="R644" s="8"/>
    </row>
    <row r="645" spans="1:18" ht="14.25" customHeight="1">
      <c r="A645" s="11">
        <v>60752</v>
      </c>
      <c r="B645" s="7">
        <f>CHOOSE( CONTROL!$C$37, 18.3437, 18.3426) * CHOOSE(CONTROL!$C$20, $D$12, 100%, $F$12)</f>
        <v>18.343699999999998</v>
      </c>
      <c r="C645" s="7">
        <f>CHOOSE( CONTROL!$C$37, 18.3483, 18.3472) * CHOOSE(CONTROL!$C$20, $D$12, 100%, $F$12)</f>
        <v>18.348299999999998</v>
      </c>
      <c r="D645" s="7">
        <f>CHOOSE( CONTROL!$C$37, 18.3601, 18.359) * CHOOSE( CONTROL!$C$20, $D$12, 100%, $F$12)</f>
        <v>18.360099999999999</v>
      </c>
      <c r="E645" s="10">
        <f>CHOOSE( CONTROL!$C$37, 18.3557, 18.3546) * CHOOSE( CONTROL!$C$20, $D$12, 100%, $F$12)</f>
        <v>18.355699999999999</v>
      </c>
      <c r="F645" s="4">
        <f>CHOOSE( CONTROL!$C$37, 19.0704, 19.0693) * CHOOSE(CONTROL!$C$20, $D$12, 100%, $F$12)</f>
        <v>19.070399999999999</v>
      </c>
      <c r="G645" s="7">
        <f>CHOOSE( CONTROL!$C$37, 18.1331, 18.132) * CHOOSE( CONTROL!$C$20, $D$12, 100%, $F$12)</f>
        <v>18.133099999999999</v>
      </c>
      <c r="H645" s="4">
        <f>CHOOSE( CONTROL!$C$37, 19.0782, 19.0771) * CHOOSE(CONTROL!$C$20, $D$12, 100%, $F$12)</f>
        <v>19.078199999999999</v>
      </c>
      <c r="I645" s="7">
        <f>CHOOSE( CONTROL!$C$37, 17.9096, 17.9086) * CHOOSE(CONTROL!$C$20, $D$12, 100%, $F$12)</f>
        <v>17.909600000000001</v>
      </c>
      <c r="J645" s="4">
        <f>CHOOSE( CONTROL!$C$37, 17.7782, 17.7771) * CHOOSE(CONTROL!$C$20, $D$12, 100%, $F$12)</f>
        <v>17.778199999999998</v>
      </c>
      <c r="K645" s="4"/>
      <c r="L645" s="8">
        <v>30.092199999999998</v>
      </c>
      <c r="M645" s="8">
        <v>11.6745</v>
      </c>
      <c r="N645" s="8">
        <v>4.7850000000000001</v>
      </c>
      <c r="O645" s="8">
        <v>0.36199999999999999</v>
      </c>
      <c r="P645" s="8">
        <v>1.2509999999999999</v>
      </c>
      <c r="Q645" s="8">
        <v>19.053000000000001</v>
      </c>
      <c r="R645" s="8"/>
    </row>
    <row r="646" spans="1:18" ht="14.25" customHeight="1">
      <c r="A646" s="11">
        <v>60783</v>
      </c>
      <c r="B646" s="7">
        <f>CHOOSE( CONTROL!$C$37, 18.8349, 18.8332) * CHOOSE(CONTROL!$C$20, $D$12, 100%, $F$12)</f>
        <v>18.834900000000001</v>
      </c>
      <c r="C646" s="7">
        <f>CHOOSE( CONTROL!$C$37, 18.8429, 18.8412) * CHOOSE(CONTROL!$C$20, $D$12, 100%, $F$12)</f>
        <v>18.8429</v>
      </c>
      <c r="D646" s="7">
        <f>CHOOSE( CONTROL!$C$37, 18.8485, 18.8469) * CHOOSE( CONTROL!$C$20, $D$12, 100%, $F$12)</f>
        <v>18.848500000000001</v>
      </c>
      <c r="E646" s="10">
        <f>CHOOSE( CONTROL!$C$37, 18.8453, 18.8436) * CHOOSE( CONTROL!$C$20, $D$12, 100%, $F$12)</f>
        <v>18.845300000000002</v>
      </c>
      <c r="F646" s="4">
        <f>CHOOSE( CONTROL!$C$37, 19.5601, 19.5585) * CHOOSE(CONTROL!$C$20, $D$12, 100%, $F$12)</f>
        <v>19.560099999999998</v>
      </c>
      <c r="G646" s="7">
        <f>CHOOSE( CONTROL!$C$37, 18.616, 18.6144) * CHOOSE( CONTROL!$C$20, $D$12, 100%, $F$12)</f>
        <v>18.616</v>
      </c>
      <c r="H646" s="4">
        <f>CHOOSE( CONTROL!$C$37, 19.5611, 19.5595) * CHOOSE(CONTROL!$C$20, $D$12, 100%, $F$12)</f>
        <v>19.5611</v>
      </c>
      <c r="I646" s="7">
        <f>CHOOSE( CONTROL!$C$37, 18.3838, 18.3822) * CHOOSE(CONTROL!$C$20, $D$12, 100%, $F$12)</f>
        <v>18.383800000000001</v>
      </c>
      <c r="J646" s="4">
        <f>CHOOSE( CONTROL!$C$37, 18.2524, 18.2508) * CHOOSE(CONTROL!$C$20, $D$12, 100%, $F$12)</f>
        <v>18.252400000000002</v>
      </c>
      <c r="K646" s="4"/>
      <c r="L646" s="8">
        <v>30.7165</v>
      </c>
      <c r="M646" s="8">
        <v>12.063700000000001</v>
      </c>
      <c r="N646" s="8">
        <v>4.9444999999999997</v>
      </c>
      <c r="O646" s="8">
        <v>0.37409999999999999</v>
      </c>
      <c r="P646" s="8">
        <v>1.2927</v>
      </c>
      <c r="Q646" s="8">
        <v>19.688099999999999</v>
      </c>
      <c r="R646" s="8"/>
    </row>
    <row r="647" spans="1:18" ht="14.25" customHeight="1">
      <c r="A647" s="11">
        <v>60813</v>
      </c>
      <c r="B647" s="7">
        <f>CHOOSE( CONTROL!$C$37, 18.5318, 18.5302) * CHOOSE(CONTROL!$C$20, $D$12, 100%, $F$12)</f>
        <v>18.5318</v>
      </c>
      <c r="C647" s="7">
        <f>CHOOSE( CONTROL!$C$37, 18.5398, 18.5382) * CHOOSE(CONTROL!$C$20, $D$12, 100%, $F$12)</f>
        <v>18.5398</v>
      </c>
      <c r="D647" s="7">
        <f>CHOOSE( CONTROL!$C$37, 18.5458, 18.5441) * CHOOSE( CONTROL!$C$20, $D$12, 100%, $F$12)</f>
        <v>18.5458</v>
      </c>
      <c r="E647" s="10">
        <f>CHOOSE( CONTROL!$C$37, 18.5424, 18.5407) * CHOOSE( CONTROL!$C$20, $D$12, 100%, $F$12)</f>
        <v>18.542400000000001</v>
      </c>
      <c r="F647" s="4">
        <f>CHOOSE( CONTROL!$C$37, 19.2571, 19.2555) * CHOOSE(CONTROL!$C$20, $D$12, 100%, $F$12)</f>
        <v>19.257100000000001</v>
      </c>
      <c r="G647" s="7">
        <f>CHOOSE( CONTROL!$C$37, 18.3174, 18.3158) * CHOOSE( CONTROL!$C$20, $D$12, 100%, $F$12)</f>
        <v>18.317399999999999</v>
      </c>
      <c r="H647" s="4">
        <f>CHOOSE( CONTROL!$C$37, 19.2623, 19.2607) * CHOOSE(CONTROL!$C$20, $D$12, 100%, $F$12)</f>
        <v>19.2623</v>
      </c>
      <c r="I647" s="7">
        <f>CHOOSE( CONTROL!$C$37, 18.0912, 18.0896) * CHOOSE(CONTROL!$C$20, $D$12, 100%, $F$12)</f>
        <v>18.091200000000001</v>
      </c>
      <c r="J647" s="4">
        <f>CHOOSE( CONTROL!$C$37, 17.959, 17.9574) * CHOOSE(CONTROL!$C$20, $D$12, 100%, $F$12)</f>
        <v>17.959</v>
      </c>
      <c r="K647" s="4"/>
      <c r="L647" s="8">
        <v>29.7257</v>
      </c>
      <c r="M647" s="8">
        <v>11.6745</v>
      </c>
      <c r="N647" s="8">
        <v>4.7850000000000001</v>
      </c>
      <c r="O647" s="8">
        <v>0.36199999999999999</v>
      </c>
      <c r="P647" s="8">
        <v>1.2509999999999999</v>
      </c>
      <c r="Q647" s="8">
        <v>19.053000000000001</v>
      </c>
      <c r="R647" s="8"/>
    </row>
    <row r="648" spans="1:18" ht="14.25" customHeight="1">
      <c r="A648" s="11">
        <v>60844</v>
      </c>
      <c r="B648" s="7">
        <f>CHOOSE( CONTROL!$C$37, 19.3298, 19.3282) * CHOOSE(CONTROL!$C$20, $D$12, 100%, $F$12)</f>
        <v>19.329799999999999</v>
      </c>
      <c r="C648" s="7">
        <f>CHOOSE( CONTROL!$C$37, 19.3378, 19.3362) * CHOOSE(CONTROL!$C$20, $D$12, 100%, $F$12)</f>
        <v>19.337800000000001</v>
      </c>
      <c r="D648" s="7">
        <f>CHOOSE( CONTROL!$C$37, 19.3441, 19.3424) * CHOOSE( CONTROL!$C$20, $D$12, 100%, $F$12)</f>
        <v>19.344100000000001</v>
      </c>
      <c r="E648" s="10">
        <f>CHOOSE( CONTROL!$C$37, 19.3406, 19.3389) * CHOOSE( CONTROL!$C$20, $D$12, 100%, $F$12)</f>
        <v>19.340599999999998</v>
      </c>
      <c r="F648" s="4">
        <f>CHOOSE( CONTROL!$C$37, 20.0551, 20.0535) * CHOOSE(CONTROL!$C$20, $D$12, 100%, $F$12)</f>
        <v>20.055099999999999</v>
      </c>
      <c r="G648" s="7">
        <f>CHOOSE( CONTROL!$C$37, 19.1045, 19.1029) * CHOOSE( CONTROL!$C$20, $D$12, 100%, $F$12)</f>
        <v>19.104500000000002</v>
      </c>
      <c r="H648" s="4">
        <f>CHOOSE( CONTROL!$C$37, 20.0492, 20.0475) * CHOOSE(CONTROL!$C$20, $D$12, 100%, $F$12)</f>
        <v>20.049199999999999</v>
      </c>
      <c r="I648" s="7">
        <f>CHOOSE( CONTROL!$C$37, 18.8653, 18.8637) * CHOOSE(CONTROL!$C$20, $D$12, 100%, $F$12)</f>
        <v>18.865300000000001</v>
      </c>
      <c r="J648" s="4">
        <f>CHOOSE( CONTROL!$C$37, 18.7317, 18.7301) * CHOOSE(CONTROL!$C$20, $D$12, 100%, $F$12)</f>
        <v>18.7317</v>
      </c>
      <c r="K648" s="4"/>
      <c r="L648" s="8">
        <v>30.7165</v>
      </c>
      <c r="M648" s="8">
        <v>12.063700000000001</v>
      </c>
      <c r="N648" s="8">
        <v>4.9444999999999997</v>
      </c>
      <c r="O648" s="8">
        <v>0.37409999999999999</v>
      </c>
      <c r="P648" s="8">
        <v>1.2927</v>
      </c>
      <c r="Q648" s="8">
        <v>19.688099999999999</v>
      </c>
      <c r="R648" s="8"/>
    </row>
    <row r="649" spans="1:18" ht="14.25" customHeight="1">
      <c r="A649" s="11">
        <v>60875</v>
      </c>
      <c r="B649" s="7">
        <f>CHOOSE( CONTROL!$C$37, 17.8367, 17.835) * CHOOSE(CONTROL!$C$20, $D$12, 100%, $F$12)</f>
        <v>17.8367</v>
      </c>
      <c r="C649" s="7">
        <f>CHOOSE( CONTROL!$C$37, 17.8447, 17.843) * CHOOSE(CONTROL!$C$20, $D$12, 100%, $F$12)</f>
        <v>17.8447</v>
      </c>
      <c r="D649" s="7">
        <f>CHOOSE( CONTROL!$C$37, 17.851, 17.8493) * CHOOSE( CONTROL!$C$20, $D$12, 100%, $F$12)</f>
        <v>17.850999999999999</v>
      </c>
      <c r="E649" s="10">
        <f>CHOOSE( CONTROL!$C$37, 17.8475, 17.8458) * CHOOSE( CONTROL!$C$20, $D$12, 100%, $F$12)</f>
        <v>17.8475</v>
      </c>
      <c r="F649" s="4">
        <f>CHOOSE( CONTROL!$C$37, 18.562, 18.5603) * CHOOSE(CONTROL!$C$20, $D$12, 100%, $F$12)</f>
        <v>18.562000000000001</v>
      </c>
      <c r="G649" s="7">
        <f>CHOOSE( CONTROL!$C$37, 17.6323, 17.6306) * CHOOSE( CONTROL!$C$20, $D$12, 100%, $F$12)</f>
        <v>17.632300000000001</v>
      </c>
      <c r="H649" s="4">
        <f>CHOOSE( CONTROL!$C$37, 18.5768, 18.5752) * CHOOSE(CONTROL!$C$20, $D$12, 100%, $F$12)</f>
        <v>18.576799999999999</v>
      </c>
      <c r="I649" s="7">
        <f>CHOOSE( CONTROL!$C$37, 17.4191, 17.4175) * CHOOSE(CONTROL!$C$20, $D$12, 100%, $F$12)</f>
        <v>17.4191</v>
      </c>
      <c r="J649" s="4">
        <f>CHOOSE( CONTROL!$C$37, 17.2859, 17.2842) * CHOOSE(CONTROL!$C$20, $D$12, 100%, $F$12)</f>
        <v>17.285900000000002</v>
      </c>
      <c r="K649" s="4"/>
      <c r="L649" s="8">
        <v>30.7165</v>
      </c>
      <c r="M649" s="8">
        <v>12.063700000000001</v>
      </c>
      <c r="N649" s="8">
        <v>4.9444999999999997</v>
      </c>
      <c r="O649" s="8">
        <v>0.37409999999999999</v>
      </c>
      <c r="P649" s="8">
        <v>1.2927</v>
      </c>
      <c r="Q649" s="8">
        <v>19.688099999999999</v>
      </c>
      <c r="R649" s="8"/>
    </row>
    <row r="650" spans="1:18" ht="14.25" customHeight="1">
      <c r="A650" s="11">
        <v>60905</v>
      </c>
      <c r="B650" s="7">
        <f>CHOOSE( CONTROL!$C$37, 17.4628, 17.4611) * CHOOSE(CONTROL!$C$20, $D$12, 100%, $F$12)</f>
        <v>17.462800000000001</v>
      </c>
      <c r="C650" s="7">
        <f>CHOOSE( CONTROL!$C$37, 17.4708, 17.4691) * CHOOSE(CONTROL!$C$20, $D$12, 100%, $F$12)</f>
        <v>17.470800000000001</v>
      </c>
      <c r="D650" s="7">
        <f>CHOOSE( CONTROL!$C$37, 17.477, 17.4753) * CHOOSE( CONTROL!$C$20, $D$12, 100%, $F$12)</f>
        <v>17.477</v>
      </c>
      <c r="E650" s="10">
        <f>CHOOSE( CONTROL!$C$37, 17.4735, 17.4718) * CHOOSE( CONTROL!$C$20, $D$12, 100%, $F$12)</f>
        <v>17.473500000000001</v>
      </c>
      <c r="F650" s="4">
        <f>CHOOSE( CONTROL!$C$37, 18.1881, 18.1864) * CHOOSE(CONTROL!$C$20, $D$12, 100%, $F$12)</f>
        <v>18.188099999999999</v>
      </c>
      <c r="G650" s="7">
        <f>CHOOSE( CONTROL!$C$37, 17.2635, 17.2619) * CHOOSE( CONTROL!$C$20, $D$12, 100%, $F$12)</f>
        <v>17.263500000000001</v>
      </c>
      <c r="H650" s="4">
        <f>CHOOSE( CONTROL!$C$37, 18.2082, 18.2065) * CHOOSE(CONTROL!$C$20, $D$12, 100%, $F$12)</f>
        <v>18.208200000000001</v>
      </c>
      <c r="I650" s="7">
        <f>CHOOSE( CONTROL!$C$37, 17.0565, 17.0549) * CHOOSE(CONTROL!$C$20, $D$12, 100%, $F$12)</f>
        <v>17.0565</v>
      </c>
      <c r="J650" s="4">
        <f>CHOOSE( CONTROL!$C$37, 16.9238, 16.9222) * CHOOSE(CONTROL!$C$20, $D$12, 100%, $F$12)</f>
        <v>16.9238</v>
      </c>
      <c r="K650" s="4"/>
      <c r="L650" s="8">
        <v>29.7257</v>
      </c>
      <c r="M650" s="8">
        <v>11.6745</v>
      </c>
      <c r="N650" s="8">
        <v>4.7850000000000001</v>
      </c>
      <c r="O650" s="8">
        <v>0.36199999999999999</v>
      </c>
      <c r="P650" s="8">
        <v>1.2509999999999999</v>
      </c>
      <c r="Q650" s="8">
        <v>19.053000000000001</v>
      </c>
      <c r="R650" s="8"/>
    </row>
    <row r="651" spans="1:18" ht="14.25" customHeight="1">
      <c r="A651" s="11">
        <v>60936</v>
      </c>
      <c r="B651" s="7">
        <f>CHOOSE( CONTROL!$C$37, 18.2368, 18.2357) * CHOOSE(CONTROL!$C$20, $D$12, 100%, $F$12)</f>
        <v>18.236799999999999</v>
      </c>
      <c r="C651" s="7">
        <f>CHOOSE( CONTROL!$C$37, 18.2422, 18.2411) * CHOOSE(CONTROL!$C$20, $D$12, 100%, $F$12)</f>
        <v>18.2422</v>
      </c>
      <c r="D651" s="7">
        <f>CHOOSE( CONTROL!$C$37, 18.2542, 18.2531) * CHOOSE( CONTROL!$C$20, $D$12, 100%, $F$12)</f>
        <v>18.254200000000001</v>
      </c>
      <c r="E651" s="10">
        <f>CHOOSE( CONTROL!$C$37, 18.2497, 18.2486) * CHOOSE( CONTROL!$C$20, $D$12, 100%, $F$12)</f>
        <v>18.249700000000001</v>
      </c>
      <c r="F651" s="4">
        <f>CHOOSE( CONTROL!$C$37, 18.9638, 18.9627) * CHOOSE(CONTROL!$C$20, $D$12, 100%, $F$12)</f>
        <v>18.963799999999999</v>
      </c>
      <c r="G651" s="7">
        <f>CHOOSE( CONTROL!$C$37, 18.0286, 18.0275) * CHOOSE( CONTROL!$C$20, $D$12, 100%, $F$12)</f>
        <v>18.028600000000001</v>
      </c>
      <c r="H651" s="4">
        <f>CHOOSE( CONTROL!$C$37, 18.9731, 18.972) * CHOOSE(CONTROL!$C$20, $D$12, 100%, $F$12)</f>
        <v>18.973099999999999</v>
      </c>
      <c r="I651" s="7">
        <f>CHOOSE( CONTROL!$C$37, 17.8087, 17.8077) * CHOOSE(CONTROL!$C$20, $D$12, 100%, $F$12)</f>
        <v>17.808700000000002</v>
      </c>
      <c r="J651" s="4">
        <f>CHOOSE( CONTROL!$C$37, 17.675, 17.6739) * CHOOSE(CONTROL!$C$20, $D$12, 100%, $F$12)</f>
        <v>17.675000000000001</v>
      </c>
      <c r="K651" s="4"/>
      <c r="L651" s="8">
        <v>31.095300000000002</v>
      </c>
      <c r="M651" s="8">
        <v>12.063700000000001</v>
      </c>
      <c r="N651" s="8">
        <v>4.9444999999999997</v>
      </c>
      <c r="O651" s="8">
        <v>0.37409999999999999</v>
      </c>
      <c r="P651" s="8">
        <v>1.2927</v>
      </c>
      <c r="Q651" s="8">
        <v>19.688099999999999</v>
      </c>
      <c r="R651" s="8"/>
    </row>
    <row r="652" spans="1:18" ht="14.25" customHeight="1">
      <c r="A652" s="11">
        <v>60966</v>
      </c>
      <c r="B652" s="7">
        <f>CHOOSE( CONTROL!$C$37, 19.6694, 19.6683) * CHOOSE(CONTROL!$C$20, $D$12, 100%, $F$12)</f>
        <v>19.6694</v>
      </c>
      <c r="C652" s="7">
        <f>CHOOSE( CONTROL!$C$37, 19.6745, 19.6734) * CHOOSE(CONTROL!$C$20, $D$12, 100%, $F$12)</f>
        <v>19.674499999999998</v>
      </c>
      <c r="D652" s="7">
        <f>CHOOSE( CONTROL!$C$37, 19.653, 19.6519) * CHOOSE( CONTROL!$C$20, $D$12, 100%, $F$12)</f>
        <v>19.652999999999999</v>
      </c>
      <c r="E652" s="10">
        <f>CHOOSE( CONTROL!$C$37, 19.6603, 19.6592) * CHOOSE( CONTROL!$C$20, $D$12, 100%, $F$12)</f>
        <v>19.660299999999999</v>
      </c>
      <c r="F652" s="4">
        <f>CHOOSE( CONTROL!$C$37, 20.322, 20.3209) * CHOOSE(CONTROL!$C$20, $D$12, 100%, $F$12)</f>
        <v>20.321999999999999</v>
      </c>
      <c r="G652" s="7">
        <f>CHOOSE( CONTROL!$C$37, 19.4277, 19.4266) * CHOOSE( CONTROL!$C$20, $D$12, 100%, $F$12)</f>
        <v>19.427700000000002</v>
      </c>
      <c r="H652" s="4">
        <f>CHOOSE( CONTROL!$C$37, 20.3123, 20.3112) * CHOOSE(CONTROL!$C$20, $D$12, 100%, $F$12)</f>
        <v>20.3123</v>
      </c>
      <c r="I652" s="7">
        <f>CHOOSE( CONTROL!$C$37, 19.2481, 19.2471) * CHOOSE(CONTROL!$C$20, $D$12, 100%, $F$12)</f>
        <v>19.248100000000001</v>
      </c>
      <c r="J652" s="4">
        <f>CHOOSE( CONTROL!$C$37, 19.0626, 19.0615) * CHOOSE(CONTROL!$C$20, $D$12, 100%, $F$12)</f>
        <v>19.0626</v>
      </c>
      <c r="K652" s="4"/>
      <c r="L652" s="8">
        <v>28.360600000000002</v>
      </c>
      <c r="M652" s="8">
        <v>11.6745</v>
      </c>
      <c r="N652" s="8">
        <v>4.7850000000000001</v>
      </c>
      <c r="O652" s="8">
        <v>0.36199999999999999</v>
      </c>
      <c r="P652" s="8">
        <v>1.2509999999999999</v>
      </c>
      <c r="Q652" s="8">
        <v>19.053000000000001</v>
      </c>
      <c r="R652" s="8"/>
    </row>
    <row r="653" spans="1:18" ht="14.25" customHeight="1">
      <c r="A653" s="11">
        <v>60997</v>
      </c>
      <c r="B653" s="7">
        <f>CHOOSE( CONTROL!$C$37, 19.6336, 19.6325) * CHOOSE(CONTROL!$C$20, $D$12, 100%, $F$12)</f>
        <v>19.633600000000001</v>
      </c>
      <c r="C653" s="7">
        <f>CHOOSE( CONTROL!$C$37, 19.6387, 19.6376) * CHOOSE(CONTROL!$C$20, $D$12, 100%, $F$12)</f>
        <v>19.6387</v>
      </c>
      <c r="D653" s="7">
        <f>CHOOSE( CONTROL!$C$37, 19.6187, 19.6176) * CHOOSE( CONTROL!$C$20, $D$12, 100%, $F$12)</f>
        <v>19.6187</v>
      </c>
      <c r="E653" s="10">
        <f>CHOOSE( CONTROL!$C$37, 19.6255, 19.6244) * CHOOSE( CONTROL!$C$20, $D$12, 100%, $F$12)</f>
        <v>19.625499999999999</v>
      </c>
      <c r="F653" s="4">
        <f>CHOOSE( CONTROL!$C$37, 20.2862, 20.2851) * CHOOSE(CONTROL!$C$20, $D$12, 100%, $F$12)</f>
        <v>20.286200000000001</v>
      </c>
      <c r="G653" s="7">
        <f>CHOOSE( CONTROL!$C$37, 19.3935, 19.3924) * CHOOSE( CONTROL!$C$20, $D$12, 100%, $F$12)</f>
        <v>19.3935</v>
      </c>
      <c r="H653" s="4">
        <f>CHOOSE( CONTROL!$C$37, 20.277, 20.2759) * CHOOSE(CONTROL!$C$20, $D$12, 100%, $F$12)</f>
        <v>20.277000000000001</v>
      </c>
      <c r="I653" s="7">
        <f>CHOOSE( CONTROL!$C$37, 19.2183, 19.2173) * CHOOSE(CONTROL!$C$20, $D$12, 100%, $F$12)</f>
        <v>19.218299999999999</v>
      </c>
      <c r="J653" s="4">
        <f>CHOOSE( CONTROL!$C$37, 19.0279, 19.0268) * CHOOSE(CONTROL!$C$20, $D$12, 100%, $F$12)</f>
        <v>19.027899999999999</v>
      </c>
      <c r="K653" s="4"/>
      <c r="L653" s="8">
        <v>29.306000000000001</v>
      </c>
      <c r="M653" s="8">
        <v>12.063700000000001</v>
      </c>
      <c r="N653" s="8">
        <v>4.9444999999999997</v>
      </c>
      <c r="O653" s="8">
        <v>0.37409999999999999</v>
      </c>
      <c r="P653" s="8">
        <v>1.2927</v>
      </c>
      <c r="Q653" s="8">
        <v>19.688099999999999</v>
      </c>
      <c r="R653" s="8"/>
    </row>
    <row r="654" spans="1:18" ht="14.25" customHeight="1">
      <c r="A654" s="11">
        <v>61028</v>
      </c>
      <c r="B654" s="7">
        <f>CHOOSE( CONTROL!$C$37, 20.2132, 20.2121) * CHOOSE(CONTROL!$C$20, $D$12, 100%, $F$12)</f>
        <v>20.213200000000001</v>
      </c>
      <c r="C654" s="7">
        <f>CHOOSE( CONTROL!$C$37, 20.2183, 20.2172) * CHOOSE(CONTROL!$C$20, $D$12, 100%, $F$12)</f>
        <v>20.218299999999999</v>
      </c>
      <c r="D654" s="7">
        <f>CHOOSE( CONTROL!$C$37, 20.2114, 20.2103) * CHOOSE( CONTROL!$C$20, $D$12, 100%, $F$12)</f>
        <v>20.211400000000001</v>
      </c>
      <c r="E654" s="10">
        <f>CHOOSE( CONTROL!$C$37, 20.2134, 20.2123) * CHOOSE( CONTROL!$C$20, $D$12, 100%, $F$12)</f>
        <v>20.2134</v>
      </c>
      <c r="F654" s="4">
        <f>CHOOSE( CONTROL!$C$37, 20.8658, 20.8647) * CHOOSE(CONTROL!$C$20, $D$12, 100%, $F$12)</f>
        <v>20.8658</v>
      </c>
      <c r="G654" s="7">
        <f>CHOOSE( CONTROL!$C$37, 19.9695, 19.9684) * CHOOSE( CONTROL!$C$20, $D$12, 100%, $F$12)</f>
        <v>19.9695</v>
      </c>
      <c r="H654" s="4">
        <f>CHOOSE( CONTROL!$C$37, 20.8485, 20.8474) * CHOOSE(CONTROL!$C$20, $D$12, 100%, $F$12)</f>
        <v>20.848500000000001</v>
      </c>
      <c r="I654" s="7">
        <f>CHOOSE( CONTROL!$C$37, 19.7511, 19.7501) * CHOOSE(CONTROL!$C$20, $D$12, 100%, $F$12)</f>
        <v>19.751100000000001</v>
      </c>
      <c r="J654" s="4">
        <f>CHOOSE( CONTROL!$C$37, 19.5891, 19.5881) * CHOOSE(CONTROL!$C$20, $D$12, 100%, $F$12)</f>
        <v>19.589099999999998</v>
      </c>
      <c r="K654" s="4"/>
      <c r="L654" s="8">
        <v>29.306000000000001</v>
      </c>
      <c r="M654" s="8">
        <v>12.063700000000001</v>
      </c>
      <c r="N654" s="8">
        <v>4.9444999999999997</v>
      </c>
      <c r="O654" s="8">
        <v>0.37409999999999999</v>
      </c>
      <c r="P654" s="8">
        <v>1.2927</v>
      </c>
      <c r="Q654" s="8">
        <v>19.688099999999999</v>
      </c>
      <c r="R654" s="8"/>
    </row>
    <row r="655" spans="1:18" ht="14.25" customHeight="1">
      <c r="A655" s="11">
        <v>61056</v>
      </c>
      <c r="B655" s="7">
        <f>CHOOSE( CONTROL!$C$37, 18.9054, 18.9043) * CHOOSE(CONTROL!$C$20, $D$12, 100%, $F$12)</f>
        <v>18.9054</v>
      </c>
      <c r="C655" s="7">
        <f>CHOOSE( CONTROL!$C$37, 18.9105, 18.9094) * CHOOSE(CONTROL!$C$20, $D$12, 100%, $F$12)</f>
        <v>18.910499999999999</v>
      </c>
      <c r="D655" s="7">
        <f>CHOOSE( CONTROL!$C$37, 18.9035, 18.9025) * CHOOSE( CONTROL!$C$20, $D$12, 100%, $F$12)</f>
        <v>18.903500000000001</v>
      </c>
      <c r="E655" s="10">
        <f>CHOOSE( CONTROL!$C$37, 18.9055, 18.9045) * CHOOSE( CONTROL!$C$20, $D$12, 100%, $F$12)</f>
        <v>18.9055</v>
      </c>
      <c r="F655" s="4">
        <f>CHOOSE( CONTROL!$C$37, 19.558, 19.5569) * CHOOSE(CONTROL!$C$20, $D$12, 100%, $F$12)</f>
        <v>19.558</v>
      </c>
      <c r="G655" s="7">
        <f>CHOOSE( CONTROL!$C$37, 18.6799, 18.6788) * CHOOSE( CONTROL!$C$20, $D$12, 100%, $F$12)</f>
        <v>18.6799</v>
      </c>
      <c r="H655" s="4">
        <f>CHOOSE( CONTROL!$C$37, 19.5589, 19.5579) * CHOOSE(CONTROL!$C$20, $D$12, 100%, $F$12)</f>
        <v>19.558900000000001</v>
      </c>
      <c r="I655" s="7">
        <f>CHOOSE( CONTROL!$C$37, 18.4839, 18.4828) * CHOOSE(CONTROL!$C$20, $D$12, 100%, $F$12)</f>
        <v>18.483899999999998</v>
      </c>
      <c r="J655" s="4">
        <f>CHOOSE( CONTROL!$C$37, 18.3228, 18.3217) * CHOOSE(CONTROL!$C$20, $D$12, 100%, $F$12)</f>
        <v>18.322800000000001</v>
      </c>
      <c r="K655" s="4"/>
      <c r="L655" s="8">
        <v>26.469899999999999</v>
      </c>
      <c r="M655" s="8">
        <v>10.8962</v>
      </c>
      <c r="N655" s="8">
        <v>4.4660000000000002</v>
      </c>
      <c r="O655" s="8">
        <v>0.33789999999999998</v>
      </c>
      <c r="P655" s="8">
        <v>1.1676</v>
      </c>
      <c r="Q655" s="8">
        <v>17.782800000000002</v>
      </c>
      <c r="R655" s="8"/>
    </row>
    <row r="656" spans="1:18" ht="14.25" customHeight="1">
      <c r="A656" s="11">
        <v>61087</v>
      </c>
      <c r="B656" s="7">
        <f>CHOOSE( CONTROL!$C$37, 18.5026, 18.5015) * CHOOSE(CONTROL!$C$20, $D$12, 100%, $F$12)</f>
        <v>18.502600000000001</v>
      </c>
      <c r="C656" s="7">
        <f>CHOOSE( CONTROL!$C$37, 18.5077, 18.5066) * CHOOSE(CONTROL!$C$20, $D$12, 100%, $F$12)</f>
        <v>18.5077</v>
      </c>
      <c r="D656" s="7">
        <f>CHOOSE( CONTROL!$C$37, 18.5001, 18.499) * CHOOSE( CONTROL!$C$20, $D$12, 100%, $F$12)</f>
        <v>18.5001</v>
      </c>
      <c r="E656" s="10">
        <f>CHOOSE( CONTROL!$C$37, 18.5023, 18.5012) * CHOOSE( CONTROL!$C$20, $D$12, 100%, $F$12)</f>
        <v>18.502300000000002</v>
      </c>
      <c r="F656" s="4">
        <f>CHOOSE( CONTROL!$C$37, 19.1552, 19.1541) * CHOOSE(CONTROL!$C$20, $D$12, 100%, $F$12)</f>
        <v>19.155200000000001</v>
      </c>
      <c r="G656" s="7">
        <f>CHOOSE( CONTROL!$C$37, 18.2823, 18.2812) * CHOOSE( CONTROL!$C$20, $D$12, 100%, $F$12)</f>
        <v>18.282299999999999</v>
      </c>
      <c r="H656" s="4">
        <f>CHOOSE( CONTROL!$C$37, 19.1618, 19.1607) * CHOOSE(CONTROL!$C$20, $D$12, 100%, $F$12)</f>
        <v>19.161799999999999</v>
      </c>
      <c r="I656" s="7">
        <f>CHOOSE( CONTROL!$C$37, 18.0917, 18.0907) * CHOOSE(CONTROL!$C$20, $D$12, 100%, $F$12)</f>
        <v>18.091699999999999</v>
      </c>
      <c r="J656" s="4">
        <f>CHOOSE( CONTROL!$C$37, 17.9328, 17.9317) * CHOOSE(CONTROL!$C$20, $D$12, 100%, $F$12)</f>
        <v>17.9328</v>
      </c>
      <c r="K656" s="4"/>
      <c r="L656" s="8">
        <v>29.306000000000001</v>
      </c>
      <c r="M656" s="8">
        <v>12.063700000000001</v>
      </c>
      <c r="N656" s="8">
        <v>4.9444999999999997</v>
      </c>
      <c r="O656" s="8">
        <v>0.37409999999999999</v>
      </c>
      <c r="P656" s="8">
        <v>1.2927</v>
      </c>
      <c r="Q656" s="8">
        <v>19.688099999999999</v>
      </c>
      <c r="R656" s="8"/>
    </row>
    <row r="657" spans="1:18" ht="14.25" customHeight="1">
      <c r="A657" s="11">
        <v>61117</v>
      </c>
      <c r="B657" s="7">
        <f>CHOOSE( CONTROL!$C$37, 18.7849, 18.7838) * CHOOSE(CONTROL!$C$20, $D$12, 100%, $F$12)</f>
        <v>18.7849</v>
      </c>
      <c r="C657" s="7">
        <f>CHOOSE( CONTROL!$C$37, 18.7894, 18.7883) * CHOOSE(CONTROL!$C$20, $D$12, 100%, $F$12)</f>
        <v>18.789400000000001</v>
      </c>
      <c r="D657" s="7">
        <f>CHOOSE( CONTROL!$C$37, 18.8012, 18.8001) * CHOOSE( CONTROL!$C$20, $D$12, 100%, $F$12)</f>
        <v>18.801200000000001</v>
      </c>
      <c r="E657" s="10">
        <f>CHOOSE( CONTROL!$C$37, 18.7968, 18.7957) * CHOOSE( CONTROL!$C$20, $D$12, 100%, $F$12)</f>
        <v>18.796800000000001</v>
      </c>
      <c r="F657" s="4">
        <f>CHOOSE( CONTROL!$C$37, 19.5115, 19.5104) * CHOOSE(CONTROL!$C$20, $D$12, 100%, $F$12)</f>
        <v>19.511500000000002</v>
      </c>
      <c r="G657" s="7">
        <f>CHOOSE( CONTROL!$C$37, 18.5681, 18.567) * CHOOSE( CONTROL!$C$20, $D$12, 100%, $F$12)</f>
        <v>18.568100000000001</v>
      </c>
      <c r="H657" s="4">
        <f>CHOOSE( CONTROL!$C$37, 19.5131, 19.5121) * CHOOSE(CONTROL!$C$20, $D$12, 100%, $F$12)</f>
        <v>19.513100000000001</v>
      </c>
      <c r="I657" s="7">
        <f>CHOOSE( CONTROL!$C$37, 18.337, 18.3359) * CHOOSE(CONTROL!$C$20, $D$12, 100%, $F$12)</f>
        <v>18.337</v>
      </c>
      <c r="J657" s="4">
        <f>CHOOSE( CONTROL!$C$37, 18.2053, 18.2042) * CHOOSE(CONTROL!$C$20, $D$12, 100%, $F$12)</f>
        <v>18.205300000000001</v>
      </c>
      <c r="K657" s="4"/>
      <c r="L657" s="8">
        <v>30.092199999999998</v>
      </c>
      <c r="M657" s="8">
        <v>11.6745</v>
      </c>
      <c r="N657" s="8">
        <v>4.7850000000000001</v>
      </c>
      <c r="O657" s="8">
        <v>0.36199999999999999</v>
      </c>
      <c r="P657" s="8">
        <v>1.2509999999999999</v>
      </c>
      <c r="Q657" s="8">
        <v>19.053000000000001</v>
      </c>
      <c r="R657" s="8"/>
    </row>
    <row r="658" spans="1:18" ht="14.25" customHeight="1">
      <c r="A658" s="11">
        <v>61148</v>
      </c>
      <c r="B658" s="7">
        <f>CHOOSE( CONTROL!$C$37, 19.2877, 19.2861) * CHOOSE(CONTROL!$C$20, $D$12, 100%, $F$12)</f>
        <v>19.287700000000001</v>
      </c>
      <c r="C658" s="7">
        <f>CHOOSE( CONTROL!$C$37, 19.2957, 19.2941) * CHOOSE(CONTROL!$C$20, $D$12, 100%, $F$12)</f>
        <v>19.2957</v>
      </c>
      <c r="D658" s="7">
        <f>CHOOSE( CONTROL!$C$37, 19.3014, 19.2997) * CHOOSE( CONTROL!$C$20, $D$12, 100%, $F$12)</f>
        <v>19.301400000000001</v>
      </c>
      <c r="E658" s="10">
        <f>CHOOSE( CONTROL!$C$37, 19.2981, 19.2965) * CHOOSE( CONTROL!$C$20, $D$12, 100%, $F$12)</f>
        <v>19.298100000000002</v>
      </c>
      <c r="F658" s="4">
        <f>CHOOSE( CONTROL!$C$37, 20.013, 20.0114) * CHOOSE(CONTROL!$C$20, $D$12, 100%, $F$12)</f>
        <v>20.013000000000002</v>
      </c>
      <c r="G658" s="7">
        <f>CHOOSE( CONTROL!$C$37, 19.0626, 19.0609) * CHOOSE( CONTROL!$C$20, $D$12, 100%, $F$12)</f>
        <v>19.0626</v>
      </c>
      <c r="H658" s="4">
        <f>CHOOSE( CONTROL!$C$37, 20.0077, 20.006) * CHOOSE(CONTROL!$C$20, $D$12, 100%, $F$12)</f>
        <v>20.0077</v>
      </c>
      <c r="I658" s="7">
        <f>CHOOSE( CONTROL!$C$37, 18.8226, 18.821) * CHOOSE(CONTROL!$C$20, $D$12, 100%, $F$12)</f>
        <v>18.822600000000001</v>
      </c>
      <c r="J658" s="4">
        <f>CHOOSE( CONTROL!$C$37, 18.6909, 18.6893) * CHOOSE(CONTROL!$C$20, $D$12, 100%, $F$12)</f>
        <v>18.690899999999999</v>
      </c>
      <c r="K658" s="4"/>
      <c r="L658" s="8">
        <v>30.7165</v>
      </c>
      <c r="M658" s="8">
        <v>12.063700000000001</v>
      </c>
      <c r="N658" s="8">
        <v>4.9444999999999997</v>
      </c>
      <c r="O658" s="8">
        <v>0.37409999999999999</v>
      </c>
      <c r="P658" s="8">
        <v>1.2927</v>
      </c>
      <c r="Q658" s="8">
        <v>19.688099999999999</v>
      </c>
      <c r="R658" s="8"/>
    </row>
    <row r="659" spans="1:18" ht="14.25" customHeight="1">
      <c r="A659" s="11">
        <v>61178</v>
      </c>
      <c r="B659" s="7">
        <f>CHOOSE( CONTROL!$C$37, 18.9774, 18.9758) * CHOOSE(CONTROL!$C$20, $D$12, 100%, $F$12)</f>
        <v>18.977399999999999</v>
      </c>
      <c r="C659" s="7">
        <f>CHOOSE( CONTROL!$C$37, 18.9854, 18.9838) * CHOOSE(CONTROL!$C$20, $D$12, 100%, $F$12)</f>
        <v>18.985399999999998</v>
      </c>
      <c r="D659" s="7">
        <f>CHOOSE( CONTROL!$C$37, 18.9913, 18.9897) * CHOOSE( CONTROL!$C$20, $D$12, 100%, $F$12)</f>
        <v>18.991299999999999</v>
      </c>
      <c r="E659" s="10">
        <f>CHOOSE( CONTROL!$C$37, 18.9879, 18.9863) * CHOOSE( CONTROL!$C$20, $D$12, 100%, $F$12)</f>
        <v>18.9879</v>
      </c>
      <c r="F659" s="4">
        <f>CHOOSE( CONTROL!$C$37, 19.7027, 19.701) * CHOOSE(CONTROL!$C$20, $D$12, 100%, $F$12)</f>
        <v>19.7027</v>
      </c>
      <c r="G659" s="7">
        <f>CHOOSE( CONTROL!$C$37, 18.7568, 18.7552) * CHOOSE( CONTROL!$C$20, $D$12, 100%, $F$12)</f>
        <v>18.756799999999998</v>
      </c>
      <c r="H659" s="4">
        <f>CHOOSE( CONTROL!$C$37, 19.7017, 19.7) * CHOOSE(CONTROL!$C$20, $D$12, 100%, $F$12)</f>
        <v>19.701699999999999</v>
      </c>
      <c r="I659" s="7">
        <f>CHOOSE( CONTROL!$C$37, 18.5229, 18.5213) * CHOOSE(CONTROL!$C$20, $D$12, 100%, $F$12)</f>
        <v>18.5229</v>
      </c>
      <c r="J659" s="4">
        <f>CHOOSE( CONTROL!$C$37, 18.3904, 18.3888) * CHOOSE(CONTROL!$C$20, $D$12, 100%, $F$12)</f>
        <v>18.3904</v>
      </c>
      <c r="K659" s="4"/>
      <c r="L659" s="8">
        <v>29.7257</v>
      </c>
      <c r="M659" s="8">
        <v>11.6745</v>
      </c>
      <c r="N659" s="8">
        <v>4.7850000000000001</v>
      </c>
      <c r="O659" s="8">
        <v>0.36199999999999999</v>
      </c>
      <c r="P659" s="8">
        <v>1.2509999999999999</v>
      </c>
      <c r="Q659" s="8">
        <v>19.053000000000001</v>
      </c>
      <c r="R659" s="8"/>
    </row>
    <row r="660" spans="1:18" ht="14.25" customHeight="1">
      <c r="A660" s="11">
        <v>61209</v>
      </c>
      <c r="B660" s="7">
        <f>CHOOSE( CONTROL!$C$37, 19.7946, 19.7929) * CHOOSE(CONTROL!$C$20, $D$12, 100%, $F$12)</f>
        <v>19.794599999999999</v>
      </c>
      <c r="C660" s="7">
        <f>CHOOSE( CONTROL!$C$37, 19.8026, 19.8009) * CHOOSE(CONTROL!$C$20, $D$12, 100%, $F$12)</f>
        <v>19.802600000000002</v>
      </c>
      <c r="D660" s="7">
        <f>CHOOSE( CONTROL!$C$37, 19.8088, 19.8072) * CHOOSE( CONTROL!$C$20, $D$12, 100%, $F$12)</f>
        <v>19.808800000000002</v>
      </c>
      <c r="E660" s="10">
        <f>CHOOSE( CONTROL!$C$37, 19.8053, 19.8037) * CHOOSE( CONTROL!$C$20, $D$12, 100%, $F$12)</f>
        <v>19.805299999999999</v>
      </c>
      <c r="F660" s="4">
        <f>CHOOSE( CONTROL!$C$37, 20.5199, 20.5182) * CHOOSE(CONTROL!$C$20, $D$12, 100%, $F$12)</f>
        <v>20.5199</v>
      </c>
      <c r="G660" s="7">
        <f>CHOOSE( CONTROL!$C$37, 19.5628, 19.5612) * CHOOSE( CONTROL!$C$20, $D$12, 100%, $F$12)</f>
        <v>19.562799999999999</v>
      </c>
      <c r="H660" s="4">
        <f>CHOOSE( CONTROL!$C$37, 20.5075, 20.5058) * CHOOSE(CONTROL!$C$20, $D$12, 100%, $F$12)</f>
        <v>20.5075</v>
      </c>
      <c r="I660" s="7">
        <f>CHOOSE( CONTROL!$C$37, 19.3156, 19.314) * CHOOSE(CONTROL!$C$20, $D$12, 100%, $F$12)</f>
        <v>19.3156</v>
      </c>
      <c r="J660" s="4">
        <f>CHOOSE( CONTROL!$C$37, 19.1817, 19.1801) * CHOOSE(CONTROL!$C$20, $D$12, 100%, $F$12)</f>
        <v>19.181699999999999</v>
      </c>
      <c r="K660" s="4"/>
      <c r="L660" s="8">
        <v>30.7165</v>
      </c>
      <c r="M660" s="8">
        <v>12.063700000000001</v>
      </c>
      <c r="N660" s="8">
        <v>4.9444999999999997</v>
      </c>
      <c r="O660" s="8">
        <v>0.37409999999999999</v>
      </c>
      <c r="P660" s="8">
        <v>1.2927</v>
      </c>
      <c r="Q660" s="8">
        <v>19.688099999999999</v>
      </c>
      <c r="R660" s="8"/>
    </row>
    <row r="661" spans="1:18" ht="14.25" customHeight="1">
      <c r="A661" s="11">
        <v>61240</v>
      </c>
      <c r="B661" s="7">
        <f>CHOOSE( CONTROL!$C$37, 18.2656, 18.2639) * CHOOSE(CONTROL!$C$20, $D$12, 100%, $F$12)</f>
        <v>18.265599999999999</v>
      </c>
      <c r="C661" s="7">
        <f>CHOOSE( CONTROL!$C$37, 18.2736, 18.2719) * CHOOSE(CONTROL!$C$20, $D$12, 100%, $F$12)</f>
        <v>18.273599999999998</v>
      </c>
      <c r="D661" s="7">
        <f>CHOOSE( CONTROL!$C$37, 18.2799, 18.2782) * CHOOSE( CONTROL!$C$20, $D$12, 100%, $F$12)</f>
        <v>18.279900000000001</v>
      </c>
      <c r="E661" s="10">
        <f>CHOOSE( CONTROL!$C$37, 18.2764, 18.2747) * CHOOSE( CONTROL!$C$20, $D$12, 100%, $F$12)</f>
        <v>18.276399999999999</v>
      </c>
      <c r="F661" s="4">
        <f>CHOOSE( CONTROL!$C$37, 18.9909, 18.9892) * CHOOSE(CONTROL!$C$20, $D$12, 100%, $F$12)</f>
        <v>18.9909</v>
      </c>
      <c r="G661" s="7">
        <f>CHOOSE( CONTROL!$C$37, 18.0552, 18.0535) * CHOOSE( CONTROL!$C$20, $D$12, 100%, $F$12)</f>
        <v>18.055199999999999</v>
      </c>
      <c r="H661" s="4">
        <f>CHOOSE( CONTROL!$C$37, 18.9998, 18.9981) * CHOOSE(CONTROL!$C$20, $D$12, 100%, $F$12)</f>
        <v>18.9998</v>
      </c>
      <c r="I661" s="7">
        <f>CHOOSE( CONTROL!$C$37, 17.8346, 17.833) * CHOOSE(CONTROL!$C$20, $D$12, 100%, $F$12)</f>
        <v>17.834599999999998</v>
      </c>
      <c r="J661" s="4">
        <f>CHOOSE( CONTROL!$C$37, 17.7011, 17.6995) * CHOOSE(CONTROL!$C$20, $D$12, 100%, $F$12)</f>
        <v>17.7011</v>
      </c>
      <c r="K661" s="4"/>
      <c r="L661" s="8">
        <v>30.7165</v>
      </c>
      <c r="M661" s="8">
        <v>12.063700000000001</v>
      </c>
      <c r="N661" s="8">
        <v>4.9444999999999997</v>
      </c>
      <c r="O661" s="8">
        <v>0.37409999999999999</v>
      </c>
      <c r="P661" s="8">
        <v>1.2927</v>
      </c>
      <c r="Q661" s="8">
        <v>19.688099999999999</v>
      </c>
      <c r="R661" s="8"/>
    </row>
    <row r="662" spans="1:18" ht="14.25" customHeight="1">
      <c r="A662" s="11">
        <v>61270</v>
      </c>
      <c r="B662" s="7">
        <f>CHOOSE( CONTROL!$C$37, 17.8827, 17.881) * CHOOSE(CONTROL!$C$20, $D$12, 100%, $F$12)</f>
        <v>17.8827</v>
      </c>
      <c r="C662" s="7">
        <f>CHOOSE( CONTROL!$C$37, 17.8907, 17.889) * CHOOSE(CONTROL!$C$20, $D$12, 100%, $F$12)</f>
        <v>17.890699999999999</v>
      </c>
      <c r="D662" s="7">
        <f>CHOOSE( CONTROL!$C$37, 17.8969, 17.8952) * CHOOSE( CONTROL!$C$20, $D$12, 100%, $F$12)</f>
        <v>17.896899999999999</v>
      </c>
      <c r="E662" s="10">
        <f>CHOOSE( CONTROL!$C$37, 17.8934, 17.8917) * CHOOSE( CONTROL!$C$20, $D$12, 100%, $F$12)</f>
        <v>17.8934</v>
      </c>
      <c r="F662" s="4">
        <f>CHOOSE( CONTROL!$C$37, 18.608, 18.6063) * CHOOSE(CONTROL!$C$20, $D$12, 100%, $F$12)</f>
        <v>18.608000000000001</v>
      </c>
      <c r="G662" s="7">
        <f>CHOOSE( CONTROL!$C$37, 17.6775, 17.6759) * CHOOSE( CONTROL!$C$20, $D$12, 100%, $F$12)</f>
        <v>17.677499999999998</v>
      </c>
      <c r="H662" s="4">
        <f>CHOOSE( CONTROL!$C$37, 18.6222, 18.6206) * CHOOSE(CONTROL!$C$20, $D$12, 100%, $F$12)</f>
        <v>18.622199999999999</v>
      </c>
      <c r="I662" s="7">
        <f>CHOOSE( CONTROL!$C$37, 17.4633, 17.4617) * CHOOSE(CONTROL!$C$20, $D$12, 100%, $F$12)</f>
        <v>17.4633</v>
      </c>
      <c r="J662" s="4">
        <f>CHOOSE( CONTROL!$C$37, 17.3304, 17.3288) * CHOOSE(CONTROL!$C$20, $D$12, 100%, $F$12)</f>
        <v>17.330400000000001</v>
      </c>
      <c r="K662" s="4"/>
      <c r="L662" s="8">
        <v>29.7257</v>
      </c>
      <c r="M662" s="8">
        <v>11.6745</v>
      </c>
      <c r="N662" s="8">
        <v>4.7850000000000001</v>
      </c>
      <c r="O662" s="8">
        <v>0.36199999999999999</v>
      </c>
      <c r="P662" s="8">
        <v>1.2509999999999999</v>
      </c>
      <c r="Q662" s="8">
        <v>19.053000000000001</v>
      </c>
      <c r="R662" s="8"/>
    </row>
    <row r="663" spans="1:18" ht="14.25" customHeight="1">
      <c r="A663" s="11">
        <v>61301</v>
      </c>
      <c r="B663" s="7">
        <f>CHOOSE( CONTROL!$C$37, 18.6754, 18.6743) * CHOOSE(CONTROL!$C$20, $D$12, 100%, $F$12)</f>
        <v>18.6754</v>
      </c>
      <c r="C663" s="7">
        <f>CHOOSE( CONTROL!$C$37, 18.6807, 18.6797) * CHOOSE(CONTROL!$C$20, $D$12, 100%, $F$12)</f>
        <v>18.680700000000002</v>
      </c>
      <c r="D663" s="7">
        <f>CHOOSE( CONTROL!$C$37, 18.6928, 18.6917) * CHOOSE( CONTROL!$C$20, $D$12, 100%, $F$12)</f>
        <v>18.692799999999998</v>
      </c>
      <c r="E663" s="10">
        <f>CHOOSE( CONTROL!$C$37, 18.6882, 18.6872) * CHOOSE( CONTROL!$C$20, $D$12, 100%, $F$12)</f>
        <v>18.688199999999998</v>
      </c>
      <c r="F663" s="4">
        <f>CHOOSE( CONTROL!$C$37, 19.4024, 19.4013) * CHOOSE(CONTROL!$C$20, $D$12, 100%, $F$12)</f>
        <v>19.4024</v>
      </c>
      <c r="G663" s="7">
        <f>CHOOSE( CONTROL!$C$37, 18.461, 18.4599) * CHOOSE( CONTROL!$C$20, $D$12, 100%, $F$12)</f>
        <v>18.460999999999999</v>
      </c>
      <c r="H663" s="4">
        <f>CHOOSE( CONTROL!$C$37, 19.4056, 19.4045) * CHOOSE(CONTROL!$C$20, $D$12, 100%, $F$12)</f>
        <v>19.4056</v>
      </c>
      <c r="I663" s="7">
        <f>CHOOSE( CONTROL!$C$37, 18.2336, 18.2325) * CHOOSE(CONTROL!$C$20, $D$12, 100%, $F$12)</f>
        <v>18.233599999999999</v>
      </c>
      <c r="J663" s="4">
        <f>CHOOSE( CONTROL!$C$37, 18.0996, 18.0986) * CHOOSE(CONTROL!$C$20, $D$12, 100%, $F$12)</f>
        <v>18.099599999999999</v>
      </c>
      <c r="K663" s="4"/>
      <c r="L663" s="8">
        <v>31.095300000000002</v>
      </c>
      <c r="M663" s="8">
        <v>12.063700000000001</v>
      </c>
      <c r="N663" s="8">
        <v>4.9444999999999997</v>
      </c>
      <c r="O663" s="8">
        <v>0.37409999999999999</v>
      </c>
      <c r="P663" s="8">
        <v>1.2927</v>
      </c>
      <c r="Q663" s="8">
        <v>19.688099999999999</v>
      </c>
      <c r="R663" s="8"/>
    </row>
    <row r="664" spans="1:18" ht="14.25" customHeight="1">
      <c r="A664" s="11">
        <v>61331</v>
      </c>
      <c r="B664" s="7">
        <f>CHOOSE( CONTROL!$C$37, 20.1424, 20.1413) * CHOOSE(CONTROL!$C$20, $D$12, 100%, $F$12)</f>
        <v>20.142399999999999</v>
      </c>
      <c r="C664" s="7">
        <f>CHOOSE( CONTROL!$C$37, 20.1475, 20.1464) * CHOOSE(CONTROL!$C$20, $D$12, 100%, $F$12)</f>
        <v>20.147500000000001</v>
      </c>
      <c r="D664" s="7">
        <f>CHOOSE( CONTROL!$C$37, 20.126, 20.1249) * CHOOSE( CONTROL!$C$20, $D$12, 100%, $F$12)</f>
        <v>20.126000000000001</v>
      </c>
      <c r="E664" s="10">
        <f>CHOOSE( CONTROL!$C$37, 20.1333, 20.1322) * CHOOSE( CONTROL!$C$20, $D$12, 100%, $F$12)</f>
        <v>20.133299999999998</v>
      </c>
      <c r="F664" s="4">
        <f>CHOOSE( CONTROL!$C$37, 20.7949, 20.7939) * CHOOSE(CONTROL!$C$20, $D$12, 100%, $F$12)</f>
        <v>20.794899999999998</v>
      </c>
      <c r="G664" s="7">
        <f>CHOOSE( CONTROL!$C$37, 19.8941, 19.893) * CHOOSE( CONTROL!$C$20, $D$12, 100%, $F$12)</f>
        <v>19.894100000000002</v>
      </c>
      <c r="H664" s="4">
        <f>CHOOSE( CONTROL!$C$37, 20.7787, 20.7776) * CHOOSE(CONTROL!$C$20, $D$12, 100%, $F$12)</f>
        <v>20.778700000000001</v>
      </c>
      <c r="I664" s="7">
        <f>CHOOSE( CONTROL!$C$37, 19.7064, 19.7053) * CHOOSE(CONTROL!$C$20, $D$12, 100%, $F$12)</f>
        <v>19.706399999999999</v>
      </c>
      <c r="J664" s="4">
        <f>CHOOSE( CONTROL!$C$37, 19.5206, 19.5195) * CHOOSE(CONTROL!$C$20, $D$12, 100%, $F$12)</f>
        <v>19.520600000000002</v>
      </c>
      <c r="K664" s="4"/>
      <c r="L664" s="8">
        <v>28.360600000000002</v>
      </c>
      <c r="M664" s="8">
        <v>11.6745</v>
      </c>
      <c r="N664" s="8">
        <v>4.7850000000000001</v>
      </c>
      <c r="O664" s="8">
        <v>0.36199999999999999</v>
      </c>
      <c r="P664" s="8">
        <v>1.2509999999999999</v>
      </c>
      <c r="Q664" s="8">
        <v>19.053000000000001</v>
      </c>
      <c r="R664" s="8"/>
    </row>
    <row r="665" spans="1:18" ht="14.25" customHeight="1">
      <c r="A665" s="11">
        <v>61362</v>
      </c>
      <c r="B665" s="7">
        <f>CHOOSE( CONTROL!$C$37, 20.1057, 20.1047) * CHOOSE(CONTROL!$C$20, $D$12, 100%, $F$12)</f>
        <v>20.105699999999999</v>
      </c>
      <c r="C665" s="7">
        <f>CHOOSE( CONTROL!$C$37, 20.1108, 20.1098) * CHOOSE(CONTROL!$C$20, $D$12, 100%, $F$12)</f>
        <v>20.110800000000001</v>
      </c>
      <c r="D665" s="7">
        <f>CHOOSE( CONTROL!$C$37, 20.0909, 20.0898) * CHOOSE( CONTROL!$C$20, $D$12, 100%, $F$12)</f>
        <v>20.090900000000001</v>
      </c>
      <c r="E665" s="10">
        <f>CHOOSE( CONTROL!$C$37, 20.0976, 20.0966) * CHOOSE( CONTROL!$C$20, $D$12, 100%, $F$12)</f>
        <v>20.0976</v>
      </c>
      <c r="F665" s="4">
        <f>CHOOSE( CONTROL!$C$37, 20.7583, 20.7572) * CHOOSE(CONTROL!$C$20, $D$12, 100%, $F$12)</f>
        <v>20.758299999999998</v>
      </c>
      <c r="G665" s="7">
        <f>CHOOSE( CONTROL!$C$37, 19.859, 19.858) * CHOOSE( CONTROL!$C$20, $D$12, 100%, $F$12)</f>
        <v>19.859000000000002</v>
      </c>
      <c r="H665" s="4">
        <f>CHOOSE( CONTROL!$C$37, 20.7425, 20.7415) * CHOOSE(CONTROL!$C$20, $D$12, 100%, $F$12)</f>
        <v>20.7425</v>
      </c>
      <c r="I665" s="7">
        <f>CHOOSE( CONTROL!$C$37, 19.6757, 19.6747) * CHOOSE(CONTROL!$C$20, $D$12, 100%, $F$12)</f>
        <v>19.675699999999999</v>
      </c>
      <c r="J665" s="4">
        <f>CHOOSE( CONTROL!$C$37, 19.485, 19.484) * CHOOSE(CONTROL!$C$20, $D$12, 100%, $F$12)</f>
        <v>19.484999999999999</v>
      </c>
      <c r="K665" s="4"/>
      <c r="L665" s="8">
        <v>29.306000000000001</v>
      </c>
      <c r="M665" s="8">
        <v>12.063700000000001</v>
      </c>
      <c r="N665" s="8">
        <v>4.9444999999999997</v>
      </c>
      <c r="O665" s="8">
        <v>0.37409999999999999</v>
      </c>
      <c r="P665" s="8">
        <v>1.2927</v>
      </c>
      <c r="Q665" s="8">
        <v>19.688099999999999</v>
      </c>
      <c r="R665" s="8"/>
    </row>
    <row r="666" spans="1:18" ht="14.25" customHeight="1">
      <c r="A666" s="11">
        <v>61393</v>
      </c>
      <c r="B666" s="7">
        <f>CHOOSE( CONTROL!$C$37, 20.6993, 20.6982) * CHOOSE(CONTROL!$C$20, $D$12, 100%, $F$12)</f>
        <v>20.699300000000001</v>
      </c>
      <c r="C666" s="7">
        <f>CHOOSE( CONTROL!$C$37, 20.7044, 20.7033) * CHOOSE(CONTROL!$C$20, $D$12, 100%, $F$12)</f>
        <v>20.7044</v>
      </c>
      <c r="D666" s="7">
        <f>CHOOSE( CONTROL!$C$37, 20.6975, 20.6964) * CHOOSE( CONTROL!$C$20, $D$12, 100%, $F$12)</f>
        <v>20.697500000000002</v>
      </c>
      <c r="E666" s="10">
        <f>CHOOSE( CONTROL!$C$37, 20.6995, 20.6984) * CHOOSE( CONTROL!$C$20, $D$12, 100%, $F$12)</f>
        <v>20.6995</v>
      </c>
      <c r="F666" s="4">
        <f>CHOOSE( CONTROL!$C$37, 21.3518, 21.3507) * CHOOSE(CONTROL!$C$20, $D$12, 100%, $F$12)</f>
        <v>21.351800000000001</v>
      </c>
      <c r="G666" s="7">
        <f>CHOOSE( CONTROL!$C$37, 20.4488, 20.4477) * CHOOSE( CONTROL!$C$20, $D$12, 100%, $F$12)</f>
        <v>20.448799999999999</v>
      </c>
      <c r="H666" s="4">
        <f>CHOOSE( CONTROL!$C$37, 21.3278, 21.3267) * CHOOSE(CONTROL!$C$20, $D$12, 100%, $F$12)</f>
        <v>21.3278</v>
      </c>
      <c r="I666" s="7">
        <f>CHOOSE( CONTROL!$C$37, 20.222, 20.221) * CHOOSE(CONTROL!$C$20, $D$12, 100%, $F$12)</f>
        <v>20.222000000000001</v>
      </c>
      <c r="J666" s="4">
        <f>CHOOSE( CONTROL!$C$37, 20.0598, 20.0587) * CHOOSE(CONTROL!$C$20, $D$12, 100%, $F$12)</f>
        <v>20.059799999999999</v>
      </c>
      <c r="K666" s="4"/>
      <c r="L666" s="8">
        <v>29.306000000000001</v>
      </c>
      <c r="M666" s="8">
        <v>12.063700000000001</v>
      </c>
      <c r="N666" s="8">
        <v>4.9444999999999997</v>
      </c>
      <c r="O666" s="8">
        <v>0.37409999999999999</v>
      </c>
      <c r="P666" s="8">
        <v>1.2927</v>
      </c>
      <c r="Q666" s="8">
        <v>19.688099999999999</v>
      </c>
      <c r="R666" s="8"/>
    </row>
    <row r="667" spans="1:18" ht="14.25" customHeight="1">
      <c r="A667" s="11">
        <v>61422</v>
      </c>
      <c r="B667" s="7">
        <f>CHOOSE( CONTROL!$C$37, 19.3601, 19.359) * CHOOSE(CONTROL!$C$20, $D$12, 100%, $F$12)</f>
        <v>19.360099999999999</v>
      </c>
      <c r="C667" s="7">
        <f>CHOOSE( CONTROL!$C$37, 19.3652, 19.3641) * CHOOSE(CONTROL!$C$20, $D$12, 100%, $F$12)</f>
        <v>19.365200000000002</v>
      </c>
      <c r="D667" s="7">
        <f>CHOOSE( CONTROL!$C$37, 19.3582, 19.3571) * CHOOSE( CONTROL!$C$20, $D$12, 100%, $F$12)</f>
        <v>19.3582</v>
      </c>
      <c r="E667" s="10">
        <f>CHOOSE( CONTROL!$C$37, 19.3602, 19.3591) * CHOOSE( CONTROL!$C$20, $D$12, 100%, $F$12)</f>
        <v>19.360199999999999</v>
      </c>
      <c r="F667" s="4">
        <f>CHOOSE( CONTROL!$C$37, 20.0126, 20.0115) * CHOOSE(CONTROL!$C$20, $D$12, 100%, $F$12)</f>
        <v>20.012599999999999</v>
      </c>
      <c r="G667" s="7">
        <f>CHOOSE( CONTROL!$C$37, 19.1282, 19.1271) * CHOOSE( CONTROL!$C$20, $D$12, 100%, $F$12)</f>
        <v>19.1282</v>
      </c>
      <c r="H667" s="4">
        <f>CHOOSE( CONTROL!$C$37, 20.0072, 20.0062) * CHOOSE(CONTROL!$C$20, $D$12, 100%, $F$12)</f>
        <v>20.007200000000001</v>
      </c>
      <c r="I667" s="7">
        <f>CHOOSE( CONTROL!$C$37, 18.9243, 18.9233) * CHOOSE(CONTROL!$C$20, $D$12, 100%, $F$12)</f>
        <v>18.924299999999999</v>
      </c>
      <c r="J667" s="4">
        <f>CHOOSE( CONTROL!$C$37, 18.763, 18.762) * CHOOSE(CONTROL!$C$20, $D$12, 100%, $F$12)</f>
        <v>18.763000000000002</v>
      </c>
      <c r="K667" s="4"/>
      <c r="L667" s="8">
        <v>27.415299999999998</v>
      </c>
      <c r="M667" s="8">
        <v>11.285299999999999</v>
      </c>
      <c r="N667" s="8">
        <v>4.6254999999999997</v>
      </c>
      <c r="O667" s="8">
        <v>0.34989999999999999</v>
      </c>
      <c r="P667" s="8">
        <v>1.2093</v>
      </c>
      <c r="Q667" s="8">
        <v>18.417899999999999</v>
      </c>
      <c r="R667" s="8"/>
    </row>
    <row r="668" spans="1:18" ht="14.25" customHeight="1">
      <c r="A668" s="11">
        <v>61453</v>
      </c>
      <c r="B668" s="7">
        <f>CHOOSE( CONTROL!$C$37, 18.9476, 18.9465) * CHOOSE(CONTROL!$C$20, $D$12, 100%, $F$12)</f>
        <v>18.947600000000001</v>
      </c>
      <c r="C668" s="7">
        <f>CHOOSE( CONTROL!$C$37, 18.9527, 18.9516) * CHOOSE(CONTROL!$C$20, $D$12, 100%, $F$12)</f>
        <v>18.9527</v>
      </c>
      <c r="D668" s="7">
        <f>CHOOSE( CONTROL!$C$37, 18.9451, 18.944) * CHOOSE( CONTROL!$C$20, $D$12, 100%, $F$12)</f>
        <v>18.9451</v>
      </c>
      <c r="E668" s="10">
        <f>CHOOSE( CONTROL!$C$37, 18.9473, 18.9462) * CHOOSE( CONTROL!$C$20, $D$12, 100%, $F$12)</f>
        <v>18.947299999999998</v>
      </c>
      <c r="F668" s="4">
        <f>CHOOSE( CONTROL!$C$37, 19.6001, 19.599) * CHOOSE(CONTROL!$C$20, $D$12, 100%, $F$12)</f>
        <v>19.600100000000001</v>
      </c>
      <c r="G668" s="7">
        <f>CHOOSE( CONTROL!$C$37, 18.721, 18.72) * CHOOSE( CONTROL!$C$20, $D$12, 100%, $F$12)</f>
        <v>18.721</v>
      </c>
      <c r="H668" s="4">
        <f>CHOOSE( CONTROL!$C$37, 19.6005, 19.5995) * CHOOSE(CONTROL!$C$20, $D$12, 100%, $F$12)</f>
        <v>19.6005</v>
      </c>
      <c r="I668" s="7">
        <f>CHOOSE( CONTROL!$C$37, 18.5228, 18.5218) * CHOOSE(CONTROL!$C$20, $D$12, 100%, $F$12)</f>
        <v>18.5228</v>
      </c>
      <c r="J668" s="4">
        <f>CHOOSE( CONTROL!$C$37, 18.3636, 18.3626) * CHOOSE(CONTROL!$C$20, $D$12, 100%, $F$12)</f>
        <v>18.363600000000002</v>
      </c>
      <c r="K668" s="4"/>
      <c r="L668" s="8">
        <v>29.306000000000001</v>
      </c>
      <c r="M668" s="8">
        <v>12.063700000000001</v>
      </c>
      <c r="N668" s="8">
        <v>4.9444999999999997</v>
      </c>
      <c r="O668" s="8">
        <v>0.37409999999999999</v>
      </c>
      <c r="P668" s="8">
        <v>1.2927</v>
      </c>
      <c r="Q668" s="8">
        <v>19.688099999999999</v>
      </c>
      <c r="R668" s="8"/>
    </row>
    <row r="669" spans="1:18" ht="14.25" customHeight="1">
      <c r="A669" s="11">
        <v>61483</v>
      </c>
      <c r="B669" s="7">
        <f>CHOOSE( CONTROL!$C$37, 19.2366, 19.2355) * CHOOSE(CONTROL!$C$20, $D$12, 100%, $F$12)</f>
        <v>19.236599999999999</v>
      </c>
      <c r="C669" s="7">
        <f>CHOOSE( CONTROL!$C$37, 19.2411, 19.24) * CHOOSE(CONTROL!$C$20, $D$12, 100%, $F$12)</f>
        <v>19.241099999999999</v>
      </c>
      <c r="D669" s="7">
        <f>CHOOSE( CONTROL!$C$37, 19.2529, 19.2519) * CHOOSE( CONTROL!$C$20, $D$12, 100%, $F$12)</f>
        <v>19.2529</v>
      </c>
      <c r="E669" s="10">
        <f>CHOOSE( CONTROL!$C$37, 19.2485, 19.2475) * CHOOSE( CONTROL!$C$20, $D$12, 100%, $F$12)</f>
        <v>19.2485</v>
      </c>
      <c r="F669" s="4">
        <f>CHOOSE( CONTROL!$C$37, 19.9632, 19.9621) * CHOOSE(CONTROL!$C$20, $D$12, 100%, $F$12)</f>
        <v>19.963200000000001</v>
      </c>
      <c r="G669" s="7">
        <f>CHOOSE( CONTROL!$C$37, 19.0135, 19.0124) * CHOOSE( CONTROL!$C$20, $D$12, 100%, $F$12)</f>
        <v>19.013500000000001</v>
      </c>
      <c r="H669" s="4">
        <f>CHOOSE( CONTROL!$C$37, 19.9586, 19.9575) * CHOOSE(CONTROL!$C$20, $D$12, 100%, $F$12)</f>
        <v>19.958600000000001</v>
      </c>
      <c r="I669" s="7">
        <f>CHOOSE( CONTROL!$C$37, 18.7746, 18.7736) * CHOOSE(CONTROL!$C$20, $D$12, 100%, $F$12)</f>
        <v>18.7746</v>
      </c>
      <c r="J669" s="4">
        <f>CHOOSE( CONTROL!$C$37, 18.6427, 18.6416) * CHOOSE(CONTROL!$C$20, $D$12, 100%, $F$12)</f>
        <v>18.642700000000001</v>
      </c>
      <c r="K669" s="4"/>
      <c r="L669" s="8">
        <v>30.092199999999998</v>
      </c>
      <c r="M669" s="8">
        <v>11.6745</v>
      </c>
      <c r="N669" s="8">
        <v>4.7850000000000001</v>
      </c>
      <c r="O669" s="8">
        <v>0.36199999999999999</v>
      </c>
      <c r="P669" s="8">
        <v>1.2509999999999999</v>
      </c>
      <c r="Q669" s="8">
        <v>19.053000000000001</v>
      </c>
      <c r="R669" s="8"/>
    </row>
    <row r="670" spans="1:18" ht="14.25" customHeight="1">
      <c r="A670" s="11">
        <v>61514</v>
      </c>
      <c r="B670" s="7">
        <f>CHOOSE( CONTROL!$C$37, 19.7515, 19.7498) * CHOOSE(CONTROL!$C$20, $D$12, 100%, $F$12)</f>
        <v>19.7515</v>
      </c>
      <c r="C670" s="7">
        <f>CHOOSE( CONTROL!$C$37, 19.7595, 19.7578) * CHOOSE(CONTROL!$C$20, $D$12, 100%, $F$12)</f>
        <v>19.759499999999999</v>
      </c>
      <c r="D670" s="7">
        <f>CHOOSE( CONTROL!$C$37, 19.7651, 19.7635) * CHOOSE( CONTROL!$C$20, $D$12, 100%, $F$12)</f>
        <v>19.7651</v>
      </c>
      <c r="E670" s="10">
        <f>CHOOSE( CONTROL!$C$37, 19.7619, 19.7602) * CHOOSE( CONTROL!$C$20, $D$12, 100%, $F$12)</f>
        <v>19.761900000000001</v>
      </c>
      <c r="F670" s="4">
        <f>CHOOSE( CONTROL!$C$37, 20.4768, 20.4751) * CHOOSE(CONTROL!$C$20, $D$12, 100%, $F$12)</f>
        <v>20.476800000000001</v>
      </c>
      <c r="G670" s="7">
        <f>CHOOSE( CONTROL!$C$37, 19.5198, 19.5182) * CHOOSE( CONTROL!$C$20, $D$12, 100%, $F$12)</f>
        <v>19.5198</v>
      </c>
      <c r="H670" s="4">
        <f>CHOOSE( CONTROL!$C$37, 20.465, 20.4633) * CHOOSE(CONTROL!$C$20, $D$12, 100%, $F$12)</f>
        <v>20.465</v>
      </c>
      <c r="I670" s="7">
        <f>CHOOSE( CONTROL!$C$37, 19.2719, 19.2702) * CHOOSE(CONTROL!$C$20, $D$12, 100%, $F$12)</f>
        <v>19.271899999999999</v>
      </c>
      <c r="J670" s="4">
        <f>CHOOSE( CONTROL!$C$37, 19.14, 19.1384) * CHOOSE(CONTROL!$C$20, $D$12, 100%, $F$12)</f>
        <v>19.14</v>
      </c>
      <c r="K670" s="4"/>
      <c r="L670" s="8">
        <v>30.7165</v>
      </c>
      <c r="M670" s="8">
        <v>12.063700000000001</v>
      </c>
      <c r="N670" s="8">
        <v>4.9444999999999997</v>
      </c>
      <c r="O670" s="8">
        <v>0.37409999999999999</v>
      </c>
      <c r="P670" s="8">
        <v>1.2927</v>
      </c>
      <c r="Q670" s="8">
        <v>19.688099999999999</v>
      </c>
      <c r="R670" s="8"/>
    </row>
    <row r="671" spans="1:18" ht="14.25" customHeight="1">
      <c r="A671" s="11">
        <v>61544</v>
      </c>
      <c r="B671" s="7">
        <f>CHOOSE( CONTROL!$C$37, 19.4337, 19.4321) * CHOOSE(CONTROL!$C$20, $D$12, 100%, $F$12)</f>
        <v>19.433700000000002</v>
      </c>
      <c r="C671" s="7">
        <f>CHOOSE( CONTROL!$C$37, 19.4417, 19.4401) * CHOOSE(CONTROL!$C$20, $D$12, 100%, $F$12)</f>
        <v>19.441700000000001</v>
      </c>
      <c r="D671" s="7">
        <f>CHOOSE( CONTROL!$C$37, 19.4476, 19.446) * CHOOSE( CONTROL!$C$20, $D$12, 100%, $F$12)</f>
        <v>19.447600000000001</v>
      </c>
      <c r="E671" s="10">
        <f>CHOOSE( CONTROL!$C$37, 19.4442, 19.4426) * CHOOSE( CONTROL!$C$20, $D$12, 100%, $F$12)</f>
        <v>19.444199999999999</v>
      </c>
      <c r="F671" s="4">
        <f>CHOOSE( CONTROL!$C$37, 20.159, 20.1573) * CHOOSE(CONTROL!$C$20, $D$12, 100%, $F$12)</f>
        <v>20.158999999999999</v>
      </c>
      <c r="G671" s="7">
        <f>CHOOSE( CONTROL!$C$37, 19.2067, 19.2051) * CHOOSE( CONTROL!$C$20, $D$12, 100%, $F$12)</f>
        <v>19.206700000000001</v>
      </c>
      <c r="H671" s="4">
        <f>CHOOSE( CONTROL!$C$37, 20.1516, 20.15) * CHOOSE(CONTROL!$C$20, $D$12, 100%, $F$12)</f>
        <v>20.151599999999998</v>
      </c>
      <c r="I671" s="7">
        <f>CHOOSE( CONTROL!$C$37, 18.965, 18.9633) * CHOOSE(CONTROL!$C$20, $D$12, 100%, $F$12)</f>
        <v>18.965</v>
      </c>
      <c r="J671" s="4">
        <f>CHOOSE( CONTROL!$C$37, 18.8323, 18.8307) * CHOOSE(CONTROL!$C$20, $D$12, 100%, $F$12)</f>
        <v>18.8323</v>
      </c>
      <c r="K671" s="4"/>
      <c r="L671" s="8">
        <v>29.7257</v>
      </c>
      <c r="M671" s="8">
        <v>11.6745</v>
      </c>
      <c r="N671" s="8">
        <v>4.7850000000000001</v>
      </c>
      <c r="O671" s="8">
        <v>0.36199999999999999</v>
      </c>
      <c r="P671" s="8">
        <v>1.2509999999999999</v>
      </c>
      <c r="Q671" s="8">
        <v>19.053000000000001</v>
      </c>
      <c r="R671" s="8"/>
    </row>
    <row r="672" spans="1:18" ht="14.25" customHeight="1">
      <c r="A672" s="11">
        <v>61575</v>
      </c>
      <c r="B672" s="7">
        <f>CHOOSE( CONTROL!$C$37, 20.2705, 20.2689) * CHOOSE(CONTROL!$C$20, $D$12, 100%, $F$12)</f>
        <v>20.270499999999998</v>
      </c>
      <c r="C672" s="7">
        <f>CHOOSE( CONTROL!$C$37, 20.2785, 20.2769) * CHOOSE(CONTROL!$C$20, $D$12, 100%, $F$12)</f>
        <v>20.278500000000001</v>
      </c>
      <c r="D672" s="7">
        <f>CHOOSE( CONTROL!$C$37, 20.2848, 20.2831) * CHOOSE( CONTROL!$C$20, $D$12, 100%, $F$12)</f>
        <v>20.284800000000001</v>
      </c>
      <c r="E672" s="10">
        <f>CHOOSE( CONTROL!$C$37, 20.2813, 20.2796) * CHOOSE( CONTROL!$C$20, $D$12, 100%, $F$12)</f>
        <v>20.281300000000002</v>
      </c>
      <c r="F672" s="4">
        <f>CHOOSE( CONTROL!$C$37, 20.9958, 20.9942) * CHOOSE(CONTROL!$C$20, $D$12, 100%, $F$12)</f>
        <v>20.995799999999999</v>
      </c>
      <c r="G672" s="7">
        <f>CHOOSE( CONTROL!$C$37, 20.0321, 20.0305) * CHOOSE( CONTROL!$C$20, $D$12, 100%, $F$12)</f>
        <v>20.0321</v>
      </c>
      <c r="H672" s="4">
        <f>CHOOSE( CONTROL!$C$37, 20.9768, 20.9751) * CHOOSE(CONTROL!$C$20, $D$12, 100%, $F$12)</f>
        <v>20.976800000000001</v>
      </c>
      <c r="I672" s="7">
        <f>CHOOSE( CONTROL!$C$37, 19.7767, 19.7751) * CHOOSE(CONTROL!$C$20, $D$12, 100%, $F$12)</f>
        <v>19.776700000000002</v>
      </c>
      <c r="J672" s="4">
        <f>CHOOSE( CONTROL!$C$37, 19.6426, 19.641) * CHOOSE(CONTROL!$C$20, $D$12, 100%, $F$12)</f>
        <v>19.642600000000002</v>
      </c>
      <c r="K672" s="4"/>
      <c r="L672" s="8">
        <v>30.7165</v>
      </c>
      <c r="M672" s="8">
        <v>12.063700000000001</v>
      </c>
      <c r="N672" s="8">
        <v>4.9444999999999997</v>
      </c>
      <c r="O672" s="8">
        <v>0.37409999999999999</v>
      </c>
      <c r="P672" s="8">
        <v>1.2927</v>
      </c>
      <c r="Q672" s="8">
        <v>19.688099999999999</v>
      </c>
      <c r="R672" s="8"/>
    </row>
    <row r="673" spans="1:18" ht="14.25" customHeight="1">
      <c r="A673" s="11">
        <v>61606</v>
      </c>
      <c r="B673" s="7">
        <f>CHOOSE( CONTROL!$C$37, 18.7048, 18.7031) * CHOOSE(CONTROL!$C$20, $D$12, 100%, $F$12)</f>
        <v>18.704799999999999</v>
      </c>
      <c r="C673" s="7">
        <f>CHOOSE( CONTROL!$C$37, 18.7128, 18.7111) * CHOOSE(CONTROL!$C$20, $D$12, 100%, $F$12)</f>
        <v>18.712800000000001</v>
      </c>
      <c r="D673" s="7">
        <f>CHOOSE( CONTROL!$C$37, 18.7191, 18.7174) * CHOOSE( CONTROL!$C$20, $D$12, 100%, $F$12)</f>
        <v>18.719100000000001</v>
      </c>
      <c r="E673" s="10">
        <f>CHOOSE( CONTROL!$C$37, 18.7156, 18.7139) * CHOOSE( CONTROL!$C$20, $D$12, 100%, $F$12)</f>
        <v>18.715599999999998</v>
      </c>
      <c r="F673" s="4">
        <f>CHOOSE( CONTROL!$C$37, 19.4301, 19.4284) * CHOOSE(CONTROL!$C$20, $D$12, 100%, $F$12)</f>
        <v>19.430099999999999</v>
      </c>
      <c r="G673" s="7">
        <f>CHOOSE( CONTROL!$C$37, 18.4882, 18.4866) * CHOOSE( CONTROL!$C$20, $D$12, 100%, $F$12)</f>
        <v>18.488199999999999</v>
      </c>
      <c r="H673" s="4">
        <f>CHOOSE( CONTROL!$C$37, 19.4328, 19.4312) * CHOOSE(CONTROL!$C$20, $D$12, 100%, $F$12)</f>
        <v>19.4328</v>
      </c>
      <c r="I673" s="7">
        <f>CHOOSE( CONTROL!$C$37, 18.2601, 18.2585) * CHOOSE(CONTROL!$C$20, $D$12, 100%, $F$12)</f>
        <v>18.260100000000001</v>
      </c>
      <c r="J673" s="4">
        <f>CHOOSE( CONTROL!$C$37, 18.1264, 18.1248) * CHOOSE(CONTROL!$C$20, $D$12, 100%, $F$12)</f>
        <v>18.1264</v>
      </c>
      <c r="K673" s="4"/>
      <c r="L673" s="8">
        <v>30.7165</v>
      </c>
      <c r="M673" s="8">
        <v>12.063700000000001</v>
      </c>
      <c r="N673" s="8">
        <v>4.9444999999999997</v>
      </c>
      <c r="O673" s="8">
        <v>0.37409999999999999</v>
      </c>
      <c r="P673" s="8">
        <v>1.2927</v>
      </c>
      <c r="Q673" s="8">
        <v>19.688099999999999</v>
      </c>
      <c r="R673" s="8"/>
    </row>
    <row r="674" spans="1:18" ht="14.25" customHeight="1">
      <c r="A674" s="11">
        <v>61636</v>
      </c>
      <c r="B674" s="7">
        <f>CHOOSE( CONTROL!$C$37, 18.3127, 18.311) * CHOOSE(CONTROL!$C$20, $D$12, 100%, $F$12)</f>
        <v>18.3127</v>
      </c>
      <c r="C674" s="7">
        <f>CHOOSE( CONTROL!$C$37, 18.3207, 18.319) * CHOOSE(CONTROL!$C$20, $D$12, 100%, $F$12)</f>
        <v>18.320699999999999</v>
      </c>
      <c r="D674" s="7">
        <f>CHOOSE( CONTROL!$C$37, 18.3269, 18.3252) * CHOOSE( CONTROL!$C$20, $D$12, 100%, $F$12)</f>
        <v>18.326899999999998</v>
      </c>
      <c r="E674" s="10">
        <f>CHOOSE( CONTROL!$C$37, 18.3234, 18.3217) * CHOOSE( CONTROL!$C$20, $D$12, 100%, $F$12)</f>
        <v>18.323399999999999</v>
      </c>
      <c r="F674" s="4">
        <f>CHOOSE( CONTROL!$C$37, 19.038, 19.0363) * CHOOSE(CONTROL!$C$20, $D$12, 100%, $F$12)</f>
        <v>19.038</v>
      </c>
      <c r="G674" s="7">
        <f>CHOOSE( CONTROL!$C$37, 18.1015, 18.0999) * CHOOSE( CONTROL!$C$20, $D$12, 100%, $F$12)</f>
        <v>18.101500000000001</v>
      </c>
      <c r="H674" s="4">
        <f>CHOOSE( CONTROL!$C$37, 19.0462, 19.0446) * CHOOSE(CONTROL!$C$20, $D$12, 100%, $F$12)</f>
        <v>19.046199999999999</v>
      </c>
      <c r="I674" s="7">
        <f>CHOOSE( CONTROL!$C$37, 17.8799, 17.8782) * CHOOSE(CONTROL!$C$20, $D$12, 100%, $F$12)</f>
        <v>17.879899999999999</v>
      </c>
      <c r="J674" s="4">
        <f>CHOOSE( CONTROL!$C$37, 17.7468, 17.7452) * CHOOSE(CONTROL!$C$20, $D$12, 100%, $F$12)</f>
        <v>17.7468</v>
      </c>
      <c r="K674" s="4"/>
      <c r="L674" s="8">
        <v>29.7257</v>
      </c>
      <c r="M674" s="8">
        <v>11.6745</v>
      </c>
      <c r="N674" s="8">
        <v>4.7850000000000001</v>
      </c>
      <c r="O674" s="8">
        <v>0.36199999999999999</v>
      </c>
      <c r="P674" s="8">
        <v>1.2509999999999999</v>
      </c>
      <c r="Q674" s="8">
        <v>19.053000000000001</v>
      </c>
      <c r="R674" s="8"/>
    </row>
    <row r="675" spans="1:18" ht="14.25" customHeight="1">
      <c r="A675" s="11">
        <v>61667</v>
      </c>
      <c r="B675" s="7">
        <f>CHOOSE( CONTROL!$C$37, 19.1245, 19.1234) * CHOOSE(CONTROL!$C$20, $D$12, 100%, $F$12)</f>
        <v>19.124500000000001</v>
      </c>
      <c r="C675" s="7">
        <f>CHOOSE( CONTROL!$C$37, 19.1298, 19.1288) * CHOOSE(CONTROL!$C$20, $D$12, 100%, $F$12)</f>
        <v>19.129799999999999</v>
      </c>
      <c r="D675" s="7">
        <f>CHOOSE( CONTROL!$C$37, 19.1418, 19.1408) * CHOOSE( CONTROL!$C$20, $D$12, 100%, $F$12)</f>
        <v>19.1418</v>
      </c>
      <c r="E675" s="10">
        <f>CHOOSE( CONTROL!$C$37, 19.1373, 19.1363) * CHOOSE( CONTROL!$C$20, $D$12, 100%, $F$12)</f>
        <v>19.1373</v>
      </c>
      <c r="F675" s="4">
        <f>CHOOSE( CONTROL!$C$37, 19.8515, 19.8504) * CHOOSE(CONTROL!$C$20, $D$12, 100%, $F$12)</f>
        <v>19.851500000000001</v>
      </c>
      <c r="G675" s="7">
        <f>CHOOSE( CONTROL!$C$37, 18.9038, 18.9028) * CHOOSE( CONTROL!$C$20, $D$12, 100%, $F$12)</f>
        <v>18.9038</v>
      </c>
      <c r="H675" s="4">
        <f>CHOOSE( CONTROL!$C$37, 19.8484, 19.8473) * CHOOSE(CONTROL!$C$20, $D$12, 100%, $F$12)</f>
        <v>19.848400000000002</v>
      </c>
      <c r="I675" s="7">
        <f>CHOOSE( CONTROL!$C$37, 18.6687, 18.6676) * CHOOSE(CONTROL!$C$20, $D$12, 100%, $F$12)</f>
        <v>18.668700000000001</v>
      </c>
      <c r="J675" s="4">
        <f>CHOOSE( CONTROL!$C$37, 18.5345, 18.5335) * CHOOSE(CONTROL!$C$20, $D$12, 100%, $F$12)</f>
        <v>18.534500000000001</v>
      </c>
      <c r="K675" s="4"/>
      <c r="L675" s="8">
        <v>31.095300000000002</v>
      </c>
      <c r="M675" s="8">
        <v>12.063700000000001</v>
      </c>
      <c r="N675" s="8">
        <v>4.9444999999999997</v>
      </c>
      <c r="O675" s="8">
        <v>0.37409999999999999</v>
      </c>
      <c r="P675" s="8">
        <v>1.2927</v>
      </c>
      <c r="Q675" s="8">
        <v>19.688099999999999</v>
      </c>
      <c r="R675" s="8"/>
    </row>
    <row r="676" spans="1:18" ht="14.25" customHeight="1">
      <c r="A676" s="11">
        <v>61697</v>
      </c>
      <c r="B676" s="7">
        <f>CHOOSE( CONTROL!$C$37, 20.6268, 20.6257) * CHOOSE(CONTROL!$C$20, $D$12, 100%, $F$12)</f>
        <v>20.626799999999999</v>
      </c>
      <c r="C676" s="7">
        <f>CHOOSE( CONTROL!$C$37, 20.6319, 20.6308) * CHOOSE(CONTROL!$C$20, $D$12, 100%, $F$12)</f>
        <v>20.631900000000002</v>
      </c>
      <c r="D676" s="7">
        <f>CHOOSE( CONTROL!$C$37, 20.6103, 20.6092) * CHOOSE( CONTROL!$C$20, $D$12, 100%, $F$12)</f>
        <v>20.610299999999999</v>
      </c>
      <c r="E676" s="10">
        <f>CHOOSE( CONTROL!$C$37, 20.6177, 20.6166) * CHOOSE( CONTROL!$C$20, $D$12, 100%, $F$12)</f>
        <v>20.617699999999999</v>
      </c>
      <c r="F676" s="4">
        <f>CHOOSE( CONTROL!$C$37, 21.2793, 21.2782) * CHOOSE(CONTROL!$C$20, $D$12, 100%, $F$12)</f>
        <v>21.279299999999999</v>
      </c>
      <c r="G676" s="7">
        <f>CHOOSE( CONTROL!$C$37, 20.3717, 20.3706) * CHOOSE( CONTROL!$C$20, $D$12, 100%, $F$12)</f>
        <v>20.371700000000001</v>
      </c>
      <c r="H676" s="4">
        <f>CHOOSE( CONTROL!$C$37, 21.2563, 21.2552) * CHOOSE(CONTROL!$C$20, $D$12, 100%, $F$12)</f>
        <v>21.2563</v>
      </c>
      <c r="I676" s="7">
        <f>CHOOSE( CONTROL!$C$37, 20.1756, 20.1745) * CHOOSE(CONTROL!$C$20, $D$12, 100%, $F$12)</f>
        <v>20.175599999999999</v>
      </c>
      <c r="J676" s="4">
        <f>CHOOSE( CONTROL!$C$37, 19.9896, 19.9885) * CHOOSE(CONTROL!$C$20, $D$12, 100%, $F$12)</f>
        <v>19.989599999999999</v>
      </c>
      <c r="K676" s="4"/>
      <c r="L676" s="8">
        <v>28.360600000000002</v>
      </c>
      <c r="M676" s="8">
        <v>11.6745</v>
      </c>
      <c r="N676" s="8">
        <v>4.7850000000000001</v>
      </c>
      <c r="O676" s="8">
        <v>0.36199999999999999</v>
      </c>
      <c r="P676" s="8">
        <v>1.2509999999999999</v>
      </c>
      <c r="Q676" s="8">
        <v>19.053000000000001</v>
      </c>
      <c r="R676" s="8"/>
    </row>
    <row r="677" spans="1:18" ht="14.25" customHeight="1">
      <c r="A677" s="11">
        <v>61728</v>
      </c>
      <c r="B677" s="7">
        <f>CHOOSE( CONTROL!$C$37, 20.5892, 20.5881) * CHOOSE(CONTROL!$C$20, $D$12, 100%, $F$12)</f>
        <v>20.589200000000002</v>
      </c>
      <c r="C677" s="7">
        <f>CHOOSE( CONTROL!$C$37, 20.5943, 20.5932) * CHOOSE(CONTROL!$C$20, $D$12, 100%, $F$12)</f>
        <v>20.5943</v>
      </c>
      <c r="D677" s="7">
        <f>CHOOSE( CONTROL!$C$37, 20.5743, 20.5733) * CHOOSE( CONTROL!$C$20, $D$12, 100%, $F$12)</f>
        <v>20.574300000000001</v>
      </c>
      <c r="E677" s="10">
        <f>CHOOSE( CONTROL!$C$37, 20.5811, 20.58) * CHOOSE( CONTROL!$C$20, $D$12, 100%, $F$12)</f>
        <v>20.581099999999999</v>
      </c>
      <c r="F677" s="4">
        <f>CHOOSE( CONTROL!$C$37, 21.2418, 21.2407) * CHOOSE(CONTROL!$C$20, $D$12, 100%, $F$12)</f>
        <v>21.241800000000001</v>
      </c>
      <c r="G677" s="7">
        <f>CHOOSE( CONTROL!$C$37, 20.3358, 20.3347) * CHOOSE( CONTROL!$C$20, $D$12, 100%, $F$12)</f>
        <v>20.335799999999999</v>
      </c>
      <c r="H677" s="4">
        <f>CHOOSE( CONTROL!$C$37, 21.2193, 21.2182) * CHOOSE(CONTROL!$C$20, $D$12, 100%, $F$12)</f>
        <v>21.2193</v>
      </c>
      <c r="I677" s="7">
        <f>CHOOSE( CONTROL!$C$37, 20.1441, 20.143) * CHOOSE(CONTROL!$C$20, $D$12, 100%, $F$12)</f>
        <v>20.144100000000002</v>
      </c>
      <c r="J677" s="4">
        <f>CHOOSE( CONTROL!$C$37, 19.9532, 19.9521) * CHOOSE(CONTROL!$C$20, $D$12, 100%, $F$12)</f>
        <v>19.953199999999999</v>
      </c>
      <c r="K677" s="4"/>
      <c r="L677" s="8">
        <v>29.306000000000001</v>
      </c>
      <c r="M677" s="8">
        <v>12.063700000000001</v>
      </c>
      <c r="N677" s="8">
        <v>4.9444999999999997</v>
      </c>
      <c r="O677" s="8">
        <v>0.37409999999999999</v>
      </c>
      <c r="P677" s="8">
        <v>1.2927</v>
      </c>
      <c r="Q677" s="8">
        <v>19.688099999999999</v>
      </c>
      <c r="R677" s="8"/>
    </row>
    <row r="678" spans="1:18" ht="14.25" customHeight="1">
      <c r="A678" s="11">
        <v>61759</v>
      </c>
      <c r="B678" s="7">
        <f>CHOOSE( CONTROL!$C$37, 21.197, 21.1959) * CHOOSE(CONTROL!$C$20, $D$12, 100%, $F$12)</f>
        <v>21.196999999999999</v>
      </c>
      <c r="C678" s="7">
        <f>CHOOSE( CONTROL!$C$37, 21.2021, 21.201) * CHOOSE(CONTROL!$C$20, $D$12, 100%, $F$12)</f>
        <v>21.202100000000002</v>
      </c>
      <c r="D678" s="7">
        <f>CHOOSE( CONTROL!$C$37, 21.1952, 21.1941) * CHOOSE( CONTROL!$C$20, $D$12, 100%, $F$12)</f>
        <v>21.1952</v>
      </c>
      <c r="E678" s="10">
        <f>CHOOSE( CONTROL!$C$37, 21.1972, 21.1961) * CHOOSE( CONTROL!$C$20, $D$12, 100%, $F$12)</f>
        <v>21.197199999999999</v>
      </c>
      <c r="F678" s="4">
        <f>CHOOSE( CONTROL!$C$37, 21.8496, 21.8485) * CHOOSE(CONTROL!$C$20, $D$12, 100%, $F$12)</f>
        <v>21.849599999999999</v>
      </c>
      <c r="G678" s="7">
        <f>CHOOSE( CONTROL!$C$37, 20.9396, 20.9385) * CHOOSE( CONTROL!$C$20, $D$12, 100%, $F$12)</f>
        <v>20.939599999999999</v>
      </c>
      <c r="H678" s="4">
        <f>CHOOSE( CONTROL!$C$37, 21.8186, 21.8175) * CHOOSE(CONTROL!$C$20, $D$12, 100%, $F$12)</f>
        <v>21.8186</v>
      </c>
      <c r="I678" s="7">
        <f>CHOOSE( CONTROL!$C$37, 20.7042, 20.7032) * CHOOSE(CONTROL!$C$20, $D$12, 100%, $F$12)</f>
        <v>20.7042</v>
      </c>
      <c r="J678" s="4">
        <f>CHOOSE( CONTROL!$C$37, 20.5417, 20.5407) * CHOOSE(CONTROL!$C$20, $D$12, 100%, $F$12)</f>
        <v>20.541699999999999</v>
      </c>
      <c r="K678" s="4"/>
      <c r="L678" s="8">
        <v>29.306000000000001</v>
      </c>
      <c r="M678" s="8">
        <v>12.063700000000001</v>
      </c>
      <c r="N678" s="8">
        <v>4.9444999999999997</v>
      </c>
      <c r="O678" s="8">
        <v>0.37409999999999999</v>
      </c>
      <c r="P678" s="8">
        <v>1.2927</v>
      </c>
      <c r="Q678" s="8">
        <v>19.688099999999999</v>
      </c>
      <c r="R678" s="8"/>
    </row>
    <row r="679" spans="1:18" ht="14.25" customHeight="1">
      <c r="A679" s="11">
        <v>61787</v>
      </c>
      <c r="B679" s="7">
        <f>CHOOSE( CONTROL!$C$37, 19.8256, 19.8245) * CHOOSE(CONTROL!$C$20, $D$12, 100%, $F$12)</f>
        <v>19.825600000000001</v>
      </c>
      <c r="C679" s="7">
        <f>CHOOSE( CONTROL!$C$37, 19.8307, 19.8296) * CHOOSE(CONTROL!$C$20, $D$12, 100%, $F$12)</f>
        <v>19.8307</v>
      </c>
      <c r="D679" s="7">
        <f>CHOOSE( CONTROL!$C$37, 19.8237, 19.8227) * CHOOSE( CONTROL!$C$20, $D$12, 100%, $F$12)</f>
        <v>19.823699999999999</v>
      </c>
      <c r="E679" s="10">
        <f>CHOOSE( CONTROL!$C$37, 19.8257, 19.8247) * CHOOSE( CONTROL!$C$20, $D$12, 100%, $F$12)</f>
        <v>19.825700000000001</v>
      </c>
      <c r="F679" s="4">
        <f>CHOOSE( CONTROL!$C$37, 20.4782, 20.4771) * CHOOSE(CONTROL!$C$20, $D$12, 100%, $F$12)</f>
        <v>20.478200000000001</v>
      </c>
      <c r="G679" s="7">
        <f>CHOOSE( CONTROL!$C$37, 19.5873, 19.5862) * CHOOSE( CONTROL!$C$20, $D$12, 100%, $F$12)</f>
        <v>19.587299999999999</v>
      </c>
      <c r="H679" s="4">
        <f>CHOOSE( CONTROL!$C$37, 20.4663, 20.4652) * CHOOSE(CONTROL!$C$20, $D$12, 100%, $F$12)</f>
        <v>20.4663</v>
      </c>
      <c r="I679" s="7">
        <f>CHOOSE( CONTROL!$C$37, 19.3754, 19.3743) * CHOOSE(CONTROL!$C$20, $D$12, 100%, $F$12)</f>
        <v>19.375399999999999</v>
      </c>
      <c r="J679" s="4">
        <f>CHOOSE( CONTROL!$C$37, 19.2138, 19.2128) * CHOOSE(CONTROL!$C$20, $D$12, 100%, $F$12)</f>
        <v>19.213799999999999</v>
      </c>
      <c r="K679" s="4"/>
      <c r="L679" s="8">
        <v>26.469899999999999</v>
      </c>
      <c r="M679" s="8">
        <v>10.8962</v>
      </c>
      <c r="N679" s="8">
        <v>4.4660000000000002</v>
      </c>
      <c r="O679" s="8">
        <v>0.33789999999999998</v>
      </c>
      <c r="P679" s="8">
        <v>1.1676</v>
      </c>
      <c r="Q679" s="8">
        <v>17.782800000000002</v>
      </c>
      <c r="R679" s="8"/>
    </row>
    <row r="680" spans="1:18" ht="14.25" customHeight="1">
      <c r="A680" s="11">
        <v>61818</v>
      </c>
      <c r="B680" s="7">
        <f>CHOOSE( CONTROL!$C$37, 19.4032, 19.4021) * CHOOSE(CONTROL!$C$20, $D$12, 100%, $F$12)</f>
        <v>19.403199999999998</v>
      </c>
      <c r="C680" s="7">
        <f>CHOOSE( CONTROL!$C$37, 19.4083, 19.4072) * CHOOSE(CONTROL!$C$20, $D$12, 100%, $F$12)</f>
        <v>19.408300000000001</v>
      </c>
      <c r="D680" s="7">
        <f>CHOOSE( CONTROL!$C$37, 19.4007, 19.3996) * CHOOSE( CONTROL!$C$20, $D$12, 100%, $F$12)</f>
        <v>19.400700000000001</v>
      </c>
      <c r="E680" s="10">
        <f>CHOOSE( CONTROL!$C$37, 19.4029, 19.4018) * CHOOSE( CONTROL!$C$20, $D$12, 100%, $F$12)</f>
        <v>19.402899999999999</v>
      </c>
      <c r="F680" s="4">
        <f>CHOOSE( CONTROL!$C$37, 20.0558, 20.0547) * CHOOSE(CONTROL!$C$20, $D$12, 100%, $F$12)</f>
        <v>20.055800000000001</v>
      </c>
      <c r="G680" s="7">
        <f>CHOOSE( CONTROL!$C$37, 19.1703, 19.1693) * CHOOSE( CONTROL!$C$20, $D$12, 100%, $F$12)</f>
        <v>19.170300000000001</v>
      </c>
      <c r="H680" s="4">
        <f>CHOOSE( CONTROL!$C$37, 20.0498, 20.0487) * CHOOSE(CONTROL!$C$20, $D$12, 100%, $F$12)</f>
        <v>20.049800000000001</v>
      </c>
      <c r="I680" s="7">
        <f>CHOOSE( CONTROL!$C$37, 18.9642, 18.9632) * CHOOSE(CONTROL!$C$20, $D$12, 100%, $F$12)</f>
        <v>18.964200000000002</v>
      </c>
      <c r="J680" s="4">
        <f>CHOOSE( CONTROL!$C$37, 18.8048, 18.8038) * CHOOSE(CONTROL!$C$20, $D$12, 100%, $F$12)</f>
        <v>18.8048</v>
      </c>
      <c r="K680" s="4"/>
      <c r="L680" s="8">
        <v>29.306000000000001</v>
      </c>
      <c r="M680" s="8">
        <v>12.063700000000001</v>
      </c>
      <c r="N680" s="8">
        <v>4.9444999999999997</v>
      </c>
      <c r="O680" s="8">
        <v>0.37409999999999999</v>
      </c>
      <c r="P680" s="8">
        <v>1.2927</v>
      </c>
      <c r="Q680" s="8">
        <v>19.688099999999999</v>
      </c>
      <c r="R680" s="8"/>
    </row>
    <row r="681" spans="1:18" ht="14.25" customHeight="1">
      <c r="A681" s="11">
        <v>61848</v>
      </c>
      <c r="B681" s="7">
        <f>CHOOSE( CONTROL!$C$37, 19.6992, 19.6981) * CHOOSE(CONTROL!$C$20, $D$12, 100%, $F$12)</f>
        <v>19.699200000000001</v>
      </c>
      <c r="C681" s="7">
        <f>CHOOSE( CONTROL!$C$37, 19.7037, 19.7026) * CHOOSE(CONTROL!$C$20, $D$12, 100%, $F$12)</f>
        <v>19.703700000000001</v>
      </c>
      <c r="D681" s="7">
        <f>CHOOSE( CONTROL!$C$37, 19.7155, 19.7144) * CHOOSE( CONTROL!$C$20, $D$12, 100%, $F$12)</f>
        <v>19.715499999999999</v>
      </c>
      <c r="E681" s="10">
        <f>CHOOSE( CONTROL!$C$37, 19.7111, 19.71) * CHOOSE( CONTROL!$C$20, $D$12, 100%, $F$12)</f>
        <v>19.711099999999998</v>
      </c>
      <c r="F681" s="4">
        <f>CHOOSE( CONTROL!$C$37, 20.4258, 20.4247) * CHOOSE(CONTROL!$C$20, $D$12, 100%, $F$12)</f>
        <v>20.425799999999999</v>
      </c>
      <c r="G681" s="7">
        <f>CHOOSE( CONTROL!$C$37, 19.4696, 19.4685) * CHOOSE( CONTROL!$C$20, $D$12, 100%, $F$12)</f>
        <v>19.4696</v>
      </c>
      <c r="H681" s="4">
        <f>CHOOSE( CONTROL!$C$37, 20.4147, 20.4136) * CHOOSE(CONTROL!$C$20, $D$12, 100%, $F$12)</f>
        <v>20.4147</v>
      </c>
      <c r="I681" s="7">
        <f>CHOOSE( CONTROL!$C$37, 19.2228, 19.2217) * CHOOSE(CONTROL!$C$20, $D$12, 100%, $F$12)</f>
        <v>19.222799999999999</v>
      </c>
      <c r="J681" s="4">
        <f>CHOOSE( CONTROL!$C$37, 19.0906, 19.0896) * CHOOSE(CONTROL!$C$20, $D$12, 100%, $F$12)</f>
        <v>19.090599999999998</v>
      </c>
      <c r="K681" s="4"/>
      <c r="L681" s="8">
        <v>30.092199999999998</v>
      </c>
      <c r="M681" s="8">
        <v>11.6745</v>
      </c>
      <c r="N681" s="8">
        <v>4.7850000000000001</v>
      </c>
      <c r="O681" s="8">
        <v>0.36199999999999999</v>
      </c>
      <c r="P681" s="8">
        <v>1.2509999999999999</v>
      </c>
      <c r="Q681" s="8">
        <v>19.053000000000001</v>
      </c>
      <c r="R681" s="8"/>
    </row>
    <row r="682" spans="1:18" ht="14.25" customHeight="1">
      <c r="A682" s="11">
        <v>61879</v>
      </c>
      <c r="B682" s="7">
        <f>CHOOSE( CONTROL!$C$37, 20.2264, 20.2247) * CHOOSE(CONTROL!$C$20, $D$12, 100%, $F$12)</f>
        <v>20.226400000000002</v>
      </c>
      <c r="C682" s="7">
        <f>CHOOSE( CONTROL!$C$37, 20.2344, 20.2327) * CHOOSE(CONTROL!$C$20, $D$12, 100%, $F$12)</f>
        <v>20.234400000000001</v>
      </c>
      <c r="D682" s="7">
        <f>CHOOSE( CONTROL!$C$37, 20.24, 20.2384) * CHOOSE( CONTROL!$C$20, $D$12, 100%, $F$12)</f>
        <v>20.239999999999998</v>
      </c>
      <c r="E682" s="10">
        <f>CHOOSE( CONTROL!$C$37, 20.2368, 20.2351) * CHOOSE( CONTROL!$C$20, $D$12, 100%, $F$12)</f>
        <v>20.236799999999999</v>
      </c>
      <c r="F682" s="4">
        <f>CHOOSE( CONTROL!$C$37, 20.9517, 20.95) * CHOOSE(CONTROL!$C$20, $D$12, 100%, $F$12)</f>
        <v>20.951699999999999</v>
      </c>
      <c r="G682" s="7">
        <f>CHOOSE( CONTROL!$C$37, 19.9881, 19.9865) * CHOOSE( CONTROL!$C$20, $D$12, 100%, $F$12)</f>
        <v>19.988099999999999</v>
      </c>
      <c r="H682" s="4">
        <f>CHOOSE( CONTROL!$C$37, 20.9332, 20.9316) * CHOOSE(CONTROL!$C$20, $D$12, 100%, $F$12)</f>
        <v>20.933199999999999</v>
      </c>
      <c r="I682" s="7">
        <f>CHOOSE( CONTROL!$C$37, 19.7319, 19.7303) * CHOOSE(CONTROL!$C$20, $D$12, 100%, $F$12)</f>
        <v>19.7319</v>
      </c>
      <c r="J682" s="4">
        <f>CHOOSE( CONTROL!$C$37, 19.5998, 19.5982) * CHOOSE(CONTROL!$C$20, $D$12, 100%, $F$12)</f>
        <v>19.599799999999998</v>
      </c>
      <c r="K682" s="4"/>
      <c r="L682" s="8">
        <v>30.7165</v>
      </c>
      <c r="M682" s="8">
        <v>12.063700000000001</v>
      </c>
      <c r="N682" s="8">
        <v>4.9444999999999997</v>
      </c>
      <c r="O682" s="8">
        <v>0.37409999999999999</v>
      </c>
      <c r="P682" s="8">
        <v>1.2927</v>
      </c>
      <c r="Q682" s="8">
        <v>19.688099999999999</v>
      </c>
      <c r="R682" s="8"/>
    </row>
    <row r="683" spans="1:18" ht="14.25" customHeight="1">
      <c r="A683" s="11">
        <v>61909</v>
      </c>
      <c r="B683" s="7">
        <f>CHOOSE( CONTROL!$C$37, 19.901, 19.8993) * CHOOSE(CONTROL!$C$20, $D$12, 100%, $F$12)</f>
        <v>19.901</v>
      </c>
      <c r="C683" s="7">
        <f>CHOOSE( CONTROL!$C$37, 19.909, 19.9073) * CHOOSE(CONTROL!$C$20, $D$12, 100%, $F$12)</f>
        <v>19.908999999999999</v>
      </c>
      <c r="D683" s="7">
        <f>CHOOSE( CONTROL!$C$37, 19.9149, 19.9133) * CHOOSE( CONTROL!$C$20, $D$12, 100%, $F$12)</f>
        <v>19.914899999999999</v>
      </c>
      <c r="E683" s="10">
        <f>CHOOSE( CONTROL!$C$37, 19.9115, 19.9099) * CHOOSE( CONTROL!$C$20, $D$12, 100%, $F$12)</f>
        <v>19.9115</v>
      </c>
      <c r="F683" s="4">
        <f>CHOOSE( CONTROL!$C$37, 20.6263, 20.6246) * CHOOSE(CONTROL!$C$20, $D$12, 100%, $F$12)</f>
        <v>20.626300000000001</v>
      </c>
      <c r="G683" s="7">
        <f>CHOOSE( CONTROL!$C$37, 19.6675, 19.6658) * CHOOSE( CONTROL!$C$20, $D$12, 100%, $F$12)</f>
        <v>19.6675</v>
      </c>
      <c r="H683" s="4">
        <f>CHOOSE( CONTROL!$C$37, 20.6124, 20.6107) * CHOOSE(CONTROL!$C$20, $D$12, 100%, $F$12)</f>
        <v>20.612400000000001</v>
      </c>
      <c r="I683" s="7">
        <f>CHOOSE( CONTROL!$C$37, 19.4176, 19.416) * CHOOSE(CONTROL!$C$20, $D$12, 100%, $F$12)</f>
        <v>19.4176</v>
      </c>
      <c r="J683" s="4">
        <f>CHOOSE( CONTROL!$C$37, 19.2847, 19.2831) * CHOOSE(CONTROL!$C$20, $D$12, 100%, $F$12)</f>
        <v>19.284700000000001</v>
      </c>
      <c r="K683" s="4"/>
      <c r="L683" s="8">
        <v>29.7257</v>
      </c>
      <c r="M683" s="8">
        <v>11.6745</v>
      </c>
      <c r="N683" s="8">
        <v>4.7850000000000001</v>
      </c>
      <c r="O683" s="8">
        <v>0.36199999999999999</v>
      </c>
      <c r="P683" s="8">
        <v>1.2509999999999999</v>
      </c>
      <c r="Q683" s="8">
        <v>19.053000000000001</v>
      </c>
      <c r="R683" s="8"/>
    </row>
    <row r="684" spans="1:18" ht="14.25" customHeight="1">
      <c r="A684" s="11">
        <v>61940</v>
      </c>
      <c r="B684" s="7">
        <f>CHOOSE( CONTROL!$C$37, 20.7579, 20.7563) * CHOOSE(CONTROL!$C$20, $D$12, 100%, $F$12)</f>
        <v>20.757899999999999</v>
      </c>
      <c r="C684" s="7">
        <f>CHOOSE( CONTROL!$C$37, 20.7659, 20.7642) * CHOOSE(CONTROL!$C$20, $D$12, 100%, $F$12)</f>
        <v>20.765899999999998</v>
      </c>
      <c r="D684" s="7">
        <f>CHOOSE( CONTROL!$C$37, 20.7721, 20.7705) * CHOOSE( CONTROL!$C$20, $D$12, 100%, $F$12)</f>
        <v>20.772099999999998</v>
      </c>
      <c r="E684" s="10">
        <f>CHOOSE( CONTROL!$C$37, 20.7686, 20.767) * CHOOSE( CONTROL!$C$20, $D$12, 100%, $F$12)</f>
        <v>20.768599999999999</v>
      </c>
      <c r="F684" s="4">
        <f>CHOOSE( CONTROL!$C$37, 21.4832, 21.4815) * CHOOSE(CONTROL!$C$20, $D$12, 100%, $F$12)</f>
        <v>21.4832</v>
      </c>
      <c r="G684" s="7">
        <f>CHOOSE( CONTROL!$C$37, 20.5127, 20.511) * CHOOSE( CONTROL!$C$20, $D$12, 100%, $F$12)</f>
        <v>20.512699999999999</v>
      </c>
      <c r="H684" s="4">
        <f>CHOOSE( CONTROL!$C$37, 21.4573, 21.4557) * CHOOSE(CONTROL!$C$20, $D$12, 100%, $F$12)</f>
        <v>21.4573</v>
      </c>
      <c r="I684" s="7">
        <f>CHOOSE( CONTROL!$C$37, 20.2488, 20.2472) * CHOOSE(CONTROL!$C$20, $D$12, 100%, $F$12)</f>
        <v>20.248799999999999</v>
      </c>
      <c r="J684" s="4">
        <f>CHOOSE( CONTROL!$C$37, 20.1145, 20.1129) * CHOOSE(CONTROL!$C$20, $D$12, 100%, $F$12)</f>
        <v>20.1145</v>
      </c>
      <c r="K684" s="4"/>
      <c r="L684" s="8">
        <v>30.7165</v>
      </c>
      <c r="M684" s="8">
        <v>12.063700000000001</v>
      </c>
      <c r="N684" s="8">
        <v>4.9444999999999997</v>
      </c>
      <c r="O684" s="8">
        <v>0.37409999999999999</v>
      </c>
      <c r="P684" s="8">
        <v>1.2927</v>
      </c>
      <c r="Q684" s="8">
        <v>19.688099999999999</v>
      </c>
      <c r="R684" s="8"/>
    </row>
    <row r="685" spans="1:18" ht="14.25" customHeight="1">
      <c r="A685" s="11">
        <v>61971</v>
      </c>
      <c r="B685" s="7">
        <f>CHOOSE( CONTROL!$C$37, 19.1545, 19.1529) * CHOOSE(CONTROL!$C$20, $D$12, 100%, $F$12)</f>
        <v>19.154499999999999</v>
      </c>
      <c r="C685" s="7">
        <f>CHOOSE( CONTROL!$C$37, 19.1625, 19.1609) * CHOOSE(CONTROL!$C$20, $D$12, 100%, $F$12)</f>
        <v>19.162500000000001</v>
      </c>
      <c r="D685" s="7">
        <f>CHOOSE( CONTROL!$C$37, 19.1688, 19.1672) * CHOOSE( CONTROL!$C$20, $D$12, 100%, $F$12)</f>
        <v>19.168800000000001</v>
      </c>
      <c r="E685" s="10">
        <f>CHOOSE( CONTROL!$C$37, 19.1653, 19.1637) * CHOOSE( CONTROL!$C$20, $D$12, 100%, $F$12)</f>
        <v>19.165299999999998</v>
      </c>
      <c r="F685" s="4">
        <f>CHOOSE( CONTROL!$C$37, 19.8798, 19.8781) * CHOOSE(CONTROL!$C$20, $D$12, 100%, $F$12)</f>
        <v>19.879799999999999</v>
      </c>
      <c r="G685" s="7">
        <f>CHOOSE( CONTROL!$C$37, 18.9317, 18.9301) * CHOOSE( CONTROL!$C$20, $D$12, 100%, $F$12)</f>
        <v>18.931699999999999</v>
      </c>
      <c r="H685" s="4">
        <f>CHOOSE( CONTROL!$C$37, 19.8763, 19.8747) * CHOOSE(CONTROL!$C$20, $D$12, 100%, $F$12)</f>
        <v>19.876300000000001</v>
      </c>
      <c r="I685" s="7">
        <f>CHOOSE( CONTROL!$C$37, 18.6958, 18.6942) * CHOOSE(CONTROL!$C$20, $D$12, 100%, $F$12)</f>
        <v>18.695799999999998</v>
      </c>
      <c r="J685" s="4">
        <f>CHOOSE( CONTROL!$C$37, 18.5619, 18.5603) * CHOOSE(CONTROL!$C$20, $D$12, 100%, $F$12)</f>
        <v>18.561900000000001</v>
      </c>
      <c r="K685" s="4"/>
      <c r="L685" s="8">
        <v>30.7165</v>
      </c>
      <c r="M685" s="8">
        <v>12.063700000000001</v>
      </c>
      <c r="N685" s="8">
        <v>4.9444999999999997</v>
      </c>
      <c r="O685" s="8">
        <v>0.37409999999999999</v>
      </c>
      <c r="P685" s="8">
        <v>1.2927</v>
      </c>
      <c r="Q685" s="8">
        <v>19.688099999999999</v>
      </c>
      <c r="R685" s="8"/>
    </row>
    <row r="686" spans="1:18" ht="14.25" customHeight="1">
      <c r="A686" s="11">
        <v>62001</v>
      </c>
      <c r="B686" s="7">
        <f>CHOOSE( CONTROL!$C$37, 18.753, 18.7513) * CHOOSE(CONTROL!$C$20, $D$12, 100%, $F$12)</f>
        <v>18.753</v>
      </c>
      <c r="C686" s="7">
        <f>CHOOSE( CONTROL!$C$37, 18.761, 18.7593) * CHOOSE(CONTROL!$C$20, $D$12, 100%, $F$12)</f>
        <v>18.760999999999999</v>
      </c>
      <c r="D686" s="7">
        <f>CHOOSE( CONTROL!$C$37, 18.7672, 18.7655) * CHOOSE( CONTROL!$C$20, $D$12, 100%, $F$12)</f>
        <v>18.767199999999999</v>
      </c>
      <c r="E686" s="10">
        <f>CHOOSE( CONTROL!$C$37, 18.7637, 18.762) * CHOOSE( CONTROL!$C$20, $D$12, 100%, $F$12)</f>
        <v>18.7637</v>
      </c>
      <c r="F686" s="4">
        <f>CHOOSE( CONTROL!$C$37, 19.4783, 19.4766) * CHOOSE(CONTROL!$C$20, $D$12, 100%, $F$12)</f>
        <v>19.478300000000001</v>
      </c>
      <c r="G686" s="7">
        <f>CHOOSE( CONTROL!$C$37, 18.5357, 18.5341) * CHOOSE( CONTROL!$C$20, $D$12, 100%, $F$12)</f>
        <v>18.535699999999999</v>
      </c>
      <c r="H686" s="4">
        <f>CHOOSE( CONTROL!$C$37, 19.4804, 19.4788) * CHOOSE(CONTROL!$C$20, $D$12, 100%, $F$12)</f>
        <v>19.480399999999999</v>
      </c>
      <c r="I686" s="7">
        <f>CHOOSE( CONTROL!$C$37, 18.3064, 18.3048) * CHOOSE(CONTROL!$C$20, $D$12, 100%, $F$12)</f>
        <v>18.3064</v>
      </c>
      <c r="J686" s="4">
        <f>CHOOSE( CONTROL!$C$37, 18.1731, 18.1715) * CHOOSE(CONTROL!$C$20, $D$12, 100%, $F$12)</f>
        <v>18.173100000000002</v>
      </c>
      <c r="K686" s="4"/>
      <c r="L686" s="8">
        <v>29.7257</v>
      </c>
      <c r="M686" s="8">
        <v>11.6745</v>
      </c>
      <c r="N686" s="8">
        <v>4.7850000000000001</v>
      </c>
      <c r="O686" s="8">
        <v>0.36199999999999999</v>
      </c>
      <c r="P686" s="8">
        <v>1.2509999999999999</v>
      </c>
      <c r="Q686" s="8">
        <v>19.053000000000001</v>
      </c>
      <c r="R686" s="8"/>
    </row>
    <row r="687" spans="1:18" ht="14.25" customHeight="1">
      <c r="A687" s="11">
        <v>62032</v>
      </c>
      <c r="B687" s="7">
        <f>CHOOSE( CONTROL!$C$37, 19.5844, 19.5833) * CHOOSE(CONTROL!$C$20, $D$12, 100%, $F$12)</f>
        <v>19.584399999999999</v>
      </c>
      <c r="C687" s="7">
        <f>CHOOSE( CONTROL!$C$37, 19.5897, 19.5886) * CHOOSE(CONTROL!$C$20, $D$12, 100%, $F$12)</f>
        <v>19.589700000000001</v>
      </c>
      <c r="D687" s="7">
        <f>CHOOSE( CONTROL!$C$37, 19.6017, 19.6007) * CHOOSE( CONTROL!$C$20, $D$12, 100%, $F$12)</f>
        <v>19.601700000000001</v>
      </c>
      <c r="E687" s="10">
        <f>CHOOSE( CONTROL!$C$37, 19.5972, 19.5961) * CHOOSE( CONTROL!$C$20, $D$12, 100%, $F$12)</f>
        <v>19.597200000000001</v>
      </c>
      <c r="F687" s="4">
        <f>CHOOSE( CONTROL!$C$37, 20.3114, 20.3103) * CHOOSE(CONTROL!$C$20, $D$12, 100%, $F$12)</f>
        <v>20.311399999999999</v>
      </c>
      <c r="G687" s="7">
        <f>CHOOSE( CONTROL!$C$37, 19.3573, 19.3562) * CHOOSE( CONTROL!$C$20, $D$12, 100%, $F$12)</f>
        <v>19.357299999999999</v>
      </c>
      <c r="H687" s="4">
        <f>CHOOSE( CONTROL!$C$37, 20.3019, 20.3008) * CHOOSE(CONTROL!$C$20, $D$12, 100%, $F$12)</f>
        <v>20.3019</v>
      </c>
      <c r="I687" s="7">
        <f>CHOOSE( CONTROL!$C$37, 19.1142, 19.1131) * CHOOSE(CONTROL!$C$20, $D$12, 100%, $F$12)</f>
        <v>19.1142</v>
      </c>
      <c r="J687" s="4">
        <f>CHOOSE( CONTROL!$C$37, 18.9798, 18.9788) * CHOOSE(CONTROL!$C$20, $D$12, 100%, $F$12)</f>
        <v>18.979800000000001</v>
      </c>
      <c r="K687" s="4"/>
      <c r="L687" s="8">
        <v>31.095300000000002</v>
      </c>
      <c r="M687" s="8">
        <v>12.063700000000001</v>
      </c>
      <c r="N687" s="8">
        <v>4.9444999999999997</v>
      </c>
      <c r="O687" s="8">
        <v>0.37409999999999999</v>
      </c>
      <c r="P687" s="8">
        <v>1.2927</v>
      </c>
      <c r="Q687" s="8">
        <v>19.688099999999999</v>
      </c>
      <c r="R687" s="8"/>
    </row>
    <row r="688" spans="1:18" ht="14.25" customHeight="1">
      <c r="A688" s="11">
        <v>62062</v>
      </c>
      <c r="B688" s="7">
        <f>CHOOSE( CONTROL!$C$37, 21.1228, 21.1217) * CHOOSE(CONTROL!$C$20, $D$12, 100%, $F$12)</f>
        <v>21.122800000000002</v>
      </c>
      <c r="C688" s="7">
        <f>CHOOSE( CONTROL!$C$37, 21.1279, 21.1268) * CHOOSE(CONTROL!$C$20, $D$12, 100%, $F$12)</f>
        <v>21.1279</v>
      </c>
      <c r="D688" s="7">
        <f>CHOOSE( CONTROL!$C$37, 21.1063, 21.1052) * CHOOSE( CONTROL!$C$20, $D$12, 100%, $F$12)</f>
        <v>21.106300000000001</v>
      </c>
      <c r="E688" s="10">
        <f>CHOOSE( CONTROL!$C$37, 21.1137, 21.1126) * CHOOSE( CONTROL!$C$20, $D$12, 100%, $F$12)</f>
        <v>21.113700000000001</v>
      </c>
      <c r="F688" s="4">
        <f>CHOOSE( CONTROL!$C$37, 21.7753, 21.7742) * CHOOSE(CONTROL!$C$20, $D$12, 100%, $F$12)</f>
        <v>21.775300000000001</v>
      </c>
      <c r="G688" s="7">
        <f>CHOOSE( CONTROL!$C$37, 20.8607, 20.8597) * CHOOSE( CONTROL!$C$20, $D$12, 100%, $F$12)</f>
        <v>20.860700000000001</v>
      </c>
      <c r="H688" s="4">
        <f>CHOOSE( CONTROL!$C$37, 21.7454, 21.7443) * CHOOSE(CONTROL!$C$20, $D$12, 100%, $F$12)</f>
        <v>21.7454</v>
      </c>
      <c r="I688" s="7">
        <f>CHOOSE( CONTROL!$C$37, 20.6561, 20.6551) * CHOOSE(CONTROL!$C$20, $D$12, 100%, $F$12)</f>
        <v>20.656099999999999</v>
      </c>
      <c r="J688" s="4">
        <f>CHOOSE( CONTROL!$C$37, 20.4698, 20.4688) * CHOOSE(CONTROL!$C$20, $D$12, 100%, $F$12)</f>
        <v>20.469799999999999</v>
      </c>
      <c r="K688" s="4"/>
      <c r="L688" s="8">
        <v>28.360600000000002</v>
      </c>
      <c r="M688" s="8">
        <v>11.6745</v>
      </c>
      <c r="N688" s="8">
        <v>4.7850000000000001</v>
      </c>
      <c r="O688" s="8">
        <v>0.36199999999999999</v>
      </c>
      <c r="P688" s="8">
        <v>1.2509999999999999</v>
      </c>
      <c r="Q688" s="8">
        <v>19.053000000000001</v>
      </c>
      <c r="R688" s="8"/>
    </row>
    <row r="689" spans="1:18" ht="14.25" customHeight="1">
      <c r="A689" s="11">
        <v>62093</v>
      </c>
      <c r="B689" s="7">
        <f>CHOOSE( CONTROL!$C$37, 21.0843, 21.0832) * CHOOSE(CONTROL!$C$20, $D$12, 100%, $F$12)</f>
        <v>21.084299999999999</v>
      </c>
      <c r="C689" s="7">
        <f>CHOOSE( CONTROL!$C$37, 21.0894, 21.0883) * CHOOSE(CONTROL!$C$20, $D$12, 100%, $F$12)</f>
        <v>21.089400000000001</v>
      </c>
      <c r="D689" s="7">
        <f>CHOOSE( CONTROL!$C$37, 21.0694, 21.0683) * CHOOSE( CONTROL!$C$20, $D$12, 100%, $F$12)</f>
        <v>21.069400000000002</v>
      </c>
      <c r="E689" s="10">
        <f>CHOOSE( CONTROL!$C$37, 21.0762, 21.0751) * CHOOSE( CONTROL!$C$20, $D$12, 100%, $F$12)</f>
        <v>21.0762</v>
      </c>
      <c r="F689" s="4">
        <f>CHOOSE( CONTROL!$C$37, 21.7369, 21.7358) * CHOOSE(CONTROL!$C$20, $D$12, 100%, $F$12)</f>
        <v>21.736899999999999</v>
      </c>
      <c r="G689" s="7">
        <f>CHOOSE( CONTROL!$C$37, 20.824, 20.8229) * CHOOSE( CONTROL!$C$20, $D$12, 100%, $F$12)</f>
        <v>20.824000000000002</v>
      </c>
      <c r="H689" s="4">
        <f>CHOOSE( CONTROL!$C$37, 21.7074, 21.7064) * CHOOSE(CONTROL!$C$20, $D$12, 100%, $F$12)</f>
        <v>21.7074</v>
      </c>
      <c r="I689" s="7">
        <f>CHOOSE( CONTROL!$C$37, 20.6237, 20.6227) * CHOOSE(CONTROL!$C$20, $D$12, 100%, $F$12)</f>
        <v>20.623699999999999</v>
      </c>
      <c r="J689" s="4">
        <f>CHOOSE( CONTROL!$C$37, 20.4326, 20.4315) * CHOOSE(CONTROL!$C$20, $D$12, 100%, $F$12)</f>
        <v>20.432600000000001</v>
      </c>
      <c r="K689" s="4"/>
      <c r="L689" s="8">
        <v>29.306000000000001</v>
      </c>
      <c r="M689" s="8">
        <v>12.063700000000001</v>
      </c>
      <c r="N689" s="8">
        <v>4.9444999999999997</v>
      </c>
      <c r="O689" s="8">
        <v>0.37409999999999999</v>
      </c>
      <c r="P689" s="8">
        <v>1.2927</v>
      </c>
      <c r="Q689" s="8">
        <v>19.688099999999999</v>
      </c>
      <c r="R689" s="8"/>
    </row>
    <row r="690" spans="1:18" ht="14.25" customHeight="1">
      <c r="A690" s="11">
        <v>62124</v>
      </c>
      <c r="B690" s="7">
        <f>CHOOSE( CONTROL!$C$37, 21.7067, 21.7056) * CHOOSE(CONTROL!$C$20, $D$12, 100%, $F$12)</f>
        <v>21.706700000000001</v>
      </c>
      <c r="C690" s="7">
        <f>CHOOSE( CONTROL!$C$37, 21.7118, 21.7107) * CHOOSE(CONTROL!$C$20, $D$12, 100%, $F$12)</f>
        <v>21.7118</v>
      </c>
      <c r="D690" s="7">
        <f>CHOOSE( CONTROL!$C$37, 21.7049, 21.7038) * CHOOSE( CONTROL!$C$20, $D$12, 100%, $F$12)</f>
        <v>21.704899999999999</v>
      </c>
      <c r="E690" s="10">
        <f>CHOOSE( CONTROL!$C$37, 21.7069, 21.7058) * CHOOSE( CONTROL!$C$20, $D$12, 100%, $F$12)</f>
        <v>21.706900000000001</v>
      </c>
      <c r="F690" s="4">
        <f>CHOOSE( CONTROL!$C$37, 22.3592, 22.3582) * CHOOSE(CONTROL!$C$20, $D$12, 100%, $F$12)</f>
        <v>22.359200000000001</v>
      </c>
      <c r="G690" s="7">
        <f>CHOOSE( CONTROL!$C$37, 21.4422, 21.4411) * CHOOSE( CONTROL!$C$20, $D$12, 100%, $F$12)</f>
        <v>21.4422</v>
      </c>
      <c r="H690" s="4">
        <f>CHOOSE( CONTROL!$C$37, 22.3212, 22.3201) * CHOOSE(CONTROL!$C$20, $D$12, 100%, $F$12)</f>
        <v>22.321200000000001</v>
      </c>
      <c r="I690" s="7">
        <f>CHOOSE( CONTROL!$C$37, 21.198, 21.1969) * CHOOSE(CONTROL!$C$20, $D$12, 100%, $F$12)</f>
        <v>21.198</v>
      </c>
      <c r="J690" s="4">
        <f>CHOOSE( CONTROL!$C$37, 21.0353, 21.0342) * CHOOSE(CONTROL!$C$20, $D$12, 100%, $F$12)</f>
        <v>21.035299999999999</v>
      </c>
      <c r="K690" s="4"/>
      <c r="L690" s="8">
        <v>29.306000000000001</v>
      </c>
      <c r="M690" s="8">
        <v>12.063700000000001</v>
      </c>
      <c r="N690" s="8">
        <v>4.9444999999999997</v>
      </c>
      <c r="O690" s="8">
        <v>0.37409999999999999</v>
      </c>
      <c r="P690" s="8">
        <v>1.2927</v>
      </c>
      <c r="Q690" s="8">
        <v>19.688099999999999</v>
      </c>
      <c r="R690" s="8"/>
    </row>
    <row r="691" spans="1:18" ht="14.25" customHeight="1">
      <c r="A691" s="11">
        <v>62152</v>
      </c>
      <c r="B691" s="7">
        <f>CHOOSE( CONTROL!$C$37, 20.3024, 20.3013) * CHOOSE(CONTROL!$C$20, $D$12, 100%, $F$12)</f>
        <v>20.302399999999999</v>
      </c>
      <c r="C691" s="7">
        <f>CHOOSE( CONTROL!$C$37, 20.3075, 20.3064) * CHOOSE(CONTROL!$C$20, $D$12, 100%, $F$12)</f>
        <v>20.307500000000001</v>
      </c>
      <c r="D691" s="7">
        <f>CHOOSE( CONTROL!$C$37, 20.3005, 20.2994) * CHOOSE( CONTROL!$C$20, $D$12, 100%, $F$12)</f>
        <v>20.3005</v>
      </c>
      <c r="E691" s="10">
        <f>CHOOSE( CONTROL!$C$37, 20.3025, 20.3014) * CHOOSE( CONTROL!$C$20, $D$12, 100%, $F$12)</f>
        <v>20.302499999999998</v>
      </c>
      <c r="F691" s="4">
        <f>CHOOSE( CONTROL!$C$37, 20.9549, 20.9538) * CHOOSE(CONTROL!$C$20, $D$12, 100%, $F$12)</f>
        <v>20.954899999999999</v>
      </c>
      <c r="G691" s="7">
        <f>CHOOSE( CONTROL!$C$37, 20.0574, 20.0563) * CHOOSE( CONTROL!$C$20, $D$12, 100%, $F$12)</f>
        <v>20.057400000000001</v>
      </c>
      <c r="H691" s="4">
        <f>CHOOSE( CONTROL!$C$37, 20.9364, 20.9353) * CHOOSE(CONTROL!$C$20, $D$12, 100%, $F$12)</f>
        <v>20.936399999999999</v>
      </c>
      <c r="I691" s="7">
        <f>CHOOSE( CONTROL!$C$37, 19.8372, 19.8362) * CHOOSE(CONTROL!$C$20, $D$12, 100%, $F$12)</f>
        <v>19.837199999999999</v>
      </c>
      <c r="J691" s="4">
        <f>CHOOSE( CONTROL!$C$37, 19.6754, 19.6744) * CHOOSE(CONTROL!$C$20, $D$12, 100%, $F$12)</f>
        <v>19.6754</v>
      </c>
      <c r="K691" s="4"/>
      <c r="L691" s="8">
        <v>26.469899999999999</v>
      </c>
      <c r="M691" s="8">
        <v>10.8962</v>
      </c>
      <c r="N691" s="8">
        <v>4.4660000000000002</v>
      </c>
      <c r="O691" s="8">
        <v>0.33789999999999998</v>
      </c>
      <c r="P691" s="8">
        <v>1.1676</v>
      </c>
      <c r="Q691" s="8">
        <v>17.782800000000002</v>
      </c>
      <c r="R691" s="8"/>
    </row>
    <row r="692" spans="1:18" ht="14.25" customHeight="1">
      <c r="A692" s="11">
        <v>62183</v>
      </c>
      <c r="B692" s="7">
        <f>CHOOSE( CONTROL!$C$37, 19.8698, 19.8687) * CHOOSE(CONTROL!$C$20, $D$12, 100%, $F$12)</f>
        <v>19.869800000000001</v>
      </c>
      <c r="C692" s="7">
        <f>CHOOSE( CONTROL!$C$37, 19.8749, 19.8738) * CHOOSE(CONTROL!$C$20, $D$12, 100%, $F$12)</f>
        <v>19.8749</v>
      </c>
      <c r="D692" s="7">
        <f>CHOOSE( CONTROL!$C$37, 19.8673, 19.8662) * CHOOSE( CONTROL!$C$20, $D$12, 100%, $F$12)</f>
        <v>19.8673</v>
      </c>
      <c r="E692" s="10">
        <f>CHOOSE( CONTROL!$C$37, 19.8695, 19.8684) * CHOOSE( CONTROL!$C$20, $D$12, 100%, $F$12)</f>
        <v>19.869499999999999</v>
      </c>
      <c r="F692" s="4">
        <f>CHOOSE( CONTROL!$C$37, 20.5224, 20.5213) * CHOOSE(CONTROL!$C$20, $D$12, 100%, $F$12)</f>
        <v>20.522400000000001</v>
      </c>
      <c r="G692" s="7">
        <f>CHOOSE( CONTROL!$C$37, 19.6304, 19.6294) * CHOOSE( CONTROL!$C$20, $D$12, 100%, $F$12)</f>
        <v>19.630400000000002</v>
      </c>
      <c r="H692" s="4">
        <f>CHOOSE( CONTROL!$C$37, 20.5099, 20.5088) * CHOOSE(CONTROL!$C$20, $D$12, 100%, $F$12)</f>
        <v>20.509899999999998</v>
      </c>
      <c r="I692" s="7">
        <f>CHOOSE( CONTROL!$C$37, 19.4163, 19.4152) * CHOOSE(CONTROL!$C$20, $D$12, 100%, $F$12)</f>
        <v>19.4163</v>
      </c>
      <c r="J692" s="4">
        <f>CHOOSE( CONTROL!$C$37, 19.2566, 19.2556) * CHOOSE(CONTROL!$C$20, $D$12, 100%, $F$12)</f>
        <v>19.256599999999999</v>
      </c>
      <c r="K692" s="4"/>
      <c r="L692" s="8">
        <v>29.306000000000001</v>
      </c>
      <c r="M692" s="8">
        <v>12.063700000000001</v>
      </c>
      <c r="N692" s="8">
        <v>4.9444999999999997</v>
      </c>
      <c r="O692" s="8">
        <v>0.37409999999999999</v>
      </c>
      <c r="P692" s="8">
        <v>1.2927</v>
      </c>
      <c r="Q692" s="8">
        <v>19.688099999999999</v>
      </c>
      <c r="R692" s="8"/>
    </row>
    <row r="693" spans="1:18" ht="14.25" customHeight="1">
      <c r="A693" s="11">
        <v>62213</v>
      </c>
      <c r="B693" s="7">
        <f>CHOOSE( CONTROL!$C$37, 20.1728, 20.1718) * CHOOSE(CONTROL!$C$20, $D$12, 100%, $F$12)</f>
        <v>20.172799999999999</v>
      </c>
      <c r="C693" s="7">
        <f>CHOOSE( CONTROL!$C$37, 20.1774, 20.1763) * CHOOSE(CONTROL!$C$20, $D$12, 100%, $F$12)</f>
        <v>20.177399999999999</v>
      </c>
      <c r="D693" s="7">
        <f>CHOOSE( CONTROL!$C$37, 20.1892, 20.1881) * CHOOSE( CONTROL!$C$20, $D$12, 100%, $F$12)</f>
        <v>20.1892</v>
      </c>
      <c r="E693" s="10">
        <f>CHOOSE( CONTROL!$C$37, 20.1848, 20.1837) * CHOOSE( CONTROL!$C$20, $D$12, 100%, $F$12)</f>
        <v>20.184799999999999</v>
      </c>
      <c r="F693" s="4">
        <f>CHOOSE( CONTROL!$C$37, 20.8995, 20.8984) * CHOOSE(CONTROL!$C$20, $D$12, 100%, $F$12)</f>
        <v>20.8995</v>
      </c>
      <c r="G693" s="7">
        <f>CHOOSE( CONTROL!$C$37, 19.9367, 19.9356) * CHOOSE( CONTROL!$C$20, $D$12, 100%, $F$12)</f>
        <v>19.936699999999998</v>
      </c>
      <c r="H693" s="4">
        <f>CHOOSE( CONTROL!$C$37, 20.8818, 20.8807) * CHOOSE(CONTROL!$C$20, $D$12, 100%, $F$12)</f>
        <v>20.881799999999998</v>
      </c>
      <c r="I693" s="7">
        <f>CHOOSE( CONTROL!$C$37, 19.6817, 19.6806) * CHOOSE(CONTROL!$C$20, $D$12, 100%, $F$12)</f>
        <v>19.681699999999999</v>
      </c>
      <c r="J693" s="4">
        <f>CHOOSE( CONTROL!$C$37, 19.5493, 19.5482) * CHOOSE(CONTROL!$C$20, $D$12, 100%, $F$12)</f>
        <v>19.549299999999999</v>
      </c>
      <c r="K693" s="4"/>
      <c r="L693" s="8">
        <v>30.092199999999998</v>
      </c>
      <c r="M693" s="8">
        <v>11.6745</v>
      </c>
      <c r="N693" s="8">
        <v>4.7850000000000001</v>
      </c>
      <c r="O693" s="8">
        <v>0.36199999999999999</v>
      </c>
      <c r="P693" s="8">
        <v>1.2509999999999999</v>
      </c>
      <c r="Q693" s="8">
        <v>19.053000000000001</v>
      </c>
      <c r="R693" s="8"/>
    </row>
    <row r="694" spans="1:18" ht="14.25" customHeight="1">
      <c r="A694" s="11">
        <v>62244</v>
      </c>
      <c r="B694" s="7">
        <f>CHOOSE( CONTROL!$C$37, 20.7127, 20.711) * CHOOSE(CONTROL!$C$20, $D$12, 100%, $F$12)</f>
        <v>20.712700000000002</v>
      </c>
      <c r="C694" s="7">
        <f>CHOOSE( CONTROL!$C$37, 20.7207, 20.719) * CHOOSE(CONTROL!$C$20, $D$12, 100%, $F$12)</f>
        <v>20.720700000000001</v>
      </c>
      <c r="D694" s="7">
        <f>CHOOSE( CONTROL!$C$37, 20.7264, 20.7247) * CHOOSE( CONTROL!$C$20, $D$12, 100%, $F$12)</f>
        <v>20.726400000000002</v>
      </c>
      <c r="E694" s="10">
        <f>CHOOSE( CONTROL!$C$37, 20.7231, 20.7214) * CHOOSE( CONTROL!$C$20, $D$12, 100%, $F$12)</f>
        <v>20.723099999999999</v>
      </c>
      <c r="F694" s="4">
        <f>CHOOSE( CONTROL!$C$37, 21.438, 21.4363) * CHOOSE(CONTROL!$C$20, $D$12, 100%, $F$12)</f>
        <v>21.437999999999999</v>
      </c>
      <c r="G694" s="7">
        <f>CHOOSE( CONTROL!$C$37, 20.4676, 20.466) * CHOOSE( CONTROL!$C$20, $D$12, 100%, $F$12)</f>
        <v>20.467600000000001</v>
      </c>
      <c r="H694" s="4">
        <f>CHOOSE( CONTROL!$C$37, 21.4128, 21.4111) * CHOOSE(CONTROL!$C$20, $D$12, 100%, $F$12)</f>
        <v>21.412800000000001</v>
      </c>
      <c r="I694" s="7">
        <f>CHOOSE( CONTROL!$C$37, 20.2031, 20.2015) * CHOOSE(CONTROL!$C$20, $D$12, 100%, $F$12)</f>
        <v>20.203099999999999</v>
      </c>
      <c r="J694" s="4">
        <f>CHOOSE( CONTROL!$C$37, 20.0707, 20.0691) * CHOOSE(CONTROL!$C$20, $D$12, 100%, $F$12)</f>
        <v>20.070699999999999</v>
      </c>
      <c r="K694" s="4"/>
      <c r="L694" s="8">
        <v>30.7165</v>
      </c>
      <c r="M694" s="8">
        <v>12.063700000000001</v>
      </c>
      <c r="N694" s="8">
        <v>4.9444999999999997</v>
      </c>
      <c r="O694" s="8">
        <v>0.37409999999999999</v>
      </c>
      <c r="P694" s="8">
        <v>1.2927</v>
      </c>
      <c r="Q694" s="8">
        <v>19.688099999999999</v>
      </c>
      <c r="R694" s="8"/>
    </row>
    <row r="695" spans="1:18" ht="14.25" customHeight="1">
      <c r="A695" s="11">
        <v>62274</v>
      </c>
      <c r="B695" s="7">
        <f>CHOOSE( CONTROL!$C$37, 20.3795, 20.3778) * CHOOSE(CONTROL!$C$20, $D$12, 100%, $F$12)</f>
        <v>20.3795</v>
      </c>
      <c r="C695" s="7">
        <f>CHOOSE( CONTROL!$C$37, 20.3875, 20.3858) * CHOOSE(CONTROL!$C$20, $D$12, 100%, $F$12)</f>
        <v>20.387499999999999</v>
      </c>
      <c r="D695" s="7">
        <f>CHOOSE( CONTROL!$C$37, 20.3934, 20.3917) * CHOOSE( CONTROL!$C$20, $D$12, 100%, $F$12)</f>
        <v>20.3934</v>
      </c>
      <c r="E695" s="10">
        <f>CHOOSE( CONTROL!$C$37, 20.39, 20.3883) * CHOOSE( CONTROL!$C$20, $D$12, 100%, $F$12)</f>
        <v>20.39</v>
      </c>
      <c r="F695" s="4">
        <f>CHOOSE( CONTROL!$C$37, 21.1048, 21.1031) * CHOOSE(CONTROL!$C$20, $D$12, 100%, $F$12)</f>
        <v>21.104800000000001</v>
      </c>
      <c r="G695" s="7">
        <f>CHOOSE( CONTROL!$C$37, 20.1393, 20.1376) * CHOOSE( CONTROL!$C$20, $D$12, 100%, $F$12)</f>
        <v>20.139299999999999</v>
      </c>
      <c r="H695" s="4">
        <f>CHOOSE( CONTROL!$C$37, 21.0842, 21.0825) * CHOOSE(CONTROL!$C$20, $D$12, 100%, $F$12)</f>
        <v>21.084199999999999</v>
      </c>
      <c r="I695" s="7">
        <f>CHOOSE( CONTROL!$C$37, 19.8812, 19.8796) * CHOOSE(CONTROL!$C$20, $D$12, 100%, $F$12)</f>
        <v>19.8812</v>
      </c>
      <c r="J695" s="4">
        <f>CHOOSE( CONTROL!$C$37, 19.748, 19.7464) * CHOOSE(CONTROL!$C$20, $D$12, 100%, $F$12)</f>
        <v>19.748000000000001</v>
      </c>
      <c r="K695" s="4"/>
      <c r="L695" s="8">
        <v>29.7257</v>
      </c>
      <c r="M695" s="8">
        <v>11.6745</v>
      </c>
      <c r="N695" s="8">
        <v>4.7850000000000001</v>
      </c>
      <c r="O695" s="8">
        <v>0.36199999999999999</v>
      </c>
      <c r="P695" s="8">
        <v>1.2509999999999999</v>
      </c>
      <c r="Q695" s="8">
        <v>19.053000000000001</v>
      </c>
      <c r="R695" s="8"/>
    </row>
    <row r="696" spans="1:18" ht="14.25" customHeight="1">
      <c r="A696" s="11">
        <v>62305</v>
      </c>
      <c r="B696" s="7">
        <f>CHOOSE( CONTROL!$C$37, 21.257, 21.2553) * CHOOSE(CONTROL!$C$20, $D$12, 100%, $F$12)</f>
        <v>21.257000000000001</v>
      </c>
      <c r="C696" s="7">
        <f>CHOOSE( CONTROL!$C$37, 21.265, 21.2633) * CHOOSE(CONTROL!$C$20, $D$12, 100%, $F$12)</f>
        <v>21.265000000000001</v>
      </c>
      <c r="D696" s="7">
        <f>CHOOSE( CONTROL!$C$37, 21.2712, 21.2696) * CHOOSE( CONTROL!$C$20, $D$12, 100%, $F$12)</f>
        <v>21.2712</v>
      </c>
      <c r="E696" s="10">
        <f>CHOOSE( CONTROL!$C$37, 21.2677, 21.2661) * CHOOSE( CONTROL!$C$20, $D$12, 100%, $F$12)</f>
        <v>21.267700000000001</v>
      </c>
      <c r="F696" s="4">
        <f>CHOOSE( CONTROL!$C$37, 21.9823, 21.9806) * CHOOSE(CONTROL!$C$20, $D$12, 100%, $F$12)</f>
        <v>21.982299999999999</v>
      </c>
      <c r="G696" s="7">
        <f>CHOOSE( CONTROL!$C$37, 21.0048, 21.0032) * CHOOSE( CONTROL!$C$20, $D$12, 100%, $F$12)</f>
        <v>21.004799999999999</v>
      </c>
      <c r="H696" s="4">
        <f>CHOOSE( CONTROL!$C$37, 21.9494, 21.9478) * CHOOSE(CONTROL!$C$20, $D$12, 100%, $F$12)</f>
        <v>21.949400000000001</v>
      </c>
      <c r="I696" s="7">
        <f>CHOOSE( CONTROL!$C$37, 20.7323, 20.7307) * CHOOSE(CONTROL!$C$20, $D$12, 100%, $F$12)</f>
        <v>20.732299999999999</v>
      </c>
      <c r="J696" s="4">
        <f>CHOOSE( CONTROL!$C$37, 20.5977, 20.5961) * CHOOSE(CONTROL!$C$20, $D$12, 100%, $F$12)</f>
        <v>20.5977</v>
      </c>
      <c r="K696" s="4"/>
      <c r="L696" s="8">
        <v>30.7165</v>
      </c>
      <c r="M696" s="8">
        <v>12.063700000000001</v>
      </c>
      <c r="N696" s="8">
        <v>4.9444999999999997</v>
      </c>
      <c r="O696" s="8">
        <v>0.37409999999999999</v>
      </c>
      <c r="P696" s="8">
        <v>1.2927</v>
      </c>
      <c r="Q696" s="8">
        <v>19.688099999999999</v>
      </c>
      <c r="R696" s="8"/>
    </row>
    <row r="697" spans="1:18" ht="14.25" customHeight="1">
      <c r="A697" s="11">
        <v>62336</v>
      </c>
      <c r="B697" s="7">
        <f>CHOOSE( CONTROL!$C$37, 19.6151, 19.6134) * CHOOSE(CONTROL!$C$20, $D$12, 100%, $F$12)</f>
        <v>19.615100000000002</v>
      </c>
      <c r="C697" s="7">
        <f>CHOOSE( CONTROL!$C$37, 19.6231, 19.6214) * CHOOSE(CONTROL!$C$20, $D$12, 100%, $F$12)</f>
        <v>19.623100000000001</v>
      </c>
      <c r="D697" s="7">
        <f>CHOOSE( CONTROL!$C$37, 19.6294, 19.6277) * CHOOSE( CONTROL!$C$20, $D$12, 100%, $F$12)</f>
        <v>19.6294</v>
      </c>
      <c r="E697" s="10">
        <f>CHOOSE( CONTROL!$C$37, 19.6259, 19.6242) * CHOOSE( CONTROL!$C$20, $D$12, 100%, $F$12)</f>
        <v>19.625900000000001</v>
      </c>
      <c r="F697" s="4">
        <f>CHOOSE( CONTROL!$C$37, 20.3404, 20.3387) * CHOOSE(CONTROL!$C$20, $D$12, 100%, $F$12)</f>
        <v>20.340399999999999</v>
      </c>
      <c r="G697" s="7">
        <f>CHOOSE( CONTROL!$C$37, 19.3859, 19.3842) * CHOOSE( CONTROL!$C$20, $D$12, 100%, $F$12)</f>
        <v>19.385899999999999</v>
      </c>
      <c r="H697" s="4">
        <f>CHOOSE( CONTROL!$C$37, 20.3304, 20.3288) * CHOOSE(CONTROL!$C$20, $D$12, 100%, $F$12)</f>
        <v>20.330400000000001</v>
      </c>
      <c r="I697" s="7">
        <f>CHOOSE( CONTROL!$C$37, 19.142, 19.1404) * CHOOSE(CONTROL!$C$20, $D$12, 100%, $F$12)</f>
        <v>19.141999999999999</v>
      </c>
      <c r="J697" s="4">
        <f>CHOOSE( CONTROL!$C$37, 19.0079, 19.0063) * CHOOSE(CONTROL!$C$20, $D$12, 100%, $F$12)</f>
        <v>19.007899999999999</v>
      </c>
      <c r="K697" s="4"/>
      <c r="L697" s="8">
        <v>30.7165</v>
      </c>
      <c r="M697" s="8">
        <v>12.063700000000001</v>
      </c>
      <c r="N697" s="8">
        <v>4.9444999999999997</v>
      </c>
      <c r="O697" s="8">
        <v>0.37409999999999999</v>
      </c>
      <c r="P697" s="8">
        <v>1.2927</v>
      </c>
      <c r="Q697" s="8">
        <v>19.688099999999999</v>
      </c>
      <c r="R697" s="8"/>
    </row>
    <row r="698" spans="1:18" ht="14.25" customHeight="1">
      <c r="A698" s="11">
        <v>62366</v>
      </c>
      <c r="B698" s="7">
        <f>CHOOSE( CONTROL!$C$37, 19.2039, 19.2023) * CHOOSE(CONTROL!$C$20, $D$12, 100%, $F$12)</f>
        <v>19.203900000000001</v>
      </c>
      <c r="C698" s="7">
        <f>CHOOSE( CONTROL!$C$37, 19.2119, 19.2103) * CHOOSE(CONTROL!$C$20, $D$12, 100%, $F$12)</f>
        <v>19.2119</v>
      </c>
      <c r="D698" s="7">
        <f>CHOOSE( CONTROL!$C$37, 19.2181, 19.2165) * CHOOSE( CONTROL!$C$20, $D$12, 100%, $F$12)</f>
        <v>19.2181</v>
      </c>
      <c r="E698" s="10">
        <f>CHOOSE( CONTROL!$C$37, 19.2146, 19.213) * CHOOSE( CONTROL!$C$20, $D$12, 100%, $F$12)</f>
        <v>19.214600000000001</v>
      </c>
      <c r="F698" s="4">
        <f>CHOOSE( CONTROL!$C$37, 19.9292, 19.9275) * CHOOSE(CONTROL!$C$20, $D$12, 100%, $F$12)</f>
        <v>19.929200000000002</v>
      </c>
      <c r="G698" s="7">
        <f>CHOOSE( CONTROL!$C$37, 18.9803, 18.9787) * CHOOSE( CONTROL!$C$20, $D$12, 100%, $F$12)</f>
        <v>18.9803</v>
      </c>
      <c r="H698" s="4">
        <f>CHOOSE( CONTROL!$C$37, 19.925, 19.9234) * CHOOSE(CONTROL!$C$20, $D$12, 100%, $F$12)</f>
        <v>19.925000000000001</v>
      </c>
      <c r="I698" s="7">
        <f>CHOOSE( CONTROL!$C$37, 18.7433, 18.7417) * CHOOSE(CONTROL!$C$20, $D$12, 100%, $F$12)</f>
        <v>18.743300000000001</v>
      </c>
      <c r="J698" s="4">
        <f>CHOOSE( CONTROL!$C$37, 18.6097, 18.6081) * CHOOSE(CONTROL!$C$20, $D$12, 100%, $F$12)</f>
        <v>18.6097</v>
      </c>
      <c r="K698" s="4"/>
      <c r="L698" s="8">
        <v>29.7257</v>
      </c>
      <c r="M698" s="8">
        <v>11.6745</v>
      </c>
      <c r="N698" s="8">
        <v>4.7850000000000001</v>
      </c>
      <c r="O698" s="8">
        <v>0.36199999999999999</v>
      </c>
      <c r="P698" s="8">
        <v>1.2509999999999999</v>
      </c>
      <c r="Q698" s="8">
        <v>19.053000000000001</v>
      </c>
      <c r="R698" s="8"/>
    </row>
    <row r="699" spans="1:18" ht="14.25" customHeight="1">
      <c r="A699" s="11">
        <v>62397</v>
      </c>
      <c r="B699" s="7">
        <f>CHOOSE( CONTROL!$C$37, 20.0553, 20.0542) * CHOOSE(CONTROL!$C$20, $D$12, 100%, $F$12)</f>
        <v>20.055299999999999</v>
      </c>
      <c r="C699" s="7">
        <f>CHOOSE( CONTROL!$C$37, 20.0607, 20.0596) * CHOOSE(CONTROL!$C$20, $D$12, 100%, $F$12)</f>
        <v>20.060700000000001</v>
      </c>
      <c r="D699" s="7">
        <f>CHOOSE( CONTROL!$C$37, 20.0727, 20.0716) * CHOOSE( CONTROL!$C$20, $D$12, 100%, $F$12)</f>
        <v>20.072700000000001</v>
      </c>
      <c r="E699" s="10">
        <f>CHOOSE( CONTROL!$C$37, 20.0682, 20.0671) * CHOOSE( CONTROL!$C$20, $D$12, 100%, $F$12)</f>
        <v>20.068200000000001</v>
      </c>
      <c r="F699" s="4">
        <f>CHOOSE( CONTROL!$C$37, 20.7823, 20.7812) * CHOOSE(CONTROL!$C$20, $D$12, 100%, $F$12)</f>
        <v>20.782299999999999</v>
      </c>
      <c r="G699" s="7">
        <f>CHOOSE( CONTROL!$C$37, 19.8217, 19.8206) * CHOOSE( CONTROL!$C$20, $D$12, 100%, $F$12)</f>
        <v>19.8217</v>
      </c>
      <c r="H699" s="4">
        <f>CHOOSE( CONTROL!$C$37, 20.7662, 20.7652) * CHOOSE(CONTROL!$C$20, $D$12, 100%, $F$12)</f>
        <v>20.766200000000001</v>
      </c>
      <c r="I699" s="7">
        <f>CHOOSE( CONTROL!$C$37, 19.5704, 19.5694) * CHOOSE(CONTROL!$C$20, $D$12, 100%, $F$12)</f>
        <v>19.570399999999999</v>
      </c>
      <c r="J699" s="4">
        <f>CHOOSE( CONTROL!$C$37, 19.4358, 19.4348) * CHOOSE(CONTROL!$C$20, $D$12, 100%, $F$12)</f>
        <v>19.4358</v>
      </c>
      <c r="K699" s="4"/>
      <c r="L699" s="8">
        <v>31.095300000000002</v>
      </c>
      <c r="M699" s="8">
        <v>12.063700000000001</v>
      </c>
      <c r="N699" s="8">
        <v>4.9444999999999997</v>
      </c>
      <c r="O699" s="8">
        <v>0.37409999999999999</v>
      </c>
      <c r="P699" s="8">
        <v>1.2927</v>
      </c>
      <c r="Q699" s="8">
        <v>19.688099999999999</v>
      </c>
      <c r="R699" s="8"/>
    </row>
    <row r="700" spans="1:18" ht="14.25" customHeight="1">
      <c r="A700" s="11">
        <v>62427</v>
      </c>
      <c r="B700" s="7">
        <f>CHOOSE( CONTROL!$C$37, 21.6307, 21.6296) * CHOOSE(CONTROL!$C$20, $D$12, 100%, $F$12)</f>
        <v>21.630700000000001</v>
      </c>
      <c r="C700" s="7">
        <f>CHOOSE( CONTROL!$C$37, 21.6358, 21.6347) * CHOOSE(CONTROL!$C$20, $D$12, 100%, $F$12)</f>
        <v>21.6358</v>
      </c>
      <c r="D700" s="7">
        <f>CHOOSE( CONTROL!$C$37, 21.6142, 21.6131) * CHOOSE( CONTROL!$C$20, $D$12, 100%, $F$12)</f>
        <v>21.6142</v>
      </c>
      <c r="E700" s="10">
        <f>CHOOSE( CONTROL!$C$37, 21.6216, 21.6205) * CHOOSE( CONTROL!$C$20, $D$12, 100%, $F$12)</f>
        <v>21.621600000000001</v>
      </c>
      <c r="F700" s="4">
        <f>CHOOSE( CONTROL!$C$37, 22.2832, 22.2821) * CHOOSE(CONTROL!$C$20, $D$12, 100%, $F$12)</f>
        <v>22.283200000000001</v>
      </c>
      <c r="G700" s="7">
        <f>CHOOSE( CONTROL!$C$37, 21.3616, 21.3605) * CHOOSE( CONTROL!$C$20, $D$12, 100%, $F$12)</f>
        <v>21.361599999999999</v>
      </c>
      <c r="H700" s="4">
        <f>CHOOSE( CONTROL!$C$37, 22.2462, 22.2451) * CHOOSE(CONTROL!$C$20, $D$12, 100%, $F$12)</f>
        <v>22.246200000000002</v>
      </c>
      <c r="I700" s="7">
        <f>CHOOSE( CONTROL!$C$37, 21.1482, 21.1471) * CHOOSE(CONTROL!$C$20, $D$12, 100%, $F$12)</f>
        <v>21.148199999999999</v>
      </c>
      <c r="J700" s="4">
        <f>CHOOSE( CONTROL!$C$37, 20.9616, 20.9606) * CHOOSE(CONTROL!$C$20, $D$12, 100%, $F$12)</f>
        <v>20.961600000000001</v>
      </c>
      <c r="K700" s="4"/>
      <c r="L700" s="8">
        <v>28.360600000000002</v>
      </c>
      <c r="M700" s="8">
        <v>11.6745</v>
      </c>
      <c r="N700" s="8">
        <v>4.7850000000000001</v>
      </c>
      <c r="O700" s="8">
        <v>0.36199999999999999</v>
      </c>
      <c r="P700" s="8">
        <v>1.2509999999999999</v>
      </c>
      <c r="Q700" s="8">
        <v>19.053000000000001</v>
      </c>
      <c r="R700" s="8"/>
    </row>
    <row r="701" spans="1:18" ht="14.25" customHeight="1">
      <c r="A701" s="11">
        <v>62458</v>
      </c>
      <c r="B701" s="7">
        <f>CHOOSE( CONTROL!$C$37, 21.5913, 21.5902) * CHOOSE(CONTROL!$C$20, $D$12, 100%, $F$12)</f>
        <v>21.5913</v>
      </c>
      <c r="C701" s="7">
        <f>CHOOSE( CONTROL!$C$37, 21.5964, 21.5953) * CHOOSE(CONTROL!$C$20, $D$12, 100%, $F$12)</f>
        <v>21.596399999999999</v>
      </c>
      <c r="D701" s="7">
        <f>CHOOSE( CONTROL!$C$37, 21.5764, 21.5753) * CHOOSE( CONTROL!$C$20, $D$12, 100%, $F$12)</f>
        <v>21.5764</v>
      </c>
      <c r="E701" s="10">
        <f>CHOOSE( CONTROL!$C$37, 21.5832, 21.5821) * CHOOSE( CONTROL!$C$20, $D$12, 100%, $F$12)</f>
        <v>21.583200000000001</v>
      </c>
      <c r="F701" s="4">
        <f>CHOOSE( CONTROL!$C$37, 22.2438, 22.2428) * CHOOSE(CONTROL!$C$20, $D$12, 100%, $F$12)</f>
        <v>22.2438</v>
      </c>
      <c r="G701" s="7">
        <f>CHOOSE( CONTROL!$C$37, 21.3239, 21.3228) * CHOOSE( CONTROL!$C$20, $D$12, 100%, $F$12)</f>
        <v>21.323899999999998</v>
      </c>
      <c r="H701" s="4">
        <f>CHOOSE( CONTROL!$C$37, 22.2074, 22.2063) * CHOOSE(CONTROL!$C$20, $D$12, 100%, $F$12)</f>
        <v>22.2074</v>
      </c>
      <c r="I701" s="7">
        <f>CHOOSE( CONTROL!$C$37, 21.1149, 21.1139) * CHOOSE(CONTROL!$C$20, $D$12, 100%, $F$12)</f>
        <v>21.114899999999999</v>
      </c>
      <c r="J701" s="4">
        <f>CHOOSE( CONTROL!$C$37, 20.9235, 20.9225) * CHOOSE(CONTROL!$C$20, $D$12, 100%, $F$12)</f>
        <v>20.923500000000001</v>
      </c>
      <c r="K701" s="4"/>
      <c r="L701" s="8">
        <v>29.306000000000001</v>
      </c>
      <c r="M701" s="8">
        <v>12.063700000000001</v>
      </c>
      <c r="N701" s="8">
        <v>4.9444999999999997</v>
      </c>
      <c r="O701" s="8">
        <v>0.37409999999999999</v>
      </c>
      <c r="P701" s="8">
        <v>1.2927</v>
      </c>
      <c r="Q701" s="8">
        <v>19.688099999999999</v>
      </c>
      <c r="R701" s="8"/>
    </row>
    <row r="702" spans="1:18" ht="14.25" customHeight="1">
      <c r="A702" s="11">
        <v>62489</v>
      </c>
      <c r="B702" s="7">
        <f>CHOOSE( CONTROL!$C$37, 22.2287, 22.2276) * CHOOSE(CONTROL!$C$20, $D$12, 100%, $F$12)</f>
        <v>22.2287</v>
      </c>
      <c r="C702" s="7">
        <f>CHOOSE( CONTROL!$C$37, 22.2338, 22.2327) * CHOOSE(CONTROL!$C$20, $D$12, 100%, $F$12)</f>
        <v>22.233799999999999</v>
      </c>
      <c r="D702" s="7">
        <f>CHOOSE( CONTROL!$C$37, 22.2269, 22.2258) * CHOOSE( CONTROL!$C$20, $D$12, 100%, $F$12)</f>
        <v>22.226900000000001</v>
      </c>
      <c r="E702" s="10">
        <f>CHOOSE( CONTROL!$C$37, 22.2289, 22.2278) * CHOOSE( CONTROL!$C$20, $D$12, 100%, $F$12)</f>
        <v>22.228899999999999</v>
      </c>
      <c r="F702" s="4">
        <f>CHOOSE( CONTROL!$C$37, 22.8812, 22.8801) * CHOOSE(CONTROL!$C$20, $D$12, 100%, $F$12)</f>
        <v>22.8812</v>
      </c>
      <c r="G702" s="7">
        <f>CHOOSE( CONTROL!$C$37, 21.9568, 21.9558) * CHOOSE( CONTROL!$C$20, $D$12, 100%, $F$12)</f>
        <v>21.956800000000001</v>
      </c>
      <c r="H702" s="4">
        <f>CHOOSE( CONTROL!$C$37, 22.8358, 22.8347) * CHOOSE(CONTROL!$C$20, $D$12, 100%, $F$12)</f>
        <v>22.835799999999999</v>
      </c>
      <c r="I702" s="7">
        <f>CHOOSE( CONTROL!$C$37, 21.7036, 21.7026) * CHOOSE(CONTROL!$C$20, $D$12, 100%, $F$12)</f>
        <v>21.703600000000002</v>
      </c>
      <c r="J702" s="4">
        <f>CHOOSE( CONTROL!$C$37, 21.5407, 21.5396) * CHOOSE(CONTROL!$C$20, $D$12, 100%, $F$12)</f>
        <v>21.540700000000001</v>
      </c>
      <c r="K702" s="4"/>
      <c r="L702" s="8">
        <v>29.306000000000001</v>
      </c>
      <c r="M702" s="8">
        <v>12.063700000000001</v>
      </c>
      <c r="N702" s="8">
        <v>4.9444999999999997</v>
      </c>
      <c r="O702" s="8">
        <v>0.37409999999999999</v>
      </c>
      <c r="P702" s="8">
        <v>1.2927</v>
      </c>
      <c r="Q702" s="8">
        <v>19.688099999999999</v>
      </c>
      <c r="R702" s="8"/>
    </row>
    <row r="703" spans="1:18" ht="14.25" customHeight="1">
      <c r="A703" s="11">
        <v>62517</v>
      </c>
      <c r="B703" s="7">
        <f>CHOOSE( CONTROL!$C$37, 20.7906, 20.7895) * CHOOSE(CONTROL!$C$20, $D$12, 100%, $F$12)</f>
        <v>20.790600000000001</v>
      </c>
      <c r="C703" s="7">
        <f>CHOOSE( CONTROL!$C$37, 20.7957, 20.7946) * CHOOSE(CONTROL!$C$20, $D$12, 100%, $F$12)</f>
        <v>20.7957</v>
      </c>
      <c r="D703" s="7">
        <f>CHOOSE( CONTROL!$C$37, 20.7887, 20.7876) * CHOOSE( CONTROL!$C$20, $D$12, 100%, $F$12)</f>
        <v>20.788699999999999</v>
      </c>
      <c r="E703" s="10">
        <f>CHOOSE( CONTROL!$C$37, 20.7907, 20.7896) * CHOOSE( CONTROL!$C$20, $D$12, 100%, $F$12)</f>
        <v>20.790700000000001</v>
      </c>
      <c r="F703" s="4">
        <f>CHOOSE( CONTROL!$C$37, 21.4431, 21.442) * CHOOSE(CONTROL!$C$20, $D$12, 100%, $F$12)</f>
        <v>21.443100000000001</v>
      </c>
      <c r="G703" s="7">
        <f>CHOOSE( CONTROL!$C$37, 20.5388, 20.5377) * CHOOSE( CONTROL!$C$20, $D$12, 100%, $F$12)</f>
        <v>20.538799999999998</v>
      </c>
      <c r="H703" s="4">
        <f>CHOOSE( CONTROL!$C$37, 21.4178, 21.4167) * CHOOSE(CONTROL!$C$20, $D$12, 100%, $F$12)</f>
        <v>21.4178</v>
      </c>
      <c r="I703" s="7">
        <f>CHOOSE( CONTROL!$C$37, 20.3102, 20.3091) * CHOOSE(CONTROL!$C$20, $D$12, 100%, $F$12)</f>
        <v>20.310199999999998</v>
      </c>
      <c r="J703" s="4">
        <f>CHOOSE( CONTROL!$C$37, 20.1482, 20.1471) * CHOOSE(CONTROL!$C$20, $D$12, 100%, $F$12)</f>
        <v>20.148199999999999</v>
      </c>
      <c r="K703" s="4"/>
      <c r="L703" s="8">
        <v>26.469899999999999</v>
      </c>
      <c r="M703" s="8">
        <v>10.8962</v>
      </c>
      <c r="N703" s="8">
        <v>4.4660000000000002</v>
      </c>
      <c r="O703" s="8">
        <v>0.33789999999999998</v>
      </c>
      <c r="P703" s="8">
        <v>1.1676</v>
      </c>
      <c r="Q703" s="8">
        <v>17.782800000000002</v>
      </c>
      <c r="R703" s="8"/>
    </row>
    <row r="704" spans="1:18" ht="14.25" customHeight="1">
      <c r="A704" s="11">
        <v>62548</v>
      </c>
      <c r="B704" s="7">
        <f>CHOOSE( CONTROL!$C$37, 20.3476, 20.3466) * CHOOSE(CONTROL!$C$20, $D$12, 100%, $F$12)</f>
        <v>20.3476</v>
      </c>
      <c r="C704" s="7">
        <f>CHOOSE( CONTROL!$C$37, 20.3527, 20.3517) * CHOOSE(CONTROL!$C$20, $D$12, 100%, $F$12)</f>
        <v>20.352699999999999</v>
      </c>
      <c r="D704" s="7">
        <f>CHOOSE( CONTROL!$C$37, 20.3451, 20.3441) * CHOOSE( CONTROL!$C$20, $D$12, 100%, $F$12)</f>
        <v>20.345099999999999</v>
      </c>
      <c r="E704" s="10">
        <f>CHOOSE( CONTROL!$C$37, 20.3473, 20.3463) * CHOOSE( CONTROL!$C$20, $D$12, 100%, $F$12)</f>
        <v>20.347300000000001</v>
      </c>
      <c r="F704" s="4">
        <f>CHOOSE( CONTROL!$C$37, 21.0002, 20.9991) * CHOOSE(CONTROL!$C$20, $D$12, 100%, $F$12)</f>
        <v>21.0002</v>
      </c>
      <c r="G704" s="7">
        <f>CHOOSE( CONTROL!$C$37, 20.1016, 20.1005) * CHOOSE( CONTROL!$C$20, $D$12, 100%, $F$12)</f>
        <v>20.101600000000001</v>
      </c>
      <c r="H704" s="4">
        <f>CHOOSE( CONTROL!$C$37, 20.981, 20.98) * CHOOSE(CONTROL!$C$20, $D$12, 100%, $F$12)</f>
        <v>20.981000000000002</v>
      </c>
      <c r="I704" s="7">
        <f>CHOOSE( CONTROL!$C$37, 19.8792, 19.8781) * CHOOSE(CONTROL!$C$20, $D$12, 100%, $F$12)</f>
        <v>19.879200000000001</v>
      </c>
      <c r="J704" s="4">
        <f>CHOOSE( CONTROL!$C$37, 19.7193, 19.7182) * CHOOSE(CONTROL!$C$20, $D$12, 100%, $F$12)</f>
        <v>19.7193</v>
      </c>
      <c r="K704" s="4"/>
      <c r="L704" s="8">
        <v>29.306000000000001</v>
      </c>
      <c r="M704" s="8">
        <v>12.063700000000001</v>
      </c>
      <c r="N704" s="8">
        <v>4.9444999999999997</v>
      </c>
      <c r="O704" s="8">
        <v>0.37409999999999999</v>
      </c>
      <c r="P704" s="8">
        <v>1.2927</v>
      </c>
      <c r="Q704" s="8">
        <v>19.688099999999999</v>
      </c>
      <c r="R704" s="8"/>
    </row>
    <row r="705" spans="1:18" ht="14.25" customHeight="1">
      <c r="A705" s="11">
        <v>62578</v>
      </c>
      <c r="B705" s="7">
        <f>CHOOSE( CONTROL!$C$37, 20.6579, 20.6568) * CHOOSE(CONTROL!$C$20, $D$12, 100%, $F$12)</f>
        <v>20.657900000000001</v>
      </c>
      <c r="C705" s="7">
        <f>CHOOSE( CONTROL!$C$37, 20.6624, 20.6614) * CHOOSE(CONTROL!$C$20, $D$12, 100%, $F$12)</f>
        <v>20.662400000000002</v>
      </c>
      <c r="D705" s="7">
        <f>CHOOSE( CONTROL!$C$37, 20.6743, 20.6732) * CHOOSE( CONTROL!$C$20, $D$12, 100%, $F$12)</f>
        <v>20.674299999999999</v>
      </c>
      <c r="E705" s="10">
        <f>CHOOSE( CONTROL!$C$37, 20.6699, 20.6688) * CHOOSE( CONTROL!$C$20, $D$12, 100%, $F$12)</f>
        <v>20.669899999999998</v>
      </c>
      <c r="F705" s="4">
        <f>CHOOSE( CONTROL!$C$37, 21.3846, 21.3835) * CHOOSE(CONTROL!$C$20, $D$12, 100%, $F$12)</f>
        <v>21.384599999999999</v>
      </c>
      <c r="G705" s="7">
        <f>CHOOSE( CONTROL!$C$37, 20.415, 20.4139) * CHOOSE( CONTROL!$C$20, $D$12, 100%, $F$12)</f>
        <v>20.414999999999999</v>
      </c>
      <c r="H705" s="4">
        <f>CHOOSE( CONTROL!$C$37, 21.3601, 21.359) * CHOOSE(CONTROL!$C$20, $D$12, 100%, $F$12)</f>
        <v>21.360099999999999</v>
      </c>
      <c r="I705" s="7">
        <f>CHOOSE( CONTROL!$C$37, 20.1516, 20.1505) * CHOOSE(CONTROL!$C$20, $D$12, 100%, $F$12)</f>
        <v>20.151599999999998</v>
      </c>
      <c r="J705" s="4">
        <f>CHOOSE( CONTROL!$C$37, 20.019, 20.0179) * CHOOSE(CONTROL!$C$20, $D$12, 100%, $F$12)</f>
        <v>20.018999999999998</v>
      </c>
      <c r="K705" s="4"/>
      <c r="L705" s="8">
        <v>30.092199999999998</v>
      </c>
      <c r="M705" s="8">
        <v>11.6745</v>
      </c>
      <c r="N705" s="8">
        <v>4.7850000000000001</v>
      </c>
      <c r="O705" s="8">
        <v>0.36199999999999999</v>
      </c>
      <c r="P705" s="8">
        <v>1.2509999999999999</v>
      </c>
      <c r="Q705" s="8">
        <v>19.053000000000001</v>
      </c>
      <c r="R705" s="8"/>
    </row>
    <row r="706" spans="1:18" ht="14.25" customHeight="1">
      <c r="A706" s="11">
        <v>62609</v>
      </c>
      <c r="B706" s="7">
        <f>CHOOSE( CONTROL!$C$37, 21.2107, 21.209) * CHOOSE(CONTROL!$C$20, $D$12, 100%, $F$12)</f>
        <v>21.210699999999999</v>
      </c>
      <c r="C706" s="7">
        <f>CHOOSE( CONTROL!$C$37, 21.2187, 21.217) * CHOOSE(CONTROL!$C$20, $D$12, 100%, $F$12)</f>
        <v>21.218699999999998</v>
      </c>
      <c r="D706" s="7">
        <f>CHOOSE( CONTROL!$C$37, 21.2244, 21.2227) * CHOOSE( CONTROL!$C$20, $D$12, 100%, $F$12)</f>
        <v>21.224399999999999</v>
      </c>
      <c r="E706" s="10">
        <f>CHOOSE( CONTROL!$C$37, 21.2211, 21.2194) * CHOOSE( CONTROL!$C$20, $D$12, 100%, $F$12)</f>
        <v>21.2211</v>
      </c>
      <c r="F706" s="4">
        <f>CHOOSE( CONTROL!$C$37, 21.936, 21.9343) * CHOOSE(CONTROL!$C$20, $D$12, 100%, $F$12)</f>
        <v>21.936</v>
      </c>
      <c r="G706" s="7">
        <f>CHOOSE( CONTROL!$C$37, 20.9587, 20.9571) * CHOOSE( CONTROL!$C$20, $D$12, 100%, $F$12)</f>
        <v>20.9587</v>
      </c>
      <c r="H706" s="4">
        <f>CHOOSE( CONTROL!$C$37, 21.9038, 21.9022) * CHOOSE(CONTROL!$C$20, $D$12, 100%, $F$12)</f>
        <v>21.9038</v>
      </c>
      <c r="I706" s="7">
        <f>CHOOSE( CONTROL!$C$37, 20.6855, 20.6839) * CHOOSE(CONTROL!$C$20, $D$12, 100%, $F$12)</f>
        <v>20.685500000000001</v>
      </c>
      <c r="J706" s="4">
        <f>CHOOSE( CONTROL!$C$37, 20.5529, 20.5513) * CHOOSE(CONTROL!$C$20, $D$12, 100%, $F$12)</f>
        <v>20.552900000000001</v>
      </c>
      <c r="K706" s="4"/>
      <c r="L706" s="8">
        <v>30.7165</v>
      </c>
      <c r="M706" s="8">
        <v>12.063700000000001</v>
      </c>
      <c r="N706" s="8">
        <v>4.9444999999999997</v>
      </c>
      <c r="O706" s="8">
        <v>0.37409999999999999</v>
      </c>
      <c r="P706" s="8">
        <v>1.2927</v>
      </c>
      <c r="Q706" s="8">
        <v>19.688099999999999</v>
      </c>
      <c r="R706" s="8"/>
    </row>
    <row r="707" spans="1:18" ht="14.25" customHeight="1">
      <c r="A707" s="11">
        <v>62639</v>
      </c>
      <c r="B707" s="7">
        <f>CHOOSE( CONTROL!$C$37, 20.8695, 20.8678) * CHOOSE(CONTROL!$C$20, $D$12, 100%, $F$12)</f>
        <v>20.869499999999999</v>
      </c>
      <c r="C707" s="7">
        <f>CHOOSE( CONTROL!$C$37, 20.8775, 20.8758) * CHOOSE(CONTROL!$C$20, $D$12, 100%, $F$12)</f>
        <v>20.877500000000001</v>
      </c>
      <c r="D707" s="7">
        <f>CHOOSE( CONTROL!$C$37, 20.8834, 20.8817) * CHOOSE( CONTROL!$C$20, $D$12, 100%, $F$12)</f>
        <v>20.883400000000002</v>
      </c>
      <c r="E707" s="10">
        <f>CHOOSE( CONTROL!$C$37, 20.88, 20.8783) * CHOOSE( CONTROL!$C$20, $D$12, 100%, $F$12)</f>
        <v>20.88</v>
      </c>
      <c r="F707" s="4">
        <f>CHOOSE( CONTROL!$C$37, 21.5948, 21.5931) * CHOOSE(CONTROL!$C$20, $D$12, 100%, $F$12)</f>
        <v>21.594799999999999</v>
      </c>
      <c r="G707" s="7">
        <f>CHOOSE( CONTROL!$C$37, 20.6224, 20.6208) * CHOOSE( CONTROL!$C$20, $D$12, 100%, $F$12)</f>
        <v>20.622399999999999</v>
      </c>
      <c r="H707" s="4">
        <f>CHOOSE( CONTROL!$C$37, 21.5673, 21.5657) * CHOOSE(CONTROL!$C$20, $D$12, 100%, $F$12)</f>
        <v>21.567299999999999</v>
      </c>
      <c r="I707" s="7">
        <f>CHOOSE( CONTROL!$C$37, 20.3559, 20.3543) * CHOOSE(CONTROL!$C$20, $D$12, 100%, $F$12)</f>
        <v>20.355899999999998</v>
      </c>
      <c r="J707" s="4">
        <f>CHOOSE( CONTROL!$C$37, 20.2225, 20.2209) * CHOOSE(CONTROL!$C$20, $D$12, 100%, $F$12)</f>
        <v>20.2225</v>
      </c>
      <c r="K707" s="4"/>
      <c r="L707" s="8">
        <v>29.7257</v>
      </c>
      <c r="M707" s="8">
        <v>11.6745</v>
      </c>
      <c r="N707" s="8">
        <v>4.7850000000000001</v>
      </c>
      <c r="O707" s="8">
        <v>0.36199999999999999</v>
      </c>
      <c r="P707" s="8">
        <v>1.2509999999999999</v>
      </c>
      <c r="Q707" s="8">
        <v>19.053000000000001</v>
      </c>
      <c r="R707" s="8"/>
    </row>
    <row r="708" spans="1:18" ht="14.25" customHeight="1">
      <c r="A708" s="11">
        <v>62670</v>
      </c>
      <c r="B708" s="7">
        <f>CHOOSE( CONTROL!$C$37, 21.7681, 21.7664) * CHOOSE(CONTROL!$C$20, $D$12, 100%, $F$12)</f>
        <v>21.7681</v>
      </c>
      <c r="C708" s="7">
        <f>CHOOSE( CONTROL!$C$37, 21.7761, 21.7744) * CHOOSE(CONTROL!$C$20, $D$12, 100%, $F$12)</f>
        <v>21.7761</v>
      </c>
      <c r="D708" s="7">
        <f>CHOOSE( CONTROL!$C$37, 21.7823, 21.7806) * CHOOSE( CONTROL!$C$20, $D$12, 100%, $F$12)</f>
        <v>21.782299999999999</v>
      </c>
      <c r="E708" s="10">
        <f>CHOOSE( CONTROL!$C$37, 21.7788, 21.7771) * CHOOSE( CONTROL!$C$20, $D$12, 100%, $F$12)</f>
        <v>21.7788</v>
      </c>
      <c r="F708" s="4">
        <f>CHOOSE( CONTROL!$C$37, 22.4934, 22.4917) * CHOOSE(CONTROL!$C$20, $D$12, 100%, $F$12)</f>
        <v>22.493400000000001</v>
      </c>
      <c r="G708" s="7">
        <f>CHOOSE( CONTROL!$C$37, 21.5087, 21.5071) * CHOOSE( CONTROL!$C$20, $D$12, 100%, $F$12)</f>
        <v>21.508700000000001</v>
      </c>
      <c r="H708" s="4">
        <f>CHOOSE( CONTROL!$C$37, 22.4534, 22.4517) * CHOOSE(CONTROL!$C$20, $D$12, 100%, $F$12)</f>
        <v>22.453399999999998</v>
      </c>
      <c r="I708" s="7">
        <f>CHOOSE( CONTROL!$C$37, 21.2275, 21.2259) * CHOOSE(CONTROL!$C$20, $D$12, 100%, $F$12)</f>
        <v>21.227499999999999</v>
      </c>
      <c r="J708" s="4">
        <f>CHOOSE( CONTROL!$C$37, 21.0926, 21.091) * CHOOSE(CONTROL!$C$20, $D$12, 100%, $F$12)</f>
        <v>21.092600000000001</v>
      </c>
      <c r="K708" s="4"/>
      <c r="L708" s="8">
        <v>30.7165</v>
      </c>
      <c r="M708" s="8">
        <v>12.063700000000001</v>
      </c>
      <c r="N708" s="8">
        <v>4.9444999999999997</v>
      </c>
      <c r="O708" s="8">
        <v>0.37409999999999999</v>
      </c>
      <c r="P708" s="8">
        <v>1.2927</v>
      </c>
      <c r="Q708" s="8">
        <v>19.688099999999999</v>
      </c>
      <c r="R708" s="8"/>
    </row>
    <row r="709" spans="1:18" ht="14.25" customHeight="1">
      <c r="A709" s="11">
        <v>62701</v>
      </c>
      <c r="B709" s="7">
        <f>CHOOSE( CONTROL!$C$37, 20.0867, 20.085) * CHOOSE(CONTROL!$C$20, $D$12, 100%, $F$12)</f>
        <v>20.0867</v>
      </c>
      <c r="C709" s="7">
        <f>CHOOSE( CONTROL!$C$37, 20.0947, 20.093) * CHOOSE(CONTROL!$C$20, $D$12, 100%, $F$12)</f>
        <v>20.0947</v>
      </c>
      <c r="D709" s="7">
        <f>CHOOSE( CONTROL!$C$37, 20.101, 20.0993) * CHOOSE( CONTROL!$C$20, $D$12, 100%, $F$12)</f>
        <v>20.100999999999999</v>
      </c>
      <c r="E709" s="10">
        <f>CHOOSE( CONTROL!$C$37, 20.0975, 20.0958) * CHOOSE( CONTROL!$C$20, $D$12, 100%, $F$12)</f>
        <v>20.0975</v>
      </c>
      <c r="F709" s="4">
        <f>CHOOSE( CONTROL!$C$37, 20.812, 20.8103) * CHOOSE(CONTROL!$C$20, $D$12, 100%, $F$12)</f>
        <v>20.812000000000001</v>
      </c>
      <c r="G709" s="7">
        <f>CHOOSE( CONTROL!$C$37, 19.8509, 19.8493) * CHOOSE( CONTROL!$C$20, $D$12, 100%, $F$12)</f>
        <v>19.850899999999999</v>
      </c>
      <c r="H709" s="4">
        <f>CHOOSE( CONTROL!$C$37, 20.7955, 20.7938) * CHOOSE(CONTROL!$C$20, $D$12, 100%, $F$12)</f>
        <v>20.795500000000001</v>
      </c>
      <c r="I709" s="7">
        <f>CHOOSE( CONTROL!$C$37, 19.5989, 19.5973) * CHOOSE(CONTROL!$C$20, $D$12, 100%, $F$12)</f>
        <v>19.5989</v>
      </c>
      <c r="J709" s="4">
        <f>CHOOSE( CONTROL!$C$37, 19.4645, 19.4629) * CHOOSE(CONTROL!$C$20, $D$12, 100%, $F$12)</f>
        <v>19.464500000000001</v>
      </c>
      <c r="K709" s="4"/>
      <c r="L709" s="8">
        <v>30.7165</v>
      </c>
      <c r="M709" s="8">
        <v>12.063700000000001</v>
      </c>
      <c r="N709" s="8">
        <v>4.9444999999999997</v>
      </c>
      <c r="O709" s="8">
        <v>0.37409999999999999</v>
      </c>
      <c r="P709" s="8">
        <v>1.2927</v>
      </c>
      <c r="Q709" s="8">
        <v>19.688099999999999</v>
      </c>
      <c r="R709" s="8"/>
    </row>
    <row r="710" spans="1:18" ht="14.25" customHeight="1">
      <c r="A710" s="11">
        <v>62731</v>
      </c>
      <c r="B710" s="7">
        <f>CHOOSE( CONTROL!$C$37, 19.6657, 19.664) * CHOOSE(CONTROL!$C$20, $D$12, 100%, $F$12)</f>
        <v>19.665700000000001</v>
      </c>
      <c r="C710" s="7">
        <f>CHOOSE( CONTROL!$C$37, 19.6737, 19.672) * CHOOSE(CONTROL!$C$20, $D$12, 100%, $F$12)</f>
        <v>19.6737</v>
      </c>
      <c r="D710" s="7">
        <f>CHOOSE( CONTROL!$C$37, 19.6799, 19.6782) * CHOOSE( CONTROL!$C$20, $D$12, 100%, $F$12)</f>
        <v>19.6799</v>
      </c>
      <c r="E710" s="10">
        <f>CHOOSE( CONTROL!$C$37, 19.6764, 19.6747) * CHOOSE( CONTROL!$C$20, $D$12, 100%, $F$12)</f>
        <v>19.676400000000001</v>
      </c>
      <c r="F710" s="4">
        <f>CHOOSE( CONTROL!$C$37, 20.3909, 20.3893) * CHOOSE(CONTROL!$C$20, $D$12, 100%, $F$12)</f>
        <v>20.390899999999998</v>
      </c>
      <c r="G710" s="7">
        <f>CHOOSE( CONTROL!$C$37, 19.4356, 19.434) * CHOOSE( CONTROL!$C$20, $D$12, 100%, $F$12)</f>
        <v>19.435600000000001</v>
      </c>
      <c r="H710" s="4">
        <f>CHOOSE( CONTROL!$C$37, 20.3803, 20.3787) * CHOOSE(CONTROL!$C$20, $D$12, 100%, $F$12)</f>
        <v>20.380299999999998</v>
      </c>
      <c r="I710" s="7">
        <f>CHOOSE( CONTROL!$C$37, 19.1906, 19.189) * CHOOSE(CONTROL!$C$20, $D$12, 100%, $F$12)</f>
        <v>19.1906</v>
      </c>
      <c r="J710" s="4">
        <f>CHOOSE( CONTROL!$C$37, 19.0569, 19.0552) * CHOOSE(CONTROL!$C$20, $D$12, 100%, $F$12)</f>
        <v>19.056899999999999</v>
      </c>
      <c r="K710" s="4"/>
      <c r="L710" s="8">
        <v>29.7257</v>
      </c>
      <c r="M710" s="8">
        <v>11.6745</v>
      </c>
      <c r="N710" s="8">
        <v>4.7850000000000001</v>
      </c>
      <c r="O710" s="8">
        <v>0.36199999999999999</v>
      </c>
      <c r="P710" s="8">
        <v>1.2509999999999999</v>
      </c>
      <c r="Q710" s="8">
        <v>19.053000000000001</v>
      </c>
      <c r="R710" s="8"/>
    </row>
    <row r="711" spans="1:18" ht="14.25" customHeight="1">
      <c r="A711" s="11">
        <v>62762</v>
      </c>
      <c r="B711" s="7">
        <f>CHOOSE( CONTROL!$C$37, 20.5376, 20.5365) * CHOOSE(CONTROL!$C$20, $D$12, 100%, $F$12)</f>
        <v>20.537600000000001</v>
      </c>
      <c r="C711" s="7">
        <f>CHOOSE( CONTROL!$C$37, 20.5429, 20.5418) * CHOOSE(CONTROL!$C$20, $D$12, 100%, $F$12)</f>
        <v>20.542899999999999</v>
      </c>
      <c r="D711" s="7">
        <f>CHOOSE( CONTROL!$C$37, 20.5549, 20.5539) * CHOOSE( CONTROL!$C$20, $D$12, 100%, $F$12)</f>
        <v>20.5549</v>
      </c>
      <c r="E711" s="10">
        <f>CHOOSE( CONTROL!$C$37, 20.5504, 20.5493) * CHOOSE( CONTROL!$C$20, $D$12, 100%, $F$12)</f>
        <v>20.5504</v>
      </c>
      <c r="F711" s="4">
        <f>CHOOSE( CONTROL!$C$37, 21.2646, 21.2635) * CHOOSE(CONTROL!$C$20, $D$12, 100%, $F$12)</f>
        <v>21.264600000000002</v>
      </c>
      <c r="G711" s="7">
        <f>CHOOSE( CONTROL!$C$37, 20.2972, 20.2961) * CHOOSE( CONTROL!$C$20, $D$12, 100%, $F$12)</f>
        <v>20.2972</v>
      </c>
      <c r="H711" s="4">
        <f>CHOOSE( CONTROL!$C$37, 21.2418, 21.2407) * CHOOSE(CONTROL!$C$20, $D$12, 100%, $F$12)</f>
        <v>21.241800000000001</v>
      </c>
      <c r="I711" s="7">
        <f>CHOOSE( CONTROL!$C$37, 20.0376, 20.0366) * CHOOSE(CONTROL!$C$20, $D$12, 100%, $F$12)</f>
        <v>20.037600000000001</v>
      </c>
      <c r="J711" s="4">
        <f>CHOOSE( CONTROL!$C$37, 19.9028, 19.9017) * CHOOSE(CONTROL!$C$20, $D$12, 100%, $F$12)</f>
        <v>19.902799999999999</v>
      </c>
      <c r="K711" s="4"/>
      <c r="L711" s="8">
        <v>31.095300000000002</v>
      </c>
      <c r="M711" s="8">
        <v>12.063700000000001</v>
      </c>
      <c r="N711" s="8">
        <v>4.9444999999999997</v>
      </c>
      <c r="O711" s="8">
        <v>0.37409999999999999</v>
      </c>
      <c r="P711" s="8">
        <v>1.2927</v>
      </c>
      <c r="Q711" s="8">
        <v>19.688099999999999</v>
      </c>
      <c r="R711" s="8"/>
    </row>
    <row r="712" spans="1:18" ht="14.25" customHeight="1">
      <c r="A712" s="11">
        <v>62792</v>
      </c>
      <c r="B712" s="7">
        <f>CHOOSE( CONTROL!$C$37, 22.1508, 22.1497) * CHOOSE(CONTROL!$C$20, $D$12, 100%, $F$12)</f>
        <v>22.1508</v>
      </c>
      <c r="C712" s="7">
        <f>CHOOSE( CONTROL!$C$37, 22.1559, 22.1548) * CHOOSE(CONTROL!$C$20, $D$12, 100%, $F$12)</f>
        <v>22.155899999999999</v>
      </c>
      <c r="D712" s="7">
        <f>CHOOSE( CONTROL!$C$37, 22.1343, 22.1333) * CHOOSE( CONTROL!$C$20, $D$12, 100%, $F$12)</f>
        <v>22.1343</v>
      </c>
      <c r="E712" s="10">
        <f>CHOOSE( CONTROL!$C$37, 22.1417, 22.1406) * CHOOSE( CONTROL!$C$20, $D$12, 100%, $F$12)</f>
        <v>22.1417</v>
      </c>
      <c r="F712" s="4">
        <f>CHOOSE( CONTROL!$C$37, 22.8033, 22.8022) * CHOOSE(CONTROL!$C$20, $D$12, 100%, $F$12)</f>
        <v>22.8033</v>
      </c>
      <c r="G712" s="7">
        <f>CHOOSE( CONTROL!$C$37, 21.8744, 21.8734) * CHOOSE( CONTROL!$C$20, $D$12, 100%, $F$12)</f>
        <v>21.874400000000001</v>
      </c>
      <c r="H712" s="4">
        <f>CHOOSE( CONTROL!$C$37, 22.759, 22.758) * CHOOSE(CONTROL!$C$20, $D$12, 100%, $F$12)</f>
        <v>22.759</v>
      </c>
      <c r="I712" s="7">
        <f>CHOOSE( CONTROL!$C$37, 21.6521, 21.651) * CHOOSE(CONTROL!$C$20, $D$12, 100%, $F$12)</f>
        <v>21.652100000000001</v>
      </c>
      <c r="J712" s="4">
        <f>CHOOSE( CONTROL!$C$37, 21.4653, 21.4642) * CHOOSE(CONTROL!$C$20, $D$12, 100%, $F$12)</f>
        <v>21.465299999999999</v>
      </c>
      <c r="K712" s="4"/>
      <c r="L712" s="8">
        <v>28.360600000000002</v>
      </c>
      <c r="M712" s="8">
        <v>11.6745</v>
      </c>
      <c r="N712" s="8">
        <v>4.7850000000000001</v>
      </c>
      <c r="O712" s="8">
        <v>0.36199999999999999</v>
      </c>
      <c r="P712" s="8">
        <v>1.2509999999999999</v>
      </c>
      <c r="Q712" s="8">
        <v>19.053000000000001</v>
      </c>
      <c r="R712" s="8"/>
    </row>
    <row r="713" spans="1:18" ht="14.25" customHeight="1">
      <c r="A713" s="11">
        <v>62823</v>
      </c>
      <c r="B713" s="7">
        <f>CHOOSE( CONTROL!$C$37, 22.1105, 22.1094) * CHOOSE(CONTROL!$C$20, $D$12, 100%, $F$12)</f>
        <v>22.110499999999998</v>
      </c>
      <c r="C713" s="7">
        <f>CHOOSE( CONTROL!$C$37, 22.1156, 22.1145) * CHOOSE(CONTROL!$C$20, $D$12, 100%, $F$12)</f>
        <v>22.115600000000001</v>
      </c>
      <c r="D713" s="7">
        <f>CHOOSE( CONTROL!$C$37, 22.0956, 22.0945) * CHOOSE( CONTROL!$C$20, $D$12, 100%, $F$12)</f>
        <v>22.095600000000001</v>
      </c>
      <c r="E713" s="10">
        <f>CHOOSE( CONTROL!$C$37, 22.1024, 22.1013) * CHOOSE( CONTROL!$C$20, $D$12, 100%, $F$12)</f>
        <v>22.102399999999999</v>
      </c>
      <c r="F713" s="4">
        <f>CHOOSE( CONTROL!$C$37, 22.763, 22.7619) * CHOOSE(CONTROL!$C$20, $D$12, 100%, $F$12)</f>
        <v>22.763000000000002</v>
      </c>
      <c r="G713" s="7">
        <f>CHOOSE( CONTROL!$C$37, 21.8358, 21.8347) * CHOOSE( CONTROL!$C$20, $D$12, 100%, $F$12)</f>
        <v>21.835799999999999</v>
      </c>
      <c r="H713" s="4">
        <f>CHOOSE( CONTROL!$C$37, 22.7193, 22.7182) * CHOOSE(CONTROL!$C$20, $D$12, 100%, $F$12)</f>
        <v>22.7193</v>
      </c>
      <c r="I713" s="7">
        <f>CHOOSE( CONTROL!$C$37, 21.6179, 21.6168) * CHOOSE(CONTROL!$C$20, $D$12, 100%, $F$12)</f>
        <v>21.617899999999999</v>
      </c>
      <c r="J713" s="4">
        <f>CHOOSE( CONTROL!$C$37, 21.4262, 21.4252) * CHOOSE(CONTROL!$C$20, $D$12, 100%, $F$12)</f>
        <v>21.426200000000001</v>
      </c>
      <c r="K713" s="4"/>
      <c r="L713" s="8">
        <v>29.306000000000001</v>
      </c>
      <c r="M713" s="8">
        <v>12.063700000000001</v>
      </c>
      <c r="N713" s="8">
        <v>4.9444999999999997</v>
      </c>
      <c r="O713" s="8">
        <v>0.37409999999999999</v>
      </c>
      <c r="P713" s="8">
        <v>1.2927</v>
      </c>
      <c r="Q713" s="8">
        <v>19.688099999999999</v>
      </c>
      <c r="R713" s="8"/>
    </row>
    <row r="714" spans="1:18" ht="14.25" customHeight="1">
      <c r="A714" s="11">
        <v>62854</v>
      </c>
      <c r="B714" s="7">
        <f>CHOOSE( CONTROL!$C$37, 22.7631, 22.7621) * CHOOSE(CONTROL!$C$20, $D$12, 100%, $F$12)</f>
        <v>22.763100000000001</v>
      </c>
      <c r="C714" s="7">
        <f>CHOOSE( CONTROL!$C$37, 22.7682, 22.7672) * CHOOSE(CONTROL!$C$20, $D$12, 100%, $F$12)</f>
        <v>22.7682</v>
      </c>
      <c r="D714" s="7">
        <f>CHOOSE( CONTROL!$C$37, 22.7613, 22.7603) * CHOOSE( CONTROL!$C$20, $D$12, 100%, $F$12)</f>
        <v>22.761299999999999</v>
      </c>
      <c r="E714" s="10">
        <f>CHOOSE( CONTROL!$C$37, 22.7633, 22.7623) * CHOOSE( CONTROL!$C$20, $D$12, 100%, $F$12)</f>
        <v>22.763300000000001</v>
      </c>
      <c r="F714" s="4">
        <f>CHOOSE( CONTROL!$C$37, 23.4157, 23.4146) * CHOOSE(CONTROL!$C$20, $D$12, 100%, $F$12)</f>
        <v>23.415700000000001</v>
      </c>
      <c r="G714" s="7">
        <f>CHOOSE( CONTROL!$C$37, 22.4839, 22.4828) * CHOOSE( CONTROL!$C$20, $D$12, 100%, $F$12)</f>
        <v>22.483899999999998</v>
      </c>
      <c r="H714" s="4">
        <f>CHOOSE( CONTROL!$C$37, 23.3628, 23.3618) * CHOOSE(CONTROL!$C$20, $D$12, 100%, $F$12)</f>
        <v>23.3628</v>
      </c>
      <c r="I714" s="7">
        <f>CHOOSE( CONTROL!$C$37, 22.2214, 22.2204) * CHOOSE(CONTROL!$C$20, $D$12, 100%, $F$12)</f>
        <v>22.221399999999999</v>
      </c>
      <c r="J714" s="4">
        <f>CHOOSE( CONTROL!$C$37, 22.0582, 22.0572) * CHOOSE(CONTROL!$C$20, $D$12, 100%, $F$12)</f>
        <v>22.058199999999999</v>
      </c>
      <c r="K714" s="4"/>
      <c r="L714" s="8">
        <v>29.306000000000001</v>
      </c>
      <c r="M714" s="8">
        <v>12.063700000000001</v>
      </c>
      <c r="N714" s="8">
        <v>4.9444999999999997</v>
      </c>
      <c r="O714" s="8">
        <v>0.37409999999999999</v>
      </c>
      <c r="P714" s="8">
        <v>1.2927</v>
      </c>
      <c r="Q714" s="8">
        <v>19.688099999999999</v>
      </c>
      <c r="R714" s="8"/>
    </row>
    <row r="715" spans="1:18" ht="14.25" customHeight="1">
      <c r="A715" s="11">
        <v>62883</v>
      </c>
      <c r="B715" s="7">
        <f>CHOOSE( CONTROL!$C$37, 21.2905, 21.2894) * CHOOSE(CONTROL!$C$20, $D$12, 100%, $F$12)</f>
        <v>21.290500000000002</v>
      </c>
      <c r="C715" s="7">
        <f>CHOOSE( CONTROL!$C$37, 21.2956, 21.2945) * CHOOSE(CONTROL!$C$20, $D$12, 100%, $F$12)</f>
        <v>21.2956</v>
      </c>
      <c r="D715" s="7">
        <f>CHOOSE( CONTROL!$C$37, 21.2886, 21.2875) * CHOOSE( CONTROL!$C$20, $D$12, 100%, $F$12)</f>
        <v>21.288599999999999</v>
      </c>
      <c r="E715" s="10">
        <f>CHOOSE( CONTROL!$C$37, 21.2906, 21.2895) * CHOOSE( CONTROL!$C$20, $D$12, 100%, $F$12)</f>
        <v>21.290600000000001</v>
      </c>
      <c r="F715" s="4">
        <f>CHOOSE( CONTROL!$C$37, 21.943, 21.942) * CHOOSE(CONTROL!$C$20, $D$12, 100%, $F$12)</f>
        <v>21.943000000000001</v>
      </c>
      <c r="G715" s="7">
        <f>CHOOSE( CONTROL!$C$37, 21.0317, 21.0306) * CHOOSE( CONTROL!$C$20, $D$12, 100%, $F$12)</f>
        <v>21.031700000000001</v>
      </c>
      <c r="H715" s="4">
        <f>CHOOSE( CONTROL!$C$37, 21.9108, 21.9097) * CHOOSE(CONTROL!$C$20, $D$12, 100%, $F$12)</f>
        <v>21.910799999999998</v>
      </c>
      <c r="I715" s="7">
        <f>CHOOSE( CONTROL!$C$37, 20.7945, 20.7935) * CHOOSE(CONTROL!$C$20, $D$12, 100%, $F$12)</f>
        <v>20.794499999999999</v>
      </c>
      <c r="J715" s="4">
        <f>CHOOSE( CONTROL!$C$37, 20.6322, 20.6312) * CHOOSE(CONTROL!$C$20, $D$12, 100%, $F$12)</f>
        <v>20.632200000000001</v>
      </c>
      <c r="K715" s="4"/>
      <c r="L715" s="8">
        <v>27.415299999999998</v>
      </c>
      <c r="M715" s="8">
        <v>11.285299999999999</v>
      </c>
      <c r="N715" s="8">
        <v>4.6254999999999997</v>
      </c>
      <c r="O715" s="8">
        <v>0.34989999999999999</v>
      </c>
      <c r="P715" s="8">
        <v>1.2093</v>
      </c>
      <c r="Q715" s="8">
        <v>18.417899999999999</v>
      </c>
      <c r="R715" s="8"/>
    </row>
    <row r="716" spans="1:18" ht="14.25" customHeight="1">
      <c r="A716" s="11">
        <v>62914</v>
      </c>
      <c r="B716" s="7">
        <f>CHOOSE( CONTROL!$C$37, 20.8369, 20.8358) * CHOOSE(CONTROL!$C$20, $D$12, 100%, $F$12)</f>
        <v>20.8369</v>
      </c>
      <c r="C716" s="7">
        <f>CHOOSE( CONTROL!$C$37, 20.842, 20.8409) * CHOOSE(CONTROL!$C$20, $D$12, 100%, $F$12)</f>
        <v>20.841999999999999</v>
      </c>
      <c r="D716" s="7">
        <f>CHOOSE( CONTROL!$C$37, 20.8344, 20.8333) * CHOOSE( CONTROL!$C$20, $D$12, 100%, $F$12)</f>
        <v>20.834399999999999</v>
      </c>
      <c r="E716" s="10">
        <f>CHOOSE( CONTROL!$C$37, 20.8366, 20.8355) * CHOOSE( CONTROL!$C$20, $D$12, 100%, $F$12)</f>
        <v>20.836600000000001</v>
      </c>
      <c r="F716" s="4">
        <f>CHOOSE( CONTROL!$C$37, 21.4895, 21.4884) * CHOOSE(CONTROL!$C$20, $D$12, 100%, $F$12)</f>
        <v>21.4895</v>
      </c>
      <c r="G716" s="7">
        <f>CHOOSE( CONTROL!$C$37, 20.584, 20.583) * CHOOSE( CONTROL!$C$20, $D$12, 100%, $F$12)</f>
        <v>20.584</v>
      </c>
      <c r="H716" s="4">
        <f>CHOOSE( CONTROL!$C$37, 21.4635, 21.4624) * CHOOSE(CONTROL!$C$20, $D$12, 100%, $F$12)</f>
        <v>21.4635</v>
      </c>
      <c r="I716" s="7">
        <f>CHOOSE( CONTROL!$C$37, 20.3532, 20.3521) * CHOOSE(CONTROL!$C$20, $D$12, 100%, $F$12)</f>
        <v>20.353200000000001</v>
      </c>
      <c r="J716" s="4">
        <f>CHOOSE( CONTROL!$C$37, 20.1931, 20.192) * CHOOSE(CONTROL!$C$20, $D$12, 100%, $F$12)</f>
        <v>20.193100000000001</v>
      </c>
      <c r="K716" s="4"/>
      <c r="L716" s="8">
        <v>29.306000000000001</v>
      </c>
      <c r="M716" s="8">
        <v>12.063700000000001</v>
      </c>
      <c r="N716" s="8">
        <v>4.9444999999999997</v>
      </c>
      <c r="O716" s="8">
        <v>0.37409999999999999</v>
      </c>
      <c r="P716" s="8">
        <v>1.2927</v>
      </c>
      <c r="Q716" s="8">
        <v>19.688099999999999</v>
      </c>
      <c r="R716" s="8"/>
    </row>
    <row r="717" spans="1:18" ht="14.25" customHeight="1">
      <c r="A717" s="11">
        <v>62944</v>
      </c>
      <c r="B717" s="7">
        <f>CHOOSE( CONTROL!$C$37, 21.1546, 21.1536) * CHOOSE(CONTROL!$C$20, $D$12, 100%, $F$12)</f>
        <v>21.154599999999999</v>
      </c>
      <c r="C717" s="7">
        <f>CHOOSE( CONTROL!$C$37, 21.1592, 21.1581) * CHOOSE(CONTROL!$C$20, $D$12, 100%, $F$12)</f>
        <v>21.159199999999998</v>
      </c>
      <c r="D717" s="7">
        <f>CHOOSE( CONTROL!$C$37, 21.171, 21.1699) * CHOOSE( CONTROL!$C$20, $D$12, 100%, $F$12)</f>
        <v>21.170999999999999</v>
      </c>
      <c r="E717" s="10">
        <f>CHOOSE( CONTROL!$C$37, 21.1666, 21.1655) * CHOOSE( CONTROL!$C$20, $D$12, 100%, $F$12)</f>
        <v>21.166599999999999</v>
      </c>
      <c r="F717" s="4">
        <f>CHOOSE( CONTROL!$C$37, 21.8813, 21.8802) * CHOOSE(CONTROL!$C$20, $D$12, 100%, $F$12)</f>
        <v>21.8813</v>
      </c>
      <c r="G717" s="7">
        <f>CHOOSE( CONTROL!$C$37, 20.9048, 20.9037) * CHOOSE( CONTROL!$C$20, $D$12, 100%, $F$12)</f>
        <v>20.904800000000002</v>
      </c>
      <c r="H717" s="4">
        <f>CHOOSE( CONTROL!$C$37, 21.8499, 21.8488) * CHOOSE(CONTROL!$C$20, $D$12, 100%, $F$12)</f>
        <v>21.849900000000002</v>
      </c>
      <c r="I717" s="7">
        <f>CHOOSE( CONTROL!$C$37, 20.6328, 20.6318) * CHOOSE(CONTROL!$C$20, $D$12, 100%, $F$12)</f>
        <v>20.6328</v>
      </c>
      <c r="J717" s="4">
        <f>CHOOSE( CONTROL!$C$37, 20.5, 20.4989) * CHOOSE(CONTROL!$C$20, $D$12, 100%, $F$12)</f>
        <v>20.5</v>
      </c>
      <c r="K717" s="4"/>
      <c r="L717" s="8">
        <v>30.092199999999998</v>
      </c>
      <c r="M717" s="8">
        <v>11.6745</v>
      </c>
      <c r="N717" s="8">
        <v>4.7850000000000001</v>
      </c>
      <c r="O717" s="8">
        <v>0.36199999999999999</v>
      </c>
      <c r="P717" s="8">
        <v>1.2509999999999999</v>
      </c>
      <c r="Q717" s="8">
        <v>19.053000000000001</v>
      </c>
      <c r="R717" s="8"/>
    </row>
    <row r="718" spans="1:18" ht="14.25" customHeight="1">
      <c r="A718" s="11">
        <v>62975</v>
      </c>
      <c r="B718" s="7">
        <f>CHOOSE( CONTROL!$C$37, 21.7207, 21.719) * CHOOSE(CONTROL!$C$20, $D$12, 100%, $F$12)</f>
        <v>21.720700000000001</v>
      </c>
      <c r="C718" s="7">
        <f>CHOOSE( CONTROL!$C$37, 21.7287, 21.727) * CHOOSE(CONTROL!$C$20, $D$12, 100%, $F$12)</f>
        <v>21.7287</v>
      </c>
      <c r="D718" s="7">
        <f>CHOOSE( CONTROL!$C$37, 21.7343, 21.7327) * CHOOSE( CONTROL!$C$20, $D$12, 100%, $F$12)</f>
        <v>21.734300000000001</v>
      </c>
      <c r="E718" s="10">
        <f>CHOOSE( CONTROL!$C$37, 21.7311, 21.7294) * CHOOSE( CONTROL!$C$20, $D$12, 100%, $F$12)</f>
        <v>21.731100000000001</v>
      </c>
      <c r="F718" s="4">
        <f>CHOOSE( CONTROL!$C$37, 22.4459, 22.4443) * CHOOSE(CONTROL!$C$20, $D$12, 100%, $F$12)</f>
        <v>22.445900000000002</v>
      </c>
      <c r="G718" s="7">
        <f>CHOOSE( CONTROL!$C$37, 21.4615, 21.4599) * CHOOSE( CONTROL!$C$20, $D$12, 100%, $F$12)</f>
        <v>21.461500000000001</v>
      </c>
      <c r="H718" s="4">
        <f>CHOOSE( CONTROL!$C$37, 22.4066, 22.405) * CHOOSE(CONTROL!$C$20, $D$12, 100%, $F$12)</f>
        <v>22.406600000000001</v>
      </c>
      <c r="I718" s="7">
        <f>CHOOSE( CONTROL!$C$37, 21.1796, 21.1779) * CHOOSE(CONTROL!$C$20, $D$12, 100%, $F$12)</f>
        <v>21.179600000000001</v>
      </c>
      <c r="J718" s="4">
        <f>CHOOSE( CONTROL!$C$37, 21.0467, 21.0451) * CHOOSE(CONTROL!$C$20, $D$12, 100%, $F$12)</f>
        <v>21.046700000000001</v>
      </c>
      <c r="K718" s="4"/>
      <c r="L718" s="8">
        <v>30.7165</v>
      </c>
      <c r="M718" s="8">
        <v>12.063700000000001</v>
      </c>
      <c r="N718" s="8">
        <v>4.9444999999999997</v>
      </c>
      <c r="O718" s="8">
        <v>0.37409999999999999</v>
      </c>
      <c r="P718" s="8">
        <v>1.2927</v>
      </c>
      <c r="Q718" s="8">
        <v>19.688099999999999</v>
      </c>
      <c r="R718" s="8"/>
    </row>
    <row r="719" spans="1:18" ht="14.25" customHeight="1">
      <c r="A719" s="11">
        <v>63005</v>
      </c>
      <c r="B719" s="7">
        <f>CHOOSE( CONTROL!$C$37, 21.3712, 21.3696) * CHOOSE(CONTROL!$C$20, $D$12, 100%, $F$12)</f>
        <v>21.371200000000002</v>
      </c>
      <c r="C719" s="7">
        <f>CHOOSE( CONTROL!$C$37, 21.3792, 21.3776) * CHOOSE(CONTROL!$C$20, $D$12, 100%, $F$12)</f>
        <v>21.379200000000001</v>
      </c>
      <c r="D719" s="7">
        <f>CHOOSE( CONTROL!$C$37, 21.3852, 21.3835) * CHOOSE( CONTROL!$C$20, $D$12, 100%, $F$12)</f>
        <v>21.385200000000001</v>
      </c>
      <c r="E719" s="10">
        <f>CHOOSE( CONTROL!$C$37, 21.3818, 21.3801) * CHOOSE( CONTROL!$C$20, $D$12, 100%, $F$12)</f>
        <v>21.381799999999998</v>
      </c>
      <c r="F719" s="4">
        <f>CHOOSE( CONTROL!$C$37, 22.0965, 22.0949) * CHOOSE(CONTROL!$C$20, $D$12, 100%, $F$12)</f>
        <v>22.096499999999999</v>
      </c>
      <c r="G719" s="7">
        <f>CHOOSE( CONTROL!$C$37, 21.1172, 21.1156) * CHOOSE( CONTROL!$C$20, $D$12, 100%, $F$12)</f>
        <v>21.1172</v>
      </c>
      <c r="H719" s="4">
        <f>CHOOSE( CONTROL!$C$37, 22.0621, 22.0605) * CHOOSE(CONTROL!$C$20, $D$12, 100%, $F$12)</f>
        <v>22.062100000000001</v>
      </c>
      <c r="I719" s="7">
        <f>CHOOSE( CONTROL!$C$37, 20.842, 20.8404) * CHOOSE(CONTROL!$C$20, $D$12, 100%, $F$12)</f>
        <v>20.841999999999999</v>
      </c>
      <c r="J719" s="4">
        <f>CHOOSE( CONTROL!$C$37, 20.7084, 20.7068) * CHOOSE(CONTROL!$C$20, $D$12, 100%, $F$12)</f>
        <v>20.708400000000001</v>
      </c>
      <c r="K719" s="4"/>
      <c r="L719" s="8">
        <v>29.7257</v>
      </c>
      <c r="M719" s="8">
        <v>11.6745</v>
      </c>
      <c r="N719" s="8">
        <v>4.7850000000000001</v>
      </c>
      <c r="O719" s="8">
        <v>0.36199999999999999</v>
      </c>
      <c r="P719" s="8">
        <v>1.2509999999999999</v>
      </c>
      <c r="Q719" s="8">
        <v>19.053000000000001</v>
      </c>
      <c r="R719" s="8"/>
    </row>
    <row r="720" spans="1:18" ht="14.25" customHeight="1">
      <c r="A720" s="11">
        <v>63036</v>
      </c>
      <c r="B720" s="7">
        <f>CHOOSE( CONTROL!$C$37, 22.2914, 22.2898) * CHOOSE(CONTROL!$C$20, $D$12, 100%, $F$12)</f>
        <v>22.291399999999999</v>
      </c>
      <c r="C720" s="7">
        <f>CHOOSE( CONTROL!$C$37, 22.2994, 22.2978) * CHOOSE(CONTROL!$C$20, $D$12, 100%, $F$12)</f>
        <v>22.299399999999999</v>
      </c>
      <c r="D720" s="7">
        <f>CHOOSE( CONTROL!$C$37, 22.3056, 22.304) * CHOOSE( CONTROL!$C$20, $D$12, 100%, $F$12)</f>
        <v>22.305599999999998</v>
      </c>
      <c r="E720" s="10">
        <f>CHOOSE( CONTROL!$C$37, 22.3021, 22.3005) * CHOOSE( CONTROL!$C$20, $D$12, 100%, $F$12)</f>
        <v>22.302099999999999</v>
      </c>
      <c r="F720" s="4">
        <f>CHOOSE( CONTROL!$C$37, 23.0167, 23.015) * CHOOSE(CONTROL!$C$20, $D$12, 100%, $F$12)</f>
        <v>23.0167</v>
      </c>
      <c r="G720" s="7">
        <f>CHOOSE( CONTROL!$C$37, 22.0248, 22.0232) * CHOOSE( CONTROL!$C$20, $D$12, 100%, $F$12)</f>
        <v>22.024799999999999</v>
      </c>
      <c r="H720" s="4">
        <f>CHOOSE( CONTROL!$C$37, 22.9694, 22.9678) * CHOOSE(CONTROL!$C$20, $D$12, 100%, $F$12)</f>
        <v>22.9694</v>
      </c>
      <c r="I720" s="7">
        <f>CHOOSE( CONTROL!$C$37, 21.7345, 21.7329) * CHOOSE(CONTROL!$C$20, $D$12, 100%, $F$12)</f>
        <v>21.734500000000001</v>
      </c>
      <c r="J720" s="4">
        <f>CHOOSE( CONTROL!$C$37, 21.5994, 21.5978) * CHOOSE(CONTROL!$C$20, $D$12, 100%, $F$12)</f>
        <v>21.599399999999999</v>
      </c>
      <c r="K720" s="4"/>
      <c r="L720" s="8">
        <v>30.7165</v>
      </c>
      <c r="M720" s="8">
        <v>12.063700000000001</v>
      </c>
      <c r="N720" s="8">
        <v>4.9444999999999997</v>
      </c>
      <c r="O720" s="8">
        <v>0.37409999999999999</v>
      </c>
      <c r="P720" s="8">
        <v>1.2927</v>
      </c>
      <c r="Q720" s="8">
        <v>19.688099999999999</v>
      </c>
      <c r="R720" s="8"/>
    </row>
    <row r="721" spans="1:18" ht="14.25" customHeight="1">
      <c r="A721" s="11">
        <v>63067</v>
      </c>
      <c r="B721" s="7">
        <f>CHOOSE( CONTROL!$C$37, 20.5697, 20.568) * CHOOSE(CONTROL!$C$20, $D$12, 100%, $F$12)</f>
        <v>20.569700000000001</v>
      </c>
      <c r="C721" s="7">
        <f>CHOOSE( CONTROL!$C$37, 20.5776, 20.576) * CHOOSE(CONTROL!$C$20, $D$12, 100%, $F$12)</f>
        <v>20.5776</v>
      </c>
      <c r="D721" s="7">
        <f>CHOOSE( CONTROL!$C$37, 20.584, 20.5823) * CHOOSE( CONTROL!$C$20, $D$12, 100%, $F$12)</f>
        <v>20.584</v>
      </c>
      <c r="E721" s="10">
        <f>CHOOSE( CONTROL!$C$37, 20.5805, 20.5788) * CHOOSE( CONTROL!$C$20, $D$12, 100%, $F$12)</f>
        <v>20.580500000000001</v>
      </c>
      <c r="F721" s="4">
        <f>CHOOSE( CONTROL!$C$37, 21.2949, 21.2933) * CHOOSE(CONTROL!$C$20, $D$12, 100%, $F$12)</f>
        <v>21.294899999999998</v>
      </c>
      <c r="G721" s="7">
        <f>CHOOSE( CONTROL!$C$37, 20.3271, 20.3255) * CHOOSE( CONTROL!$C$20, $D$12, 100%, $F$12)</f>
        <v>20.327100000000002</v>
      </c>
      <c r="H721" s="4">
        <f>CHOOSE( CONTROL!$C$37, 21.2717, 21.2701) * CHOOSE(CONTROL!$C$20, $D$12, 100%, $F$12)</f>
        <v>21.271699999999999</v>
      </c>
      <c r="I721" s="7">
        <f>CHOOSE( CONTROL!$C$37, 20.0667, 20.0651) * CHOOSE(CONTROL!$C$20, $D$12, 100%, $F$12)</f>
        <v>20.066700000000001</v>
      </c>
      <c r="J721" s="4">
        <f>CHOOSE( CONTROL!$C$37, 19.9322, 19.9306) * CHOOSE(CONTROL!$C$20, $D$12, 100%, $F$12)</f>
        <v>19.932200000000002</v>
      </c>
      <c r="K721" s="4"/>
      <c r="L721" s="8">
        <v>30.7165</v>
      </c>
      <c r="M721" s="8">
        <v>12.063700000000001</v>
      </c>
      <c r="N721" s="8">
        <v>4.9444999999999997</v>
      </c>
      <c r="O721" s="8">
        <v>0.37409999999999999</v>
      </c>
      <c r="P721" s="8">
        <v>1.2927</v>
      </c>
      <c r="Q721" s="8">
        <v>19.688099999999999</v>
      </c>
      <c r="R721" s="8"/>
    </row>
    <row r="722" spans="1:18" ht="14.25" customHeight="1">
      <c r="A722" s="11">
        <v>63097</v>
      </c>
      <c r="B722" s="7">
        <f>CHOOSE( CONTROL!$C$37, 20.1385, 20.1368) * CHOOSE(CONTROL!$C$20, $D$12, 100%, $F$12)</f>
        <v>20.138500000000001</v>
      </c>
      <c r="C722" s="7">
        <f>CHOOSE( CONTROL!$C$37, 20.1465, 20.1448) * CHOOSE(CONTROL!$C$20, $D$12, 100%, $F$12)</f>
        <v>20.1465</v>
      </c>
      <c r="D722" s="7">
        <f>CHOOSE( CONTROL!$C$37, 20.1527, 20.151) * CHOOSE( CONTROL!$C$20, $D$12, 100%, $F$12)</f>
        <v>20.152699999999999</v>
      </c>
      <c r="E722" s="10">
        <f>CHOOSE( CONTROL!$C$37, 20.1492, 20.1475) * CHOOSE( CONTROL!$C$20, $D$12, 100%, $F$12)</f>
        <v>20.1492</v>
      </c>
      <c r="F722" s="4">
        <f>CHOOSE( CONTROL!$C$37, 20.8638, 20.8621) * CHOOSE(CONTROL!$C$20, $D$12, 100%, $F$12)</f>
        <v>20.863800000000001</v>
      </c>
      <c r="G722" s="7">
        <f>CHOOSE( CONTROL!$C$37, 19.9019, 19.9002) * CHOOSE( CONTROL!$C$20, $D$12, 100%, $F$12)</f>
        <v>19.901900000000001</v>
      </c>
      <c r="H722" s="4">
        <f>CHOOSE( CONTROL!$C$37, 20.8466, 20.8449) * CHOOSE(CONTROL!$C$20, $D$12, 100%, $F$12)</f>
        <v>20.846599999999999</v>
      </c>
      <c r="I722" s="7">
        <f>CHOOSE( CONTROL!$C$37, 19.6487, 19.6471) * CHOOSE(CONTROL!$C$20, $D$12, 100%, $F$12)</f>
        <v>19.648700000000002</v>
      </c>
      <c r="J722" s="4">
        <f>CHOOSE( CONTROL!$C$37, 19.5147, 19.5131) * CHOOSE(CONTROL!$C$20, $D$12, 100%, $F$12)</f>
        <v>19.514700000000001</v>
      </c>
      <c r="K722" s="4"/>
      <c r="L722" s="8">
        <v>29.7257</v>
      </c>
      <c r="M722" s="8">
        <v>11.6745</v>
      </c>
      <c r="N722" s="8">
        <v>4.7850000000000001</v>
      </c>
      <c r="O722" s="8">
        <v>0.36199999999999999</v>
      </c>
      <c r="P722" s="8">
        <v>1.2509999999999999</v>
      </c>
      <c r="Q722" s="8">
        <v>19.053000000000001</v>
      </c>
      <c r="R722" s="8"/>
    </row>
    <row r="723" spans="1:18" ht="14.25" customHeight="1">
      <c r="A723" s="11">
        <v>63128</v>
      </c>
      <c r="B723" s="7">
        <f>CHOOSE( CONTROL!$C$37, 21.0314, 21.0303) * CHOOSE(CONTROL!$C$20, $D$12, 100%, $F$12)</f>
        <v>21.031400000000001</v>
      </c>
      <c r="C723" s="7">
        <f>CHOOSE( CONTROL!$C$37, 21.0368, 21.0357) * CHOOSE(CONTROL!$C$20, $D$12, 100%, $F$12)</f>
        <v>21.036799999999999</v>
      </c>
      <c r="D723" s="7">
        <f>CHOOSE( CONTROL!$C$37, 21.0488, 21.0477) * CHOOSE( CONTROL!$C$20, $D$12, 100%, $F$12)</f>
        <v>21.0488</v>
      </c>
      <c r="E723" s="10">
        <f>CHOOSE( CONTROL!$C$37, 21.0443, 21.0432) * CHOOSE( CONTROL!$C$20, $D$12, 100%, $F$12)</f>
        <v>21.0443</v>
      </c>
      <c r="F723" s="4">
        <f>CHOOSE( CONTROL!$C$37, 21.7584, 21.7573) * CHOOSE(CONTROL!$C$20, $D$12, 100%, $F$12)</f>
        <v>21.758400000000002</v>
      </c>
      <c r="G723" s="7">
        <f>CHOOSE( CONTROL!$C$37, 20.7842, 20.7831) * CHOOSE( CONTROL!$C$20, $D$12, 100%, $F$12)</f>
        <v>20.784199999999998</v>
      </c>
      <c r="H723" s="4">
        <f>CHOOSE( CONTROL!$C$37, 21.7287, 21.7276) * CHOOSE(CONTROL!$C$20, $D$12, 100%, $F$12)</f>
        <v>21.7287</v>
      </c>
      <c r="I723" s="7">
        <f>CHOOSE( CONTROL!$C$37, 20.5161, 20.515) * CHOOSE(CONTROL!$C$20, $D$12, 100%, $F$12)</f>
        <v>20.516100000000002</v>
      </c>
      <c r="J723" s="4">
        <f>CHOOSE( CONTROL!$C$37, 20.381, 20.3799) * CHOOSE(CONTROL!$C$20, $D$12, 100%, $F$12)</f>
        <v>20.381</v>
      </c>
      <c r="K723" s="4"/>
      <c r="L723" s="8">
        <v>31.095300000000002</v>
      </c>
      <c r="M723" s="8">
        <v>12.063700000000001</v>
      </c>
      <c r="N723" s="8">
        <v>4.9444999999999997</v>
      </c>
      <c r="O723" s="8">
        <v>0.37409999999999999</v>
      </c>
      <c r="P723" s="8">
        <v>1.2927</v>
      </c>
      <c r="Q723" s="8">
        <v>19.688099999999999</v>
      </c>
      <c r="R723" s="8"/>
    </row>
    <row r="724" spans="1:18" ht="14.25" customHeight="1">
      <c r="A724" s="11">
        <v>63158</v>
      </c>
      <c r="B724" s="7">
        <f>CHOOSE( CONTROL!$C$37, 22.6834, 22.6823) * CHOOSE(CONTROL!$C$20, $D$12, 100%, $F$12)</f>
        <v>22.683399999999999</v>
      </c>
      <c r="C724" s="7">
        <f>CHOOSE( CONTROL!$C$37, 22.6885, 22.6874) * CHOOSE(CONTROL!$C$20, $D$12, 100%, $F$12)</f>
        <v>22.688500000000001</v>
      </c>
      <c r="D724" s="7">
        <f>CHOOSE( CONTROL!$C$37, 22.667, 22.6659) * CHOOSE( CONTROL!$C$20, $D$12, 100%, $F$12)</f>
        <v>22.667000000000002</v>
      </c>
      <c r="E724" s="10">
        <f>CHOOSE( CONTROL!$C$37, 22.6743, 22.6732) * CHOOSE( CONTROL!$C$20, $D$12, 100%, $F$12)</f>
        <v>22.674299999999999</v>
      </c>
      <c r="F724" s="4">
        <f>CHOOSE( CONTROL!$C$37, 23.3359, 23.3349) * CHOOSE(CONTROL!$C$20, $D$12, 100%, $F$12)</f>
        <v>23.335899999999999</v>
      </c>
      <c r="G724" s="7">
        <f>CHOOSE( CONTROL!$C$37, 22.3996, 22.3985) * CHOOSE( CONTROL!$C$20, $D$12, 100%, $F$12)</f>
        <v>22.3996</v>
      </c>
      <c r="H724" s="4">
        <f>CHOOSE( CONTROL!$C$37, 23.2842, 23.2832) * CHOOSE(CONTROL!$C$20, $D$12, 100%, $F$12)</f>
        <v>23.284199999999998</v>
      </c>
      <c r="I724" s="7">
        <f>CHOOSE( CONTROL!$C$37, 22.168, 22.167) * CHOOSE(CONTROL!$C$20, $D$12, 100%, $F$12)</f>
        <v>22.167999999999999</v>
      </c>
      <c r="J724" s="4">
        <f>CHOOSE( CONTROL!$C$37, 21.981, 21.9799) * CHOOSE(CONTROL!$C$20, $D$12, 100%, $F$12)</f>
        <v>21.981000000000002</v>
      </c>
      <c r="K724" s="4"/>
      <c r="L724" s="8">
        <v>28.360600000000002</v>
      </c>
      <c r="M724" s="8">
        <v>11.6745</v>
      </c>
      <c r="N724" s="8">
        <v>4.7850000000000001</v>
      </c>
      <c r="O724" s="8">
        <v>0.36199999999999999</v>
      </c>
      <c r="P724" s="8">
        <v>1.2509999999999999</v>
      </c>
      <c r="Q724" s="8">
        <v>19.053000000000001</v>
      </c>
      <c r="R724" s="8"/>
    </row>
    <row r="725" spans="1:18" ht="14.25" customHeight="1">
      <c r="A725" s="11">
        <v>63189</v>
      </c>
      <c r="B725" s="7">
        <f>CHOOSE( CONTROL!$C$37, 22.6421, 22.641) * CHOOSE(CONTROL!$C$20, $D$12, 100%, $F$12)</f>
        <v>22.642099999999999</v>
      </c>
      <c r="C725" s="7">
        <f>CHOOSE( CONTROL!$C$37, 22.6472, 22.6461) * CHOOSE(CONTROL!$C$20, $D$12, 100%, $F$12)</f>
        <v>22.647200000000002</v>
      </c>
      <c r="D725" s="7">
        <f>CHOOSE( CONTROL!$C$37, 22.6272, 22.6262) * CHOOSE( CONTROL!$C$20, $D$12, 100%, $F$12)</f>
        <v>22.627199999999998</v>
      </c>
      <c r="E725" s="10">
        <f>CHOOSE( CONTROL!$C$37, 22.634, 22.6329) * CHOOSE( CONTROL!$C$20, $D$12, 100%, $F$12)</f>
        <v>22.634</v>
      </c>
      <c r="F725" s="4">
        <f>CHOOSE( CONTROL!$C$37, 23.2947, 23.2936) * CHOOSE(CONTROL!$C$20, $D$12, 100%, $F$12)</f>
        <v>23.294699999999999</v>
      </c>
      <c r="G725" s="7">
        <f>CHOOSE( CONTROL!$C$37, 22.36, 22.359) * CHOOSE( CONTROL!$C$20, $D$12, 100%, $F$12)</f>
        <v>22.36</v>
      </c>
      <c r="H725" s="4">
        <f>CHOOSE( CONTROL!$C$37, 23.2435, 23.2424) * CHOOSE(CONTROL!$C$20, $D$12, 100%, $F$12)</f>
        <v>23.243500000000001</v>
      </c>
      <c r="I725" s="7">
        <f>CHOOSE( CONTROL!$C$37, 22.1329, 22.1319) * CHOOSE(CONTROL!$C$20, $D$12, 100%, $F$12)</f>
        <v>22.132899999999999</v>
      </c>
      <c r="J725" s="4">
        <f>CHOOSE( CONTROL!$C$37, 21.941, 21.94) * CHOOSE(CONTROL!$C$20, $D$12, 100%, $F$12)</f>
        <v>21.940999999999999</v>
      </c>
      <c r="K725" s="4"/>
      <c r="L725" s="8">
        <v>29.306000000000001</v>
      </c>
      <c r="M725" s="8">
        <v>12.063700000000001</v>
      </c>
      <c r="N725" s="8">
        <v>4.9444999999999997</v>
      </c>
      <c r="O725" s="8">
        <v>0.37409999999999999</v>
      </c>
      <c r="P725" s="8">
        <v>1.2927</v>
      </c>
      <c r="Q725" s="8">
        <v>19.688099999999999</v>
      </c>
      <c r="R725" s="8"/>
    </row>
    <row r="726" spans="1:18" ht="14.25" customHeight="1">
      <c r="A726" s="11">
        <v>63220</v>
      </c>
      <c r="B726" s="7">
        <f>CHOOSE( CONTROL!$C$37, 23.3105, 23.3094) * CHOOSE(CONTROL!$C$20, $D$12, 100%, $F$12)</f>
        <v>23.310500000000001</v>
      </c>
      <c r="C726" s="7">
        <f>CHOOSE( CONTROL!$C$37, 23.3156, 23.3145) * CHOOSE(CONTROL!$C$20, $D$12, 100%, $F$12)</f>
        <v>23.3156</v>
      </c>
      <c r="D726" s="7">
        <f>CHOOSE( CONTROL!$C$37, 23.3087, 23.3076) * CHOOSE( CONTROL!$C$20, $D$12, 100%, $F$12)</f>
        <v>23.308700000000002</v>
      </c>
      <c r="E726" s="10">
        <f>CHOOSE( CONTROL!$C$37, 23.3107, 23.3096) * CHOOSE( CONTROL!$C$20, $D$12, 100%, $F$12)</f>
        <v>23.310700000000001</v>
      </c>
      <c r="F726" s="4">
        <f>CHOOSE( CONTROL!$C$37, 23.963, 23.9619) * CHOOSE(CONTROL!$C$20, $D$12, 100%, $F$12)</f>
        <v>23.963000000000001</v>
      </c>
      <c r="G726" s="7">
        <f>CHOOSE( CONTROL!$C$37, 23.0236, 23.0225) * CHOOSE( CONTROL!$C$20, $D$12, 100%, $F$12)</f>
        <v>23.023599999999998</v>
      </c>
      <c r="H726" s="4">
        <f>CHOOSE( CONTROL!$C$37, 23.9025, 23.9015) * CHOOSE(CONTROL!$C$20, $D$12, 100%, $F$12)</f>
        <v>23.9025</v>
      </c>
      <c r="I726" s="7">
        <f>CHOOSE( CONTROL!$C$37, 22.7517, 22.7506) * CHOOSE(CONTROL!$C$20, $D$12, 100%, $F$12)</f>
        <v>22.7517</v>
      </c>
      <c r="J726" s="4">
        <f>CHOOSE( CONTROL!$C$37, 22.5882, 22.5871) * CHOOSE(CONTROL!$C$20, $D$12, 100%, $F$12)</f>
        <v>22.588200000000001</v>
      </c>
      <c r="K726" s="4"/>
      <c r="L726" s="8">
        <v>29.306000000000001</v>
      </c>
      <c r="M726" s="8">
        <v>12.063700000000001</v>
      </c>
      <c r="N726" s="8">
        <v>4.9444999999999997</v>
      </c>
      <c r="O726" s="8">
        <v>0.37409999999999999</v>
      </c>
      <c r="P726" s="8">
        <v>1.2927</v>
      </c>
      <c r="Q726" s="8">
        <v>19.688099999999999</v>
      </c>
      <c r="R726" s="8"/>
    </row>
    <row r="727" spans="1:18" ht="14.25" customHeight="1">
      <c r="A727" s="11">
        <v>63248</v>
      </c>
      <c r="B727" s="7">
        <f>CHOOSE( CONTROL!$C$37, 21.8024, 21.8014) * CHOOSE(CONTROL!$C$20, $D$12, 100%, $F$12)</f>
        <v>21.802399999999999</v>
      </c>
      <c r="C727" s="7">
        <f>CHOOSE( CONTROL!$C$37, 21.8075, 21.8065) * CHOOSE(CONTROL!$C$20, $D$12, 100%, $F$12)</f>
        <v>21.807500000000001</v>
      </c>
      <c r="D727" s="7">
        <f>CHOOSE( CONTROL!$C$37, 21.8006, 21.7995) * CHOOSE( CONTROL!$C$20, $D$12, 100%, $F$12)</f>
        <v>21.800599999999999</v>
      </c>
      <c r="E727" s="10">
        <f>CHOOSE( CONTROL!$C$37, 21.8026, 21.8015) * CHOOSE( CONTROL!$C$20, $D$12, 100%, $F$12)</f>
        <v>21.802600000000002</v>
      </c>
      <c r="F727" s="4">
        <f>CHOOSE( CONTROL!$C$37, 22.455, 22.4539) * CHOOSE(CONTROL!$C$20, $D$12, 100%, $F$12)</f>
        <v>22.454999999999998</v>
      </c>
      <c r="G727" s="7">
        <f>CHOOSE( CONTROL!$C$37, 21.5365, 21.5354) * CHOOSE( CONTROL!$C$20, $D$12, 100%, $F$12)</f>
        <v>21.5365</v>
      </c>
      <c r="H727" s="4">
        <f>CHOOSE( CONTROL!$C$37, 22.4156, 22.4145) * CHOOSE(CONTROL!$C$20, $D$12, 100%, $F$12)</f>
        <v>22.415600000000001</v>
      </c>
      <c r="I727" s="7">
        <f>CHOOSE( CONTROL!$C$37, 21.2905, 21.2894) * CHOOSE(CONTROL!$C$20, $D$12, 100%, $F$12)</f>
        <v>21.290500000000002</v>
      </c>
      <c r="J727" s="4">
        <f>CHOOSE( CONTROL!$C$37, 21.128, 21.1269) * CHOOSE(CONTROL!$C$20, $D$12, 100%, $F$12)</f>
        <v>21.128</v>
      </c>
      <c r="K727" s="4"/>
      <c r="L727" s="8">
        <v>26.469899999999999</v>
      </c>
      <c r="M727" s="8">
        <v>10.8962</v>
      </c>
      <c r="N727" s="8">
        <v>4.4660000000000002</v>
      </c>
      <c r="O727" s="8">
        <v>0.33789999999999998</v>
      </c>
      <c r="P727" s="8">
        <v>1.1676</v>
      </c>
      <c r="Q727" s="8">
        <v>17.782800000000002</v>
      </c>
      <c r="R727" s="8"/>
    </row>
    <row r="728" spans="1:18" ht="14.25" customHeight="1">
      <c r="A728" s="11">
        <v>63279</v>
      </c>
      <c r="B728" s="7">
        <f>CHOOSE( CONTROL!$C$37, 21.338, 21.3369) * CHOOSE(CONTROL!$C$20, $D$12, 100%, $F$12)</f>
        <v>21.338000000000001</v>
      </c>
      <c r="C728" s="7">
        <f>CHOOSE( CONTROL!$C$37, 21.3431, 21.342) * CHOOSE(CONTROL!$C$20, $D$12, 100%, $F$12)</f>
        <v>21.3431</v>
      </c>
      <c r="D728" s="7">
        <f>CHOOSE( CONTROL!$C$37, 21.3355, 21.3344) * CHOOSE( CONTROL!$C$20, $D$12, 100%, $F$12)</f>
        <v>21.3355</v>
      </c>
      <c r="E728" s="10">
        <f>CHOOSE( CONTROL!$C$37, 21.3377, 21.3366) * CHOOSE( CONTROL!$C$20, $D$12, 100%, $F$12)</f>
        <v>21.337700000000002</v>
      </c>
      <c r="F728" s="4">
        <f>CHOOSE( CONTROL!$C$37, 21.9905, 21.9894) * CHOOSE(CONTROL!$C$20, $D$12, 100%, $F$12)</f>
        <v>21.990500000000001</v>
      </c>
      <c r="G728" s="7">
        <f>CHOOSE( CONTROL!$C$37, 21.0781, 21.077) * CHOOSE( CONTROL!$C$20, $D$12, 100%, $F$12)</f>
        <v>21.078099999999999</v>
      </c>
      <c r="H728" s="4">
        <f>CHOOSE( CONTROL!$C$37, 21.9576, 21.9565) * CHOOSE(CONTROL!$C$20, $D$12, 100%, $F$12)</f>
        <v>21.957599999999999</v>
      </c>
      <c r="I728" s="7">
        <f>CHOOSE( CONTROL!$C$37, 20.8386, 20.8375) * CHOOSE(CONTROL!$C$20, $D$12, 100%, $F$12)</f>
        <v>20.8386</v>
      </c>
      <c r="J728" s="4">
        <f>CHOOSE( CONTROL!$C$37, 20.6782, 20.6772) * CHOOSE(CONTROL!$C$20, $D$12, 100%, $F$12)</f>
        <v>20.6782</v>
      </c>
      <c r="K728" s="4"/>
      <c r="L728" s="8">
        <v>29.306000000000001</v>
      </c>
      <c r="M728" s="8">
        <v>12.063700000000001</v>
      </c>
      <c r="N728" s="8">
        <v>4.9444999999999997</v>
      </c>
      <c r="O728" s="8">
        <v>0.37409999999999999</v>
      </c>
      <c r="P728" s="8">
        <v>1.2927</v>
      </c>
      <c r="Q728" s="8">
        <v>19.688099999999999</v>
      </c>
      <c r="R728" s="8"/>
    </row>
    <row r="729" spans="1:18" ht="14.25" customHeight="1">
      <c r="A729" s="11">
        <v>63309</v>
      </c>
      <c r="B729" s="7">
        <f>CHOOSE( CONTROL!$C$37, 21.6633, 21.6622) * CHOOSE(CONTROL!$C$20, $D$12, 100%, $F$12)</f>
        <v>21.6633</v>
      </c>
      <c r="C729" s="7">
        <f>CHOOSE( CONTROL!$C$37, 21.6678, 21.6667) * CHOOSE(CONTROL!$C$20, $D$12, 100%, $F$12)</f>
        <v>21.6678</v>
      </c>
      <c r="D729" s="7">
        <f>CHOOSE( CONTROL!$C$37, 21.6797, 21.6786) * CHOOSE( CONTROL!$C$20, $D$12, 100%, $F$12)</f>
        <v>21.6797</v>
      </c>
      <c r="E729" s="10">
        <f>CHOOSE( CONTROL!$C$37, 21.6753, 21.6742) * CHOOSE( CONTROL!$C$20, $D$12, 100%, $F$12)</f>
        <v>21.6753</v>
      </c>
      <c r="F729" s="4">
        <f>CHOOSE( CONTROL!$C$37, 22.3899, 22.3889) * CHOOSE(CONTROL!$C$20, $D$12, 100%, $F$12)</f>
        <v>22.389900000000001</v>
      </c>
      <c r="G729" s="7">
        <f>CHOOSE( CONTROL!$C$37, 21.4064, 21.4053) * CHOOSE( CONTROL!$C$20, $D$12, 100%, $F$12)</f>
        <v>21.406400000000001</v>
      </c>
      <c r="H729" s="4">
        <f>CHOOSE( CONTROL!$C$37, 22.3514, 22.3504) * CHOOSE(CONTROL!$C$20, $D$12, 100%, $F$12)</f>
        <v>22.351400000000002</v>
      </c>
      <c r="I729" s="7">
        <f>CHOOSE( CONTROL!$C$37, 21.1256, 21.1245) * CHOOSE(CONTROL!$C$20, $D$12, 100%, $F$12)</f>
        <v>21.125599999999999</v>
      </c>
      <c r="J729" s="4">
        <f>CHOOSE( CONTROL!$C$37, 20.9925, 20.9914) * CHOOSE(CONTROL!$C$20, $D$12, 100%, $F$12)</f>
        <v>20.9925</v>
      </c>
      <c r="K729" s="4"/>
      <c r="L729" s="8">
        <v>30.092199999999998</v>
      </c>
      <c r="M729" s="8">
        <v>11.6745</v>
      </c>
      <c r="N729" s="8">
        <v>4.7850000000000001</v>
      </c>
      <c r="O729" s="8">
        <v>0.36199999999999999</v>
      </c>
      <c r="P729" s="8">
        <v>1.2509999999999999</v>
      </c>
      <c r="Q729" s="8">
        <v>19.053000000000001</v>
      </c>
      <c r="R729" s="8"/>
    </row>
    <row r="730" spans="1:18" ht="14.25" customHeight="1">
      <c r="A730" s="11">
        <v>63340</v>
      </c>
      <c r="B730" s="7">
        <f>CHOOSE( CONTROL!$C$37, 22.2429, 22.2412) * CHOOSE(CONTROL!$C$20, $D$12, 100%, $F$12)</f>
        <v>22.242899999999999</v>
      </c>
      <c r="C730" s="7">
        <f>CHOOSE( CONTROL!$C$37, 22.2509, 22.2492) * CHOOSE(CONTROL!$C$20, $D$12, 100%, $F$12)</f>
        <v>22.250900000000001</v>
      </c>
      <c r="D730" s="7">
        <f>CHOOSE( CONTROL!$C$37, 22.2565, 22.2549) * CHOOSE( CONTROL!$C$20, $D$12, 100%, $F$12)</f>
        <v>22.256499999999999</v>
      </c>
      <c r="E730" s="10">
        <f>CHOOSE( CONTROL!$C$37, 22.2533, 22.2516) * CHOOSE( CONTROL!$C$20, $D$12, 100%, $F$12)</f>
        <v>22.253299999999999</v>
      </c>
      <c r="F730" s="4">
        <f>CHOOSE( CONTROL!$C$37, 22.9682, 22.9665) * CHOOSE(CONTROL!$C$20, $D$12, 100%, $F$12)</f>
        <v>22.9682</v>
      </c>
      <c r="G730" s="7">
        <f>CHOOSE( CONTROL!$C$37, 21.9765, 21.9748) * CHOOSE( CONTROL!$C$20, $D$12, 100%, $F$12)</f>
        <v>21.976500000000001</v>
      </c>
      <c r="H730" s="4">
        <f>CHOOSE( CONTROL!$C$37, 22.9216, 22.9199) * CHOOSE(CONTROL!$C$20, $D$12, 100%, $F$12)</f>
        <v>22.921600000000002</v>
      </c>
      <c r="I730" s="7">
        <f>CHOOSE( CONTROL!$C$37, 21.6855, 21.6839) * CHOOSE(CONTROL!$C$20, $D$12, 100%, $F$12)</f>
        <v>21.685500000000001</v>
      </c>
      <c r="J730" s="4">
        <f>CHOOSE( CONTROL!$C$37, 21.5524, 21.5508) * CHOOSE(CONTROL!$C$20, $D$12, 100%, $F$12)</f>
        <v>21.552399999999999</v>
      </c>
      <c r="K730" s="4"/>
      <c r="L730" s="8">
        <v>30.7165</v>
      </c>
      <c r="M730" s="8">
        <v>12.063700000000001</v>
      </c>
      <c r="N730" s="8">
        <v>4.9444999999999997</v>
      </c>
      <c r="O730" s="8">
        <v>0.37409999999999999</v>
      </c>
      <c r="P730" s="8">
        <v>1.2927</v>
      </c>
      <c r="Q730" s="8">
        <v>19.688099999999999</v>
      </c>
      <c r="R730" s="8"/>
    </row>
    <row r="731" spans="1:18" ht="14.25" customHeight="1">
      <c r="A731" s="11">
        <v>63370</v>
      </c>
      <c r="B731" s="7">
        <f>CHOOSE( CONTROL!$C$37, 21.8851, 21.8834) * CHOOSE(CONTROL!$C$20, $D$12, 100%, $F$12)</f>
        <v>21.885100000000001</v>
      </c>
      <c r="C731" s="7">
        <f>CHOOSE( CONTROL!$C$37, 21.893, 21.8914) * CHOOSE(CONTROL!$C$20, $D$12, 100%, $F$12)</f>
        <v>21.893000000000001</v>
      </c>
      <c r="D731" s="7">
        <f>CHOOSE( CONTROL!$C$37, 21.899, 21.8973) * CHOOSE( CONTROL!$C$20, $D$12, 100%, $F$12)</f>
        <v>21.899000000000001</v>
      </c>
      <c r="E731" s="10">
        <f>CHOOSE( CONTROL!$C$37, 21.8956, 21.8939) * CHOOSE( CONTROL!$C$20, $D$12, 100%, $F$12)</f>
        <v>21.895600000000002</v>
      </c>
      <c r="F731" s="4">
        <f>CHOOSE( CONTROL!$C$37, 22.6103, 22.6087) * CHOOSE(CONTROL!$C$20, $D$12, 100%, $F$12)</f>
        <v>22.610299999999999</v>
      </c>
      <c r="G731" s="7">
        <f>CHOOSE( CONTROL!$C$37, 21.6239, 21.6222) * CHOOSE( CONTROL!$C$20, $D$12, 100%, $F$12)</f>
        <v>21.623899999999999</v>
      </c>
      <c r="H731" s="4">
        <f>CHOOSE( CONTROL!$C$37, 22.5687, 22.5671) * CHOOSE(CONTROL!$C$20, $D$12, 100%, $F$12)</f>
        <v>22.5687</v>
      </c>
      <c r="I731" s="7">
        <f>CHOOSE( CONTROL!$C$37, 21.3398, 21.3382) * CHOOSE(CONTROL!$C$20, $D$12, 100%, $F$12)</f>
        <v>21.3398</v>
      </c>
      <c r="J731" s="4">
        <f>CHOOSE( CONTROL!$C$37, 21.2059, 21.2043) * CHOOSE(CONTROL!$C$20, $D$12, 100%, $F$12)</f>
        <v>21.2059</v>
      </c>
      <c r="K731" s="4"/>
      <c r="L731" s="8">
        <v>29.7257</v>
      </c>
      <c r="M731" s="8">
        <v>11.6745</v>
      </c>
      <c r="N731" s="8">
        <v>4.7850000000000001</v>
      </c>
      <c r="O731" s="8">
        <v>0.36199999999999999</v>
      </c>
      <c r="P731" s="8">
        <v>1.2509999999999999</v>
      </c>
      <c r="Q731" s="8">
        <v>19.053000000000001</v>
      </c>
      <c r="R731" s="8"/>
    </row>
    <row r="732" spans="1:18" ht="14.25" customHeight="1">
      <c r="A732" s="11">
        <v>63401</v>
      </c>
      <c r="B732" s="7">
        <f>CHOOSE( CONTROL!$C$37, 22.8273, 22.8257) * CHOOSE(CONTROL!$C$20, $D$12, 100%, $F$12)</f>
        <v>22.827300000000001</v>
      </c>
      <c r="C732" s="7">
        <f>CHOOSE( CONTROL!$C$37, 22.8353, 22.8337) * CHOOSE(CONTROL!$C$20, $D$12, 100%, $F$12)</f>
        <v>22.8353</v>
      </c>
      <c r="D732" s="7">
        <f>CHOOSE( CONTROL!$C$37, 22.8416, 22.8399) * CHOOSE( CONTROL!$C$20, $D$12, 100%, $F$12)</f>
        <v>22.8416</v>
      </c>
      <c r="E732" s="10">
        <f>CHOOSE( CONTROL!$C$37, 22.8381, 22.8364) * CHOOSE( CONTROL!$C$20, $D$12, 100%, $F$12)</f>
        <v>22.838100000000001</v>
      </c>
      <c r="F732" s="4">
        <f>CHOOSE( CONTROL!$C$37, 23.5526, 23.551) * CHOOSE(CONTROL!$C$20, $D$12, 100%, $F$12)</f>
        <v>23.552600000000002</v>
      </c>
      <c r="G732" s="7">
        <f>CHOOSE( CONTROL!$C$37, 22.5532, 22.5516) * CHOOSE( CONTROL!$C$20, $D$12, 100%, $F$12)</f>
        <v>22.5532</v>
      </c>
      <c r="H732" s="4">
        <f>CHOOSE( CONTROL!$C$37, 23.4979, 23.4963) * CHOOSE(CONTROL!$C$20, $D$12, 100%, $F$12)</f>
        <v>23.497900000000001</v>
      </c>
      <c r="I732" s="7">
        <f>CHOOSE( CONTROL!$C$37, 22.2537, 22.2521) * CHOOSE(CONTROL!$C$20, $D$12, 100%, $F$12)</f>
        <v>22.253699999999998</v>
      </c>
      <c r="J732" s="4">
        <f>CHOOSE( CONTROL!$C$37, 22.1183, 22.1167) * CHOOSE(CONTROL!$C$20, $D$12, 100%, $F$12)</f>
        <v>22.118300000000001</v>
      </c>
      <c r="K732" s="4"/>
      <c r="L732" s="8">
        <v>30.7165</v>
      </c>
      <c r="M732" s="8">
        <v>12.063700000000001</v>
      </c>
      <c r="N732" s="8">
        <v>4.9444999999999997</v>
      </c>
      <c r="O732" s="8">
        <v>0.37409999999999999</v>
      </c>
      <c r="P732" s="8">
        <v>1.2927</v>
      </c>
      <c r="Q732" s="8">
        <v>19.688099999999999</v>
      </c>
      <c r="R732" s="8"/>
    </row>
    <row r="733" spans="1:18" ht="14.25" customHeight="1">
      <c r="A733" s="11">
        <v>63432</v>
      </c>
      <c r="B733" s="7">
        <f>CHOOSE( CONTROL!$C$37, 21.0642, 21.0625) * CHOOSE(CONTROL!$C$20, $D$12, 100%, $F$12)</f>
        <v>21.0642</v>
      </c>
      <c r="C733" s="7">
        <f>CHOOSE( CONTROL!$C$37, 21.0722, 21.0705) * CHOOSE(CONTROL!$C$20, $D$12, 100%, $F$12)</f>
        <v>21.072199999999999</v>
      </c>
      <c r="D733" s="7">
        <f>CHOOSE( CONTROL!$C$37, 21.0785, 21.0769) * CHOOSE( CONTROL!$C$20, $D$12, 100%, $F$12)</f>
        <v>21.078499999999998</v>
      </c>
      <c r="E733" s="10">
        <f>CHOOSE( CONTROL!$C$37, 21.075, 21.0734) * CHOOSE( CONTROL!$C$20, $D$12, 100%, $F$12)</f>
        <v>21.074999999999999</v>
      </c>
      <c r="F733" s="4">
        <f>CHOOSE( CONTROL!$C$37, 21.7895, 21.7878) * CHOOSE(CONTROL!$C$20, $D$12, 100%, $F$12)</f>
        <v>21.7895</v>
      </c>
      <c r="G733" s="7">
        <f>CHOOSE( CONTROL!$C$37, 20.8148, 20.8131) * CHOOSE( CONTROL!$C$20, $D$12, 100%, $F$12)</f>
        <v>20.814800000000002</v>
      </c>
      <c r="H733" s="4">
        <f>CHOOSE( CONTROL!$C$37, 21.7593, 21.7577) * CHOOSE(CONTROL!$C$20, $D$12, 100%, $F$12)</f>
        <v>21.7593</v>
      </c>
      <c r="I733" s="7">
        <f>CHOOSE( CONTROL!$C$37, 20.5459, 20.5443) * CHOOSE(CONTROL!$C$20, $D$12, 100%, $F$12)</f>
        <v>20.5459</v>
      </c>
      <c r="J733" s="4">
        <f>CHOOSE( CONTROL!$C$37, 20.4111, 20.4095) * CHOOSE(CONTROL!$C$20, $D$12, 100%, $F$12)</f>
        <v>20.411100000000001</v>
      </c>
      <c r="K733" s="4"/>
      <c r="L733" s="8">
        <v>30.7165</v>
      </c>
      <c r="M733" s="8">
        <v>12.063700000000001</v>
      </c>
      <c r="N733" s="8">
        <v>4.9444999999999997</v>
      </c>
      <c r="O733" s="8">
        <v>0.37409999999999999</v>
      </c>
      <c r="P733" s="8">
        <v>1.2927</v>
      </c>
      <c r="Q733" s="8">
        <v>19.688099999999999</v>
      </c>
      <c r="R733" s="8"/>
    </row>
    <row r="734" spans="1:18" ht="14.25" customHeight="1">
      <c r="A734" s="11">
        <v>63462</v>
      </c>
      <c r="B734" s="7">
        <f>CHOOSE( CONTROL!$C$37, 20.6227, 20.621) * CHOOSE(CONTROL!$C$20, $D$12, 100%, $F$12)</f>
        <v>20.622699999999998</v>
      </c>
      <c r="C734" s="7">
        <f>CHOOSE( CONTROL!$C$37, 20.6307, 20.629) * CHOOSE(CONTROL!$C$20, $D$12, 100%, $F$12)</f>
        <v>20.630700000000001</v>
      </c>
      <c r="D734" s="7">
        <f>CHOOSE( CONTROL!$C$37, 20.6369, 20.6352) * CHOOSE( CONTROL!$C$20, $D$12, 100%, $F$12)</f>
        <v>20.636900000000001</v>
      </c>
      <c r="E734" s="10">
        <f>CHOOSE( CONTROL!$C$37, 20.6334, 20.6317) * CHOOSE( CONTROL!$C$20, $D$12, 100%, $F$12)</f>
        <v>20.633400000000002</v>
      </c>
      <c r="F734" s="4">
        <f>CHOOSE( CONTROL!$C$37, 21.348, 21.3463) * CHOOSE(CONTROL!$C$20, $D$12, 100%, $F$12)</f>
        <v>21.347999999999999</v>
      </c>
      <c r="G734" s="7">
        <f>CHOOSE( CONTROL!$C$37, 20.3793, 20.3777) * CHOOSE( CONTROL!$C$20, $D$12, 100%, $F$12)</f>
        <v>20.379300000000001</v>
      </c>
      <c r="H734" s="4">
        <f>CHOOSE( CONTROL!$C$37, 21.324, 21.3224) * CHOOSE(CONTROL!$C$20, $D$12, 100%, $F$12)</f>
        <v>21.324000000000002</v>
      </c>
      <c r="I734" s="7">
        <f>CHOOSE( CONTROL!$C$37, 20.1178, 20.1162) * CHOOSE(CONTROL!$C$20, $D$12, 100%, $F$12)</f>
        <v>20.117799999999999</v>
      </c>
      <c r="J734" s="4">
        <f>CHOOSE( CONTROL!$C$37, 19.9836, 19.9819) * CHOOSE(CONTROL!$C$20, $D$12, 100%, $F$12)</f>
        <v>19.983599999999999</v>
      </c>
      <c r="K734" s="4"/>
      <c r="L734" s="8">
        <v>29.7257</v>
      </c>
      <c r="M734" s="8">
        <v>11.6745</v>
      </c>
      <c r="N734" s="8">
        <v>4.7850000000000001</v>
      </c>
      <c r="O734" s="8">
        <v>0.36199999999999999</v>
      </c>
      <c r="P734" s="8">
        <v>1.2509999999999999</v>
      </c>
      <c r="Q734" s="8">
        <v>19.053000000000001</v>
      </c>
      <c r="R734" s="8"/>
    </row>
    <row r="735" spans="1:18" ht="14.25" customHeight="1">
      <c r="A735" s="11">
        <v>63493</v>
      </c>
      <c r="B735" s="7">
        <f>CHOOSE( CONTROL!$C$37, 21.5371, 21.536) * CHOOSE(CONTROL!$C$20, $D$12, 100%, $F$12)</f>
        <v>21.537099999999999</v>
      </c>
      <c r="C735" s="7">
        <f>CHOOSE( CONTROL!$C$37, 21.5425, 21.5414) * CHOOSE(CONTROL!$C$20, $D$12, 100%, $F$12)</f>
        <v>21.5425</v>
      </c>
      <c r="D735" s="7">
        <f>CHOOSE( CONTROL!$C$37, 21.5545, 21.5534) * CHOOSE( CONTROL!$C$20, $D$12, 100%, $F$12)</f>
        <v>21.554500000000001</v>
      </c>
      <c r="E735" s="10">
        <f>CHOOSE( CONTROL!$C$37, 21.55, 21.5489) * CHOOSE( CONTROL!$C$20, $D$12, 100%, $F$12)</f>
        <v>21.55</v>
      </c>
      <c r="F735" s="4">
        <f>CHOOSE( CONTROL!$C$37, 22.2641, 22.263) * CHOOSE(CONTROL!$C$20, $D$12, 100%, $F$12)</f>
        <v>22.264099999999999</v>
      </c>
      <c r="G735" s="7">
        <f>CHOOSE( CONTROL!$C$37, 21.2828, 21.2818) * CHOOSE( CONTROL!$C$20, $D$12, 100%, $F$12)</f>
        <v>21.282800000000002</v>
      </c>
      <c r="H735" s="4">
        <f>CHOOSE( CONTROL!$C$37, 22.2274, 22.2263) * CHOOSE(CONTROL!$C$20, $D$12, 100%, $F$12)</f>
        <v>22.227399999999999</v>
      </c>
      <c r="I735" s="7">
        <f>CHOOSE( CONTROL!$C$37, 21.006, 21.0049) * CHOOSE(CONTROL!$C$20, $D$12, 100%, $F$12)</f>
        <v>21.006</v>
      </c>
      <c r="J735" s="4">
        <f>CHOOSE( CONTROL!$C$37, 20.8707, 20.8696) * CHOOSE(CONTROL!$C$20, $D$12, 100%, $F$12)</f>
        <v>20.870699999999999</v>
      </c>
      <c r="K735" s="4"/>
      <c r="L735" s="8">
        <v>31.095300000000002</v>
      </c>
      <c r="M735" s="8">
        <v>12.063700000000001</v>
      </c>
      <c r="N735" s="8">
        <v>4.9444999999999997</v>
      </c>
      <c r="O735" s="8">
        <v>0.37409999999999999</v>
      </c>
      <c r="P735" s="8">
        <v>1.2927</v>
      </c>
      <c r="Q735" s="8">
        <v>19.688099999999999</v>
      </c>
      <c r="R735" s="8"/>
    </row>
    <row r="736" spans="1:18" ht="14.25" customHeight="1">
      <c r="A736" s="11">
        <v>63523</v>
      </c>
      <c r="B736" s="7">
        <f>CHOOSE( CONTROL!$C$37, 23.2288, 23.2277) * CHOOSE(CONTROL!$C$20, $D$12, 100%, $F$12)</f>
        <v>23.2288</v>
      </c>
      <c r="C736" s="7">
        <f>CHOOSE( CONTROL!$C$37, 23.2339, 23.2328) * CHOOSE(CONTROL!$C$20, $D$12, 100%, $F$12)</f>
        <v>23.233899999999998</v>
      </c>
      <c r="D736" s="7">
        <f>CHOOSE( CONTROL!$C$37, 23.2124, 23.2113) * CHOOSE( CONTROL!$C$20, $D$12, 100%, $F$12)</f>
        <v>23.212399999999999</v>
      </c>
      <c r="E736" s="10">
        <f>CHOOSE( CONTROL!$C$37, 23.2197, 23.2186) * CHOOSE( CONTROL!$C$20, $D$12, 100%, $F$12)</f>
        <v>23.2197</v>
      </c>
      <c r="F736" s="4">
        <f>CHOOSE( CONTROL!$C$37, 23.8814, 23.8803) * CHOOSE(CONTROL!$C$20, $D$12, 100%, $F$12)</f>
        <v>23.881399999999999</v>
      </c>
      <c r="G736" s="7">
        <f>CHOOSE( CONTROL!$C$37, 22.9374, 22.9363) * CHOOSE( CONTROL!$C$20, $D$12, 100%, $F$12)</f>
        <v>22.9374</v>
      </c>
      <c r="H736" s="4">
        <f>CHOOSE( CONTROL!$C$37, 23.822, 23.821) * CHOOSE(CONTROL!$C$20, $D$12, 100%, $F$12)</f>
        <v>23.821999999999999</v>
      </c>
      <c r="I736" s="7">
        <f>CHOOSE( CONTROL!$C$37, 22.6964, 22.6954) * CHOOSE(CONTROL!$C$20, $D$12, 100%, $F$12)</f>
        <v>22.696400000000001</v>
      </c>
      <c r="J736" s="4">
        <f>CHOOSE( CONTROL!$C$37, 22.5091, 22.5081) * CHOOSE(CONTROL!$C$20, $D$12, 100%, $F$12)</f>
        <v>22.5091</v>
      </c>
      <c r="K736" s="4"/>
      <c r="L736" s="8">
        <v>28.360600000000002</v>
      </c>
      <c r="M736" s="8">
        <v>11.6745</v>
      </c>
      <c r="N736" s="8">
        <v>4.7850000000000001</v>
      </c>
      <c r="O736" s="8">
        <v>0.36199999999999999</v>
      </c>
      <c r="P736" s="8">
        <v>1.2509999999999999</v>
      </c>
      <c r="Q736" s="8">
        <v>19.053000000000001</v>
      </c>
      <c r="R736" s="8"/>
    </row>
    <row r="737" spans="1:18" ht="14.25" customHeight="1">
      <c r="A737" s="11">
        <v>63554</v>
      </c>
      <c r="B737" s="7">
        <f>CHOOSE( CONTROL!$C$37, 23.1865, 23.1855) * CHOOSE(CONTROL!$C$20, $D$12, 100%, $F$12)</f>
        <v>23.186499999999999</v>
      </c>
      <c r="C737" s="7">
        <f>CHOOSE( CONTROL!$C$37, 23.1916, 23.1906) * CHOOSE(CONTROL!$C$20, $D$12, 100%, $F$12)</f>
        <v>23.191600000000001</v>
      </c>
      <c r="D737" s="7">
        <f>CHOOSE( CONTROL!$C$37, 23.1717, 23.1706) * CHOOSE( CONTROL!$C$20, $D$12, 100%, $F$12)</f>
        <v>23.171700000000001</v>
      </c>
      <c r="E737" s="10">
        <f>CHOOSE( CONTROL!$C$37, 23.1784, 23.1774) * CHOOSE( CONTROL!$C$20, $D$12, 100%, $F$12)</f>
        <v>23.1784</v>
      </c>
      <c r="F737" s="4">
        <f>CHOOSE( CONTROL!$C$37, 23.8391, 23.838) * CHOOSE(CONTROL!$C$20, $D$12, 100%, $F$12)</f>
        <v>23.839099999999998</v>
      </c>
      <c r="G737" s="7">
        <f>CHOOSE( CONTROL!$C$37, 22.8969, 22.8958) * CHOOSE( CONTROL!$C$20, $D$12, 100%, $F$12)</f>
        <v>22.896899999999999</v>
      </c>
      <c r="H737" s="4">
        <f>CHOOSE( CONTROL!$C$37, 23.7803, 23.7793) * CHOOSE(CONTROL!$C$20, $D$12, 100%, $F$12)</f>
        <v>23.7803</v>
      </c>
      <c r="I737" s="7">
        <f>CHOOSE( CONTROL!$C$37, 22.6603, 22.6593) * CHOOSE(CONTROL!$C$20, $D$12, 100%, $F$12)</f>
        <v>22.660299999999999</v>
      </c>
      <c r="J737" s="4">
        <f>CHOOSE( CONTROL!$C$37, 22.4682, 22.4671) * CHOOSE(CONTROL!$C$20, $D$12, 100%, $F$12)</f>
        <v>22.4682</v>
      </c>
      <c r="K737" s="4"/>
      <c r="L737" s="8">
        <v>29.306000000000001</v>
      </c>
      <c r="M737" s="8">
        <v>12.063700000000001</v>
      </c>
      <c r="N737" s="8">
        <v>4.9444999999999997</v>
      </c>
      <c r="O737" s="8">
        <v>0.37409999999999999</v>
      </c>
      <c r="P737" s="8">
        <v>1.2927</v>
      </c>
      <c r="Q737" s="8">
        <v>19.688099999999999</v>
      </c>
      <c r="R737" s="8"/>
    </row>
    <row r="738" spans="1:18" ht="14.25" customHeight="1">
      <c r="A738" s="11">
        <v>63585</v>
      </c>
      <c r="B738" s="7">
        <f>CHOOSE( CONTROL!$C$37, 23.8709, 23.8699) * CHOOSE(CONTROL!$C$20, $D$12, 100%, $F$12)</f>
        <v>23.870899999999999</v>
      </c>
      <c r="C738" s="7">
        <f>CHOOSE( CONTROL!$C$37, 23.876, 23.875) * CHOOSE(CONTROL!$C$20, $D$12, 100%, $F$12)</f>
        <v>23.876000000000001</v>
      </c>
      <c r="D738" s="7">
        <f>CHOOSE( CONTROL!$C$37, 23.8691, 23.8681) * CHOOSE( CONTROL!$C$20, $D$12, 100%, $F$12)</f>
        <v>23.8691</v>
      </c>
      <c r="E738" s="10">
        <f>CHOOSE( CONTROL!$C$37, 23.8711, 23.8701) * CHOOSE( CONTROL!$C$20, $D$12, 100%, $F$12)</f>
        <v>23.871099999999998</v>
      </c>
      <c r="F738" s="4">
        <f>CHOOSE( CONTROL!$C$37, 24.5235, 24.5224) * CHOOSE(CONTROL!$C$20, $D$12, 100%, $F$12)</f>
        <v>24.523499999999999</v>
      </c>
      <c r="G738" s="7">
        <f>CHOOSE( CONTROL!$C$37, 23.5762, 23.5752) * CHOOSE( CONTROL!$C$20, $D$12, 100%, $F$12)</f>
        <v>23.5762</v>
      </c>
      <c r="H738" s="4">
        <f>CHOOSE( CONTROL!$C$37, 24.4552, 24.4541) * CHOOSE(CONTROL!$C$20, $D$12, 100%, $F$12)</f>
        <v>24.455200000000001</v>
      </c>
      <c r="I738" s="7">
        <f>CHOOSE( CONTROL!$C$37, 23.2947, 23.2936) * CHOOSE(CONTROL!$C$20, $D$12, 100%, $F$12)</f>
        <v>23.294699999999999</v>
      </c>
      <c r="J738" s="4">
        <f>CHOOSE( CONTROL!$C$37, 23.1309, 23.1298) * CHOOSE(CONTROL!$C$20, $D$12, 100%, $F$12)</f>
        <v>23.1309</v>
      </c>
      <c r="K738" s="4"/>
      <c r="L738" s="8">
        <v>29.306000000000001</v>
      </c>
      <c r="M738" s="8">
        <v>12.063700000000001</v>
      </c>
      <c r="N738" s="8">
        <v>4.9444999999999997</v>
      </c>
      <c r="O738" s="8">
        <v>0.37409999999999999</v>
      </c>
      <c r="P738" s="8">
        <v>1.2927</v>
      </c>
      <c r="Q738" s="8">
        <v>19.688099999999999</v>
      </c>
      <c r="R738" s="8"/>
    </row>
    <row r="739" spans="1:18" ht="14.25" customHeight="1">
      <c r="A739" s="11">
        <v>63613</v>
      </c>
      <c r="B739" s="7">
        <f>CHOOSE( CONTROL!$C$37, 22.3267, 22.3256) * CHOOSE(CONTROL!$C$20, $D$12, 100%, $F$12)</f>
        <v>22.326699999999999</v>
      </c>
      <c r="C739" s="7">
        <f>CHOOSE( CONTROL!$C$37, 22.3318, 22.3307) * CHOOSE(CONTROL!$C$20, $D$12, 100%, $F$12)</f>
        <v>22.331800000000001</v>
      </c>
      <c r="D739" s="7">
        <f>CHOOSE( CONTROL!$C$37, 22.3248, 22.3237) * CHOOSE( CONTROL!$C$20, $D$12, 100%, $F$12)</f>
        <v>22.3248</v>
      </c>
      <c r="E739" s="10">
        <f>CHOOSE( CONTROL!$C$37, 22.3268, 22.3257) * CHOOSE( CONTROL!$C$20, $D$12, 100%, $F$12)</f>
        <v>22.326799999999999</v>
      </c>
      <c r="F739" s="4">
        <f>CHOOSE( CONTROL!$C$37, 22.9792, 22.9781) * CHOOSE(CONTROL!$C$20, $D$12, 100%, $F$12)</f>
        <v>22.979199999999999</v>
      </c>
      <c r="G739" s="7">
        <f>CHOOSE( CONTROL!$C$37, 22.0534, 22.0524) * CHOOSE( CONTROL!$C$20, $D$12, 100%, $F$12)</f>
        <v>22.0534</v>
      </c>
      <c r="H739" s="4">
        <f>CHOOSE( CONTROL!$C$37, 22.9325, 22.9314) * CHOOSE(CONTROL!$C$20, $D$12, 100%, $F$12)</f>
        <v>22.932500000000001</v>
      </c>
      <c r="I739" s="7">
        <f>CHOOSE( CONTROL!$C$37, 21.7984, 21.7973) * CHOOSE(CONTROL!$C$20, $D$12, 100%, $F$12)</f>
        <v>21.798400000000001</v>
      </c>
      <c r="J739" s="4">
        <f>CHOOSE( CONTROL!$C$37, 21.6356, 21.6345) * CHOOSE(CONTROL!$C$20, $D$12, 100%, $F$12)</f>
        <v>21.6356</v>
      </c>
      <c r="K739" s="4"/>
      <c r="L739" s="8">
        <v>26.469899999999999</v>
      </c>
      <c r="M739" s="8">
        <v>10.8962</v>
      </c>
      <c r="N739" s="8">
        <v>4.4660000000000002</v>
      </c>
      <c r="O739" s="8">
        <v>0.33789999999999998</v>
      </c>
      <c r="P739" s="8">
        <v>1.1676</v>
      </c>
      <c r="Q739" s="8">
        <v>17.782800000000002</v>
      </c>
      <c r="R739" s="8"/>
    </row>
    <row r="740" spans="1:18" ht="14.25" customHeight="1">
      <c r="A740" s="11">
        <v>63644</v>
      </c>
      <c r="B740" s="7">
        <f>CHOOSE( CONTROL!$C$37, 21.8511, 21.85) * CHOOSE(CONTROL!$C$20, $D$12, 100%, $F$12)</f>
        <v>21.851099999999999</v>
      </c>
      <c r="C740" s="7">
        <f>CHOOSE( CONTROL!$C$37, 21.8562, 21.8551) * CHOOSE(CONTROL!$C$20, $D$12, 100%, $F$12)</f>
        <v>21.856200000000001</v>
      </c>
      <c r="D740" s="7">
        <f>CHOOSE( CONTROL!$C$37, 21.8486, 21.8475) * CHOOSE( CONTROL!$C$20, $D$12, 100%, $F$12)</f>
        <v>21.848600000000001</v>
      </c>
      <c r="E740" s="10">
        <f>CHOOSE( CONTROL!$C$37, 21.8508, 21.8497) * CHOOSE( CONTROL!$C$20, $D$12, 100%, $F$12)</f>
        <v>21.8508</v>
      </c>
      <c r="F740" s="4">
        <f>CHOOSE( CONTROL!$C$37, 22.5036, 22.5025) * CHOOSE(CONTROL!$C$20, $D$12, 100%, $F$12)</f>
        <v>22.503599999999999</v>
      </c>
      <c r="G740" s="7">
        <f>CHOOSE( CONTROL!$C$37, 21.584, 21.5829) * CHOOSE( CONTROL!$C$20, $D$12, 100%, $F$12)</f>
        <v>21.584</v>
      </c>
      <c r="H740" s="4">
        <f>CHOOSE( CONTROL!$C$37, 22.4635, 22.4624) * CHOOSE(CONTROL!$C$20, $D$12, 100%, $F$12)</f>
        <v>22.4635</v>
      </c>
      <c r="I740" s="7">
        <f>CHOOSE( CONTROL!$C$37, 21.3357, 21.3346) * CHOOSE(CONTROL!$C$20, $D$12, 100%, $F$12)</f>
        <v>21.335699999999999</v>
      </c>
      <c r="J740" s="4">
        <f>CHOOSE( CONTROL!$C$37, 21.175, 21.174) * CHOOSE(CONTROL!$C$20, $D$12, 100%, $F$12)</f>
        <v>21.175000000000001</v>
      </c>
      <c r="K740" s="4"/>
      <c r="L740" s="8">
        <v>29.306000000000001</v>
      </c>
      <c r="M740" s="8">
        <v>12.063700000000001</v>
      </c>
      <c r="N740" s="8">
        <v>4.9444999999999997</v>
      </c>
      <c r="O740" s="8">
        <v>0.37409999999999999</v>
      </c>
      <c r="P740" s="8">
        <v>1.2927</v>
      </c>
      <c r="Q740" s="8">
        <v>19.688099999999999</v>
      </c>
      <c r="R740" s="8"/>
    </row>
    <row r="741" spans="1:18" ht="14.25" customHeight="1">
      <c r="A741" s="11">
        <v>63674</v>
      </c>
      <c r="B741" s="7">
        <f>CHOOSE( CONTROL!$C$37, 22.1842, 22.1831) * CHOOSE(CONTROL!$C$20, $D$12, 100%, $F$12)</f>
        <v>22.184200000000001</v>
      </c>
      <c r="C741" s="7">
        <f>CHOOSE( CONTROL!$C$37, 22.1887, 22.1876) * CHOOSE(CONTROL!$C$20, $D$12, 100%, $F$12)</f>
        <v>22.188700000000001</v>
      </c>
      <c r="D741" s="7">
        <f>CHOOSE( CONTROL!$C$37, 22.2005, 22.1995) * CHOOSE( CONTROL!$C$20, $D$12, 100%, $F$12)</f>
        <v>22.200500000000002</v>
      </c>
      <c r="E741" s="10">
        <f>CHOOSE( CONTROL!$C$37, 22.1961, 22.1951) * CHOOSE( CONTROL!$C$20, $D$12, 100%, $F$12)</f>
        <v>22.196100000000001</v>
      </c>
      <c r="F741" s="4">
        <f>CHOOSE( CONTROL!$C$37, 22.9108, 22.9097) * CHOOSE(CONTROL!$C$20, $D$12, 100%, $F$12)</f>
        <v>22.910799999999998</v>
      </c>
      <c r="G741" s="7">
        <f>CHOOSE( CONTROL!$C$37, 21.92, 21.9189) * CHOOSE( CONTROL!$C$20, $D$12, 100%, $F$12)</f>
        <v>21.92</v>
      </c>
      <c r="H741" s="4">
        <f>CHOOSE( CONTROL!$C$37, 22.865, 22.864) * CHOOSE(CONTROL!$C$20, $D$12, 100%, $F$12)</f>
        <v>22.864999999999998</v>
      </c>
      <c r="I741" s="7">
        <f>CHOOSE( CONTROL!$C$37, 21.6302, 21.6292) * CHOOSE(CONTROL!$C$20, $D$12, 100%, $F$12)</f>
        <v>21.630199999999999</v>
      </c>
      <c r="J741" s="4">
        <f>CHOOSE( CONTROL!$C$37, 21.4969, 21.4958) * CHOOSE(CONTROL!$C$20, $D$12, 100%, $F$12)</f>
        <v>21.4969</v>
      </c>
      <c r="K741" s="4"/>
      <c r="L741" s="8">
        <v>30.092199999999998</v>
      </c>
      <c r="M741" s="8">
        <v>11.6745</v>
      </c>
      <c r="N741" s="8">
        <v>4.7850000000000001</v>
      </c>
      <c r="O741" s="8">
        <v>0.36199999999999999</v>
      </c>
      <c r="P741" s="8">
        <v>1.2509999999999999</v>
      </c>
      <c r="Q741" s="8">
        <v>19.053000000000001</v>
      </c>
      <c r="R741" s="8"/>
    </row>
    <row r="742" spans="1:18" ht="14.25" customHeight="1">
      <c r="A742" s="11">
        <v>63705</v>
      </c>
      <c r="B742" s="7">
        <f>CHOOSE( CONTROL!$C$37, 22.7776, 22.776) * CHOOSE(CONTROL!$C$20, $D$12, 100%, $F$12)</f>
        <v>22.7776</v>
      </c>
      <c r="C742" s="7">
        <f>CHOOSE( CONTROL!$C$37, 22.7856, 22.784) * CHOOSE(CONTROL!$C$20, $D$12, 100%, $F$12)</f>
        <v>22.785599999999999</v>
      </c>
      <c r="D742" s="7">
        <f>CHOOSE( CONTROL!$C$37, 22.7913, 22.7896) * CHOOSE( CONTROL!$C$20, $D$12, 100%, $F$12)</f>
        <v>22.7913</v>
      </c>
      <c r="E742" s="10">
        <f>CHOOSE( CONTROL!$C$37, 22.788, 22.7864) * CHOOSE( CONTROL!$C$20, $D$12, 100%, $F$12)</f>
        <v>22.788</v>
      </c>
      <c r="F742" s="4">
        <f>CHOOSE( CONTROL!$C$37, 23.5029, 23.5013) * CHOOSE(CONTROL!$C$20, $D$12, 100%, $F$12)</f>
        <v>23.5029</v>
      </c>
      <c r="G742" s="7">
        <f>CHOOSE( CONTROL!$C$37, 22.5038, 22.5021) * CHOOSE( CONTROL!$C$20, $D$12, 100%, $F$12)</f>
        <v>22.503799999999998</v>
      </c>
      <c r="H742" s="4">
        <f>CHOOSE( CONTROL!$C$37, 23.4489, 23.4472) * CHOOSE(CONTROL!$C$20, $D$12, 100%, $F$12)</f>
        <v>23.448899999999998</v>
      </c>
      <c r="I742" s="7">
        <f>CHOOSE( CONTROL!$C$37, 22.2035, 22.2019) * CHOOSE(CONTROL!$C$20, $D$12, 100%, $F$12)</f>
        <v>22.203499999999998</v>
      </c>
      <c r="J742" s="4">
        <f>CHOOSE( CONTROL!$C$37, 22.0702, 22.0686) * CHOOSE(CONTROL!$C$20, $D$12, 100%, $F$12)</f>
        <v>22.0702</v>
      </c>
      <c r="K742" s="4"/>
      <c r="L742" s="8">
        <v>30.7165</v>
      </c>
      <c r="M742" s="8">
        <v>12.063700000000001</v>
      </c>
      <c r="N742" s="8">
        <v>4.9444999999999997</v>
      </c>
      <c r="O742" s="8">
        <v>0.37409999999999999</v>
      </c>
      <c r="P742" s="8">
        <v>1.2927</v>
      </c>
      <c r="Q742" s="8">
        <v>19.688099999999999</v>
      </c>
      <c r="R742" s="8"/>
    </row>
    <row r="743" spans="1:18" ht="14.25" customHeight="1">
      <c r="A743" s="11">
        <v>63735</v>
      </c>
      <c r="B743" s="7">
        <f>CHOOSE( CONTROL!$C$37, 22.4112, 22.4096) * CHOOSE(CONTROL!$C$20, $D$12, 100%, $F$12)</f>
        <v>22.411200000000001</v>
      </c>
      <c r="C743" s="7">
        <f>CHOOSE( CONTROL!$C$37, 22.4192, 22.4176) * CHOOSE(CONTROL!$C$20, $D$12, 100%, $F$12)</f>
        <v>22.4192</v>
      </c>
      <c r="D743" s="7">
        <f>CHOOSE( CONTROL!$C$37, 22.4251, 22.4235) * CHOOSE( CONTROL!$C$20, $D$12, 100%, $F$12)</f>
        <v>22.4251</v>
      </c>
      <c r="E743" s="10">
        <f>CHOOSE( CONTROL!$C$37, 22.4217, 22.4201) * CHOOSE( CONTROL!$C$20, $D$12, 100%, $F$12)</f>
        <v>22.421700000000001</v>
      </c>
      <c r="F743" s="4">
        <f>CHOOSE( CONTROL!$C$37, 23.1365, 23.1348) * CHOOSE(CONTROL!$C$20, $D$12, 100%, $F$12)</f>
        <v>23.136500000000002</v>
      </c>
      <c r="G743" s="7">
        <f>CHOOSE( CONTROL!$C$37, 22.1427, 22.141) * CHOOSE( CONTROL!$C$20, $D$12, 100%, $F$12)</f>
        <v>22.142700000000001</v>
      </c>
      <c r="H743" s="4">
        <f>CHOOSE( CONTROL!$C$37, 23.0876, 23.0859) * CHOOSE(CONTROL!$C$20, $D$12, 100%, $F$12)</f>
        <v>23.087599999999998</v>
      </c>
      <c r="I743" s="7">
        <f>CHOOSE( CONTROL!$C$37, 21.8495, 21.8479) * CHOOSE(CONTROL!$C$20, $D$12, 100%, $F$12)</f>
        <v>21.849499999999999</v>
      </c>
      <c r="J743" s="4">
        <f>CHOOSE( CONTROL!$C$37, 21.7154, 21.7138) * CHOOSE(CONTROL!$C$20, $D$12, 100%, $F$12)</f>
        <v>21.715399999999999</v>
      </c>
      <c r="K743" s="4"/>
      <c r="L743" s="8">
        <v>29.7257</v>
      </c>
      <c r="M743" s="8">
        <v>11.6745</v>
      </c>
      <c r="N743" s="8">
        <v>4.7850000000000001</v>
      </c>
      <c r="O743" s="8">
        <v>0.36199999999999999</v>
      </c>
      <c r="P743" s="8">
        <v>1.2509999999999999</v>
      </c>
      <c r="Q743" s="8">
        <v>19.053000000000001</v>
      </c>
      <c r="R743" s="8"/>
    </row>
    <row r="744" spans="1:18" ht="14.25" customHeight="1">
      <c r="A744" s="11">
        <v>63766</v>
      </c>
      <c r="B744" s="7">
        <f>CHOOSE( CONTROL!$C$37, 23.3762, 23.3745) * CHOOSE(CONTROL!$C$20, $D$12, 100%, $F$12)</f>
        <v>23.376200000000001</v>
      </c>
      <c r="C744" s="7">
        <f>CHOOSE( CONTROL!$C$37, 23.3842, 23.3825) * CHOOSE(CONTROL!$C$20, $D$12, 100%, $F$12)</f>
        <v>23.3842</v>
      </c>
      <c r="D744" s="7">
        <f>CHOOSE( CONTROL!$C$37, 23.3904, 23.3887) * CHOOSE( CONTROL!$C$20, $D$12, 100%, $F$12)</f>
        <v>23.3904</v>
      </c>
      <c r="E744" s="10">
        <f>CHOOSE( CONTROL!$C$37, 23.3869, 23.3852) * CHOOSE( CONTROL!$C$20, $D$12, 100%, $F$12)</f>
        <v>23.386900000000001</v>
      </c>
      <c r="F744" s="4">
        <f>CHOOSE( CONTROL!$C$37, 24.1014, 24.0998) * CHOOSE(CONTROL!$C$20, $D$12, 100%, $F$12)</f>
        <v>24.101400000000002</v>
      </c>
      <c r="G744" s="7">
        <f>CHOOSE( CONTROL!$C$37, 23.0944, 23.0928) * CHOOSE( CONTROL!$C$20, $D$12, 100%, $F$12)</f>
        <v>23.0944</v>
      </c>
      <c r="H744" s="4">
        <f>CHOOSE( CONTROL!$C$37, 24.039, 24.0374) * CHOOSE(CONTROL!$C$20, $D$12, 100%, $F$12)</f>
        <v>24.039000000000001</v>
      </c>
      <c r="I744" s="7">
        <f>CHOOSE( CONTROL!$C$37, 22.7854, 22.7837) * CHOOSE(CONTROL!$C$20, $D$12, 100%, $F$12)</f>
        <v>22.785399999999999</v>
      </c>
      <c r="J744" s="4">
        <f>CHOOSE( CONTROL!$C$37, 22.6497, 22.6481) * CHOOSE(CONTROL!$C$20, $D$12, 100%, $F$12)</f>
        <v>22.649699999999999</v>
      </c>
      <c r="K744" s="4"/>
      <c r="L744" s="8">
        <v>30.7165</v>
      </c>
      <c r="M744" s="8">
        <v>12.063700000000001</v>
      </c>
      <c r="N744" s="8">
        <v>4.9444999999999997</v>
      </c>
      <c r="O744" s="8">
        <v>0.37409999999999999</v>
      </c>
      <c r="P744" s="8">
        <v>1.2927</v>
      </c>
      <c r="Q744" s="8">
        <v>19.688099999999999</v>
      </c>
      <c r="R744" s="8"/>
    </row>
    <row r="745" spans="1:18" ht="14.25" customHeight="1">
      <c r="A745" s="11">
        <v>63797</v>
      </c>
      <c r="B745" s="7">
        <f>CHOOSE( CONTROL!$C$37, 21.5707, 21.569) * CHOOSE(CONTROL!$C$20, $D$12, 100%, $F$12)</f>
        <v>21.570699999999999</v>
      </c>
      <c r="C745" s="7">
        <f>CHOOSE( CONTROL!$C$37, 21.5786, 21.577) * CHOOSE(CONTROL!$C$20, $D$12, 100%, $F$12)</f>
        <v>21.578600000000002</v>
      </c>
      <c r="D745" s="7">
        <f>CHOOSE( CONTROL!$C$37, 21.585, 21.5833) * CHOOSE( CONTROL!$C$20, $D$12, 100%, $F$12)</f>
        <v>21.585000000000001</v>
      </c>
      <c r="E745" s="10">
        <f>CHOOSE( CONTROL!$C$37, 21.5815, 21.5798) * CHOOSE( CONTROL!$C$20, $D$12, 100%, $F$12)</f>
        <v>21.581499999999998</v>
      </c>
      <c r="F745" s="4">
        <f>CHOOSE( CONTROL!$C$37, 22.2959, 22.2943) * CHOOSE(CONTROL!$C$20, $D$12, 100%, $F$12)</f>
        <v>22.2959</v>
      </c>
      <c r="G745" s="7">
        <f>CHOOSE( CONTROL!$C$37, 21.3141, 21.3125) * CHOOSE( CONTROL!$C$20, $D$12, 100%, $F$12)</f>
        <v>21.3141</v>
      </c>
      <c r="H745" s="4">
        <f>CHOOSE( CONTROL!$C$37, 22.2587, 22.2571) * CHOOSE(CONTROL!$C$20, $D$12, 100%, $F$12)</f>
        <v>22.258700000000001</v>
      </c>
      <c r="I745" s="7">
        <f>CHOOSE( CONTROL!$C$37, 21.0365, 21.0349) * CHOOSE(CONTROL!$C$20, $D$12, 100%, $F$12)</f>
        <v>21.0365</v>
      </c>
      <c r="J745" s="4">
        <f>CHOOSE( CONTROL!$C$37, 20.9015, 20.8998) * CHOOSE(CONTROL!$C$20, $D$12, 100%, $F$12)</f>
        <v>20.901499999999999</v>
      </c>
      <c r="K745" s="4"/>
      <c r="L745" s="8">
        <v>30.7165</v>
      </c>
      <c r="M745" s="8">
        <v>12.063700000000001</v>
      </c>
      <c r="N745" s="8">
        <v>4.9444999999999997</v>
      </c>
      <c r="O745" s="8">
        <v>0.37409999999999999</v>
      </c>
      <c r="P745" s="8">
        <v>1.2927</v>
      </c>
      <c r="Q745" s="8">
        <v>19.688099999999999</v>
      </c>
      <c r="R745" s="8"/>
    </row>
    <row r="746" spans="1:18" ht="14.25" customHeight="1">
      <c r="A746" s="11">
        <v>63827</v>
      </c>
      <c r="B746" s="7">
        <f>CHOOSE( CONTROL!$C$37, 21.1185, 21.1169) * CHOOSE(CONTROL!$C$20, $D$12, 100%, $F$12)</f>
        <v>21.118500000000001</v>
      </c>
      <c r="C746" s="7">
        <f>CHOOSE( CONTROL!$C$37, 21.1265, 21.1249) * CHOOSE(CONTROL!$C$20, $D$12, 100%, $F$12)</f>
        <v>21.1265</v>
      </c>
      <c r="D746" s="7">
        <f>CHOOSE( CONTROL!$C$37, 21.1327, 21.1311) * CHOOSE( CONTROL!$C$20, $D$12, 100%, $F$12)</f>
        <v>21.1327</v>
      </c>
      <c r="E746" s="10">
        <f>CHOOSE( CONTROL!$C$37, 21.1292, 21.1276) * CHOOSE( CONTROL!$C$20, $D$12, 100%, $F$12)</f>
        <v>21.129200000000001</v>
      </c>
      <c r="F746" s="4">
        <f>CHOOSE( CONTROL!$C$37, 21.8438, 21.8422) * CHOOSE(CONTROL!$C$20, $D$12, 100%, $F$12)</f>
        <v>21.843800000000002</v>
      </c>
      <c r="G746" s="7">
        <f>CHOOSE( CONTROL!$C$37, 20.8682, 20.8666) * CHOOSE( CONTROL!$C$20, $D$12, 100%, $F$12)</f>
        <v>20.868200000000002</v>
      </c>
      <c r="H746" s="4">
        <f>CHOOSE( CONTROL!$C$37, 21.8129, 21.8113) * CHOOSE(CONTROL!$C$20, $D$12, 100%, $F$12)</f>
        <v>21.812899999999999</v>
      </c>
      <c r="I746" s="7">
        <f>CHOOSE( CONTROL!$C$37, 20.5981, 20.5965) * CHOOSE(CONTROL!$C$20, $D$12, 100%, $F$12)</f>
        <v>20.598099999999999</v>
      </c>
      <c r="J746" s="4">
        <f>CHOOSE( CONTROL!$C$37, 20.4637, 20.4621) * CHOOSE(CONTROL!$C$20, $D$12, 100%, $F$12)</f>
        <v>20.463699999999999</v>
      </c>
      <c r="K746" s="4"/>
      <c r="L746" s="8">
        <v>29.7257</v>
      </c>
      <c r="M746" s="8">
        <v>11.6745</v>
      </c>
      <c r="N746" s="8">
        <v>4.7850000000000001</v>
      </c>
      <c r="O746" s="8">
        <v>0.36199999999999999</v>
      </c>
      <c r="P746" s="8">
        <v>1.2509999999999999</v>
      </c>
      <c r="Q746" s="8">
        <v>19.053000000000001</v>
      </c>
      <c r="R746" s="8"/>
    </row>
    <row r="747" spans="1:18" ht="14.25" customHeight="1">
      <c r="A747" s="11">
        <v>63858</v>
      </c>
      <c r="B747" s="7">
        <f>CHOOSE( CONTROL!$C$37, 22.055, 22.0539) * CHOOSE(CONTROL!$C$20, $D$12, 100%, $F$12)</f>
        <v>22.055</v>
      </c>
      <c r="C747" s="7">
        <f>CHOOSE( CONTROL!$C$37, 22.0603, 22.0593) * CHOOSE(CONTROL!$C$20, $D$12, 100%, $F$12)</f>
        <v>22.060300000000002</v>
      </c>
      <c r="D747" s="7">
        <f>CHOOSE( CONTROL!$C$37, 22.0723, 22.0713) * CHOOSE( CONTROL!$C$20, $D$12, 100%, $F$12)</f>
        <v>22.072299999999998</v>
      </c>
      <c r="E747" s="10">
        <f>CHOOSE( CONTROL!$C$37, 22.0678, 22.0668) * CHOOSE( CONTROL!$C$20, $D$12, 100%, $F$12)</f>
        <v>22.067799999999998</v>
      </c>
      <c r="F747" s="4">
        <f>CHOOSE( CONTROL!$C$37, 22.782, 22.7809) * CHOOSE(CONTROL!$C$20, $D$12, 100%, $F$12)</f>
        <v>22.782</v>
      </c>
      <c r="G747" s="7">
        <f>CHOOSE( CONTROL!$C$37, 21.7935, 21.7924) * CHOOSE( CONTROL!$C$20, $D$12, 100%, $F$12)</f>
        <v>21.793500000000002</v>
      </c>
      <c r="H747" s="4">
        <f>CHOOSE( CONTROL!$C$37, 22.738, 22.7369) * CHOOSE(CONTROL!$C$20, $D$12, 100%, $F$12)</f>
        <v>22.738</v>
      </c>
      <c r="I747" s="7">
        <f>CHOOSE( CONTROL!$C$37, 21.5077, 21.5066) * CHOOSE(CONTROL!$C$20, $D$12, 100%, $F$12)</f>
        <v>21.5077</v>
      </c>
      <c r="J747" s="4">
        <f>CHOOSE( CONTROL!$C$37, 21.3721, 21.3711) * CHOOSE(CONTROL!$C$20, $D$12, 100%, $F$12)</f>
        <v>21.3721</v>
      </c>
      <c r="K747" s="4"/>
      <c r="L747" s="8">
        <v>31.095300000000002</v>
      </c>
      <c r="M747" s="8">
        <v>12.063700000000001</v>
      </c>
      <c r="N747" s="8">
        <v>4.9444999999999997</v>
      </c>
      <c r="O747" s="8">
        <v>0.37409999999999999</v>
      </c>
      <c r="P747" s="8">
        <v>1.2927</v>
      </c>
      <c r="Q747" s="8">
        <v>19.688099999999999</v>
      </c>
      <c r="R747" s="8"/>
    </row>
    <row r="748" spans="1:18" ht="14.25" customHeight="1">
      <c r="A748" s="11">
        <v>63888</v>
      </c>
      <c r="B748" s="7">
        <f>CHOOSE( CONTROL!$C$37, 23.7873, 23.7862) * CHOOSE(CONTROL!$C$20, $D$12, 100%, $F$12)</f>
        <v>23.787299999999998</v>
      </c>
      <c r="C748" s="7">
        <f>CHOOSE( CONTROL!$C$37, 23.7924, 23.7913) * CHOOSE(CONTROL!$C$20, $D$12, 100%, $F$12)</f>
        <v>23.792400000000001</v>
      </c>
      <c r="D748" s="7">
        <f>CHOOSE( CONTROL!$C$37, 23.7709, 23.7698) * CHOOSE( CONTROL!$C$20, $D$12, 100%, $F$12)</f>
        <v>23.770900000000001</v>
      </c>
      <c r="E748" s="10">
        <f>CHOOSE( CONTROL!$C$37, 23.7782, 23.7771) * CHOOSE( CONTROL!$C$20, $D$12, 100%, $F$12)</f>
        <v>23.778199999999998</v>
      </c>
      <c r="F748" s="4">
        <f>CHOOSE( CONTROL!$C$37, 24.4399, 24.4388) * CHOOSE(CONTROL!$C$20, $D$12, 100%, $F$12)</f>
        <v>24.439900000000002</v>
      </c>
      <c r="G748" s="7">
        <f>CHOOSE( CONTROL!$C$37, 23.4881, 23.4871) * CHOOSE( CONTROL!$C$20, $D$12, 100%, $F$12)</f>
        <v>23.488099999999999</v>
      </c>
      <c r="H748" s="4">
        <f>CHOOSE( CONTROL!$C$37, 24.3728, 24.3717) * CHOOSE(CONTROL!$C$20, $D$12, 100%, $F$12)</f>
        <v>24.372800000000002</v>
      </c>
      <c r="I748" s="7">
        <f>CHOOSE( CONTROL!$C$37, 23.2375, 23.2365) * CHOOSE(CONTROL!$C$20, $D$12, 100%, $F$12)</f>
        <v>23.237500000000001</v>
      </c>
      <c r="J748" s="4">
        <f>CHOOSE( CONTROL!$C$37, 23.0499, 23.0489) * CHOOSE(CONTROL!$C$20, $D$12, 100%, $F$12)</f>
        <v>23.049900000000001</v>
      </c>
      <c r="K748" s="4"/>
      <c r="L748" s="8">
        <v>28.360600000000002</v>
      </c>
      <c r="M748" s="8">
        <v>11.6745</v>
      </c>
      <c r="N748" s="8">
        <v>4.7850000000000001</v>
      </c>
      <c r="O748" s="8">
        <v>0.36199999999999999</v>
      </c>
      <c r="P748" s="8">
        <v>1.2509999999999999</v>
      </c>
      <c r="Q748" s="8">
        <v>19.053000000000001</v>
      </c>
      <c r="R748" s="8"/>
    </row>
    <row r="749" spans="1:18" ht="14.25" customHeight="1">
      <c r="A749" s="11">
        <v>63919</v>
      </c>
      <c r="B749" s="7">
        <f>CHOOSE( CONTROL!$C$37, 23.744, 23.743) * CHOOSE(CONTROL!$C$20, $D$12, 100%, $F$12)</f>
        <v>23.744</v>
      </c>
      <c r="C749" s="7">
        <f>CHOOSE( CONTROL!$C$37, 23.7491, 23.7481) * CHOOSE(CONTROL!$C$20, $D$12, 100%, $F$12)</f>
        <v>23.749099999999999</v>
      </c>
      <c r="D749" s="7">
        <f>CHOOSE( CONTROL!$C$37, 23.7292, 23.7281) * CHOOSE( CONTROL!$C$20, $D$12, 100%, $F$12)</f>
        <v>23.729199999999999</v>
      </c>
      <c r="E749" s="10">
        <f>CHOOSE( CONTROL!$C$37, 23.7359, 23.7349) * CHOOSE( CONTROL!$C$20, $D$12, 100%, $F$12)</f>
        <v>23.735900000000001</v>
      </c>
      <c r="F749" s="4">
        <f>CHOOSE( CONTROL!$C$37, 24.3966, 24.3955) * CHOOSE(CONTROL!$C$20, $D$12, 100%, $F$12)</f>
        <v>24.396599999999999</v>
      </c>
      <c r="G749" s="7">
        <f>CHOOSE( CONTROL!$C$37, 23.4466, 23.4455) * CHOOSE( CONTROL!$C$20, $D$12, 100%, $F$12)</f>
        <v>23.4466</v>
      </c>
      <c r="H749" s="4">
        <f>CHOOSE( CONTROL!$C$37, 24.3301, 24.329) * CHOOSE(CONTROL!$C$20, $D$12, 100%, $F$12)</f>
        <v>24.330100000000002</v>
      </c>
      <c r="I749" s="7">
        <f>CHOOSE( CONTROL!$C$37, 23.2004, 23.1994) * CHOOSE(CONTROL!$C$20, $D$12, 100%, $F$12)</f>
        <v>23.200399999999998</v>
      </c>
      <c r="J749" s="4">
        <f>CHOOSE( CONTROL!$C$37, 23.008, 23.007) * CHOOSE(CONTROL!$C$20, $D$12, 100%, $F$12)</f>
        <v>23.007999999999999</v>
      </c>
      <c r="K749" s="4"/>
      <c r="L749" s="8">
        <v>29.306000000000001</v>
      </c>
      <c r="M749" s="8">
        <v>12.063700000000001</v>
      </c>
      <c r="N749" s="8">
        <v>4.9444999999999997</v>
      </c>
      <c r="O749" s="8">
        <v>0.37409999999999999</v>
      </c>
      <c r="P749" s="8">
        <v>1.2927</v>
      </c>
      <c r="Q749" s="8">
        <v>19.688099999999999</v>
      </c>
      <c r="R749" s="8"/>
    </row>
    <row r="750" spans="1:18" ht="14.25" customHeight="1">
      <c r="A750" s="11">
        <v>63950</v>
      </c>
      <c r="B750" s="7">
        <f>CHOOSE( CONTROL!$C$37, 24.4449, 24.4438) * CHOOSE(CONTROL!$C$20, $D$12, 100%, $F$12)</f>
        <v>24.444900000000001</v>
      </c>
      <c r="C750" s="7">
        <f>CHOOSE( CONTROL!$C$37, 24.45, 24.4489) * CHOOSE(CONTROL!$C$20, $D$12, 100%, $F$12)</f>
        <v>24.45</v>
      </c>
      <c r="D750" s="7">
        <f>CHOOSE( CONTROL!$C$37, 24.4431, 24.442) * CHOOSE( CONTROL!$C$20, $D$12, 100%, $F$12)</f>
        <v>24.443100000000001</v>
      </c>
      <c r="E750" s="10">
        <f>CHOOSE( CONTROL!$C$37, 24.4451, 24.444) * CHOOSE( CONTROL!$C$20, $D$12, 100%, $F$12)</f>
        <v>24.4451</v>
      </c>
      <c r="F750" s="4">
        <f>CHOOSE( CONTROL!$C$37, 25.0974, 25.0963) * CHOOSE(CONTROL!$C$20, $D$12, 100%, $F$12)</f>
        <v>25.0974</v>
      </c>
      <c r="G750" s="7">
        <f>CHOOSE( CONTROL!$C$37, 24.1422, 24.1411) * CHOOSE( CONTROL!$C$20, $D$12, 100%, $F$12)</f>
        <v>24.142199999999999</v>
      </c>
      <c r="H750" s="4">
        <f>CHOOSE( CONTROL!$C$37, 25.0211, 25.0201) * CHOOSE(CONTROL!$C$20, $D$12, 100%, $F$12)</f>
        <v>25.021100000000001</v>
      </c>
      <c r="I750" s="7">
        <f>CHOOSE( CONTROL!$C$37, 23.8507, 23.8497) * CHOOSE(CONTROL!$C$20, $D$12, 100%, $F$12)</f>
        <v>23.8507</v>
      </c>
      <c r="J750" s="4">
        <f>CHOOSE( CONTROL!$C$37, 23.6866, 23.6856) * CHOOSE(CONTROL!$C$20, $D$12, 100%, $F$12)</f>
        <v>23.686599999999999</v>
      </c>
      <c r="K750" s="4"/>
      <c r="L750" s="8">
        <v>29.306000000000001</v>
      </c>
      <c r="M750" s="8">
        <v>12.063700000000001</v>
      </c>
      <c r="N750" s="8">
        <v>4.9444999999999997</v>
      </c>
      <c r="O750" s="8">
        <v>0.37409999999999999</v>
      </c>
      <c r="P750" s="8">
        <v>1.2927</v>
      </c>
      <c r="Q750" s="8">
        <v>19.688099999999999</v>
      </c>
      <c r="R750" s="8"/>
    </row>
    <row r="751" spans="1:18" ht="14.25" customHeight="1">
      <c r="A751" s="11">
        <v>63978</v>
      </c>
      <c r="B751" s="7">
        <f>CHOOSE( CONTROL!$C$37, 22.8635, 22.8624) * CHOOSE(CONTROL!$C$20, $D$12, 100%, $F$12)</f>
        <v>22.863499999999998</v>
      </c>
      <c r="C751" s="7">
        <f>CHOOSE( CONTROL!$C$37, 22.8686, 22.8675) * CHOOSE(CONTROL!$C$20, $D$12, 100%, $F$12)</f>
        <v>22.868600000000001</v>
      </c>
      <c r="D751" s="7">
        <f>CHOOSE( CONTROL!$C$37, 22.8616, 22.8606) * CHOOSE( CONTROL!$C$20, $D$12, 100%, $F$12)</f>
        <v>22.861599999999999</v>
      </c>
      <c r="E751" s="10">
        <f>CHOOSE( CONTROL!$C$37, 22.8636, 22.8626) * CHOOSE( CONTROL!$C$20, $D$12, 100%, $F$12)</f>
        <v>22.863600000000002</v>
      </c>
      <c r="F751" s="4">
        <f>CHOOSE( CONTROL!$C$37, 23.5161, 23.515) * CHOOSE(CONTROL!$C$20, $D$12, 100%, $F$12)</f>
        <v>23.516100000000002</v>
      </c>
      <c r="G751" s="7">
        <f>CHOOSE( CONTROL!$C$37, 22.5828, 22.5817) * CHOOSE( CONTROL!$C$20, $D$12, 100%, $F$12)</f>
        <v>22.582799999999999</v>
      </c>
      <c r="H751" s="4">
        <f>CHOOSE( CONTROL!$C$37, 23.4618, 23.4608) * CHOOSE(CONTROL!$C$20, $D$12, 100%, $F$12)</f>
        <v>23.4618</v>
      </c>
      <c r="I751" s="7">
        <f>CHOOSE( CONTROL!$C$37, 22.3184, 22.3174) * CHOOSE(CONTROL!$C$20, $D$12, 100%, $F$12)</f>
        <v>22.3184</v>
      </c>
      <c r="J751" s="4">
        <f>CHOOSE( CONTROL!$C$37, 22.1554, 22.1544) * CHOOSE(CONTROL!$C$20, $D$12, 100%, $F$12)</f>
        <v>22.1554</v>
      </c>
      <c r="K751" s="4"/>
      <c r="L751" s="8">
        <v>26.469899999999999</v>
      </c>
      <c r="M751" s="8">
        <v>10.8962</v>
      </c>
      <c r="N751" s="8">
        <v>4.4660000000000002</v>
      </c>
      <c r="O751" s="8">
        <v>0.33789999999999998</v>
      </c>
      <c r="P751" s="8">
        <v>1.1676</v>
      </c>
      <c r="Q751" s="8">
        <v>17.782800000000002</v>
      </c>
      <c r="R751" s="8"/>
    </row>
    <row r="752" spans="1:18" ht="14.25" customHeight="1">
      <c r="A752" s="11">
        <v>64009</v>
      </c>
      <c r="B752" s="7">
        <f>CHOOSE( CONTROL!$C$37, 22.3765, 22.3754) * CHOOSE(CONTROL!$C$20, $D$12, 100%, $F$12)</f>
        <v>22.3765</v>
      </c>
      <c r="C752" s="7">
        <f>CHOOSE( CONTROL!$C$37, 22.3816, 22.3805) * CHOOSE(CONTROL!$C$20, $D$12, 100%, $F$12)</f>
        <v>22.381599999999999</v>
      </c>
      <c r="D752" s="7">
        <f>CHOOSE( CONTROL!$C$37, 22.374, 22.3729) * CHOOSE( CONTROL!$C$20, $D$12, 100%, $F$12)</f>
        <v>22.373999999999999</v>
      </c>
      <c r="E752" s="10">
        <f>CHOOSE( CONTROL!$C$37, 22.3762, 22.3751) * CHOOSE( CONTROL!$C$20, $D$12, 100%, $F$12)</f>
        <v>22.376200000000001</v>
      </c>
      <c r="F752" s="4">
        <f>CHOOSE( CONTROL!$C$37, 23.029, 23.0279) * CHOOSE(CONTROL!$C$20, $D$12, 100%, $F$12)</f>
        <v>23.029</v>
      </c>
      <c r="G752" s="7">
        <f>CHOOSE( CONTROL!$C$37, 22.1021, 22.101) * CHOOSE( CONTROL!$C$20, $D$12, 100%, $F$12)</f>
        <v>22.1021</v>
      </c>
      <c r="H752" s="4">
        <f>CHOOSE( CONTROL!$C$37, 22.9816, 22.9805) * CHOOSE(CONTROL!$C$20, $D$12, 100%, $F$12)</f>
        <v>22.9816</v>
      </c>
      <c r="I752" s="7">
        <f>CHOOSE( CONTROL!$C$37, 21.8447, 21.8436) * CHOOSE(CONTROL!$C$20, $D$12, 100%, $F$12)</f>
        <v>21.8447</v>
      </c>
      <c r="J752" s="4">
        <f>CHOOSE( CONTROL!$C$37, 21.6838, 21.6827) * CHOOSE(CONTROL!$C$20, $D$12, 100%, $F$12)</f>
        <v>21.683800000000002</v>
      </c>
      <c r="K752" s="4"/>
      <c r="L752" s="8">
        <v>29.306000000000001</v>
      </c>
      <c r="M752" s="8">
        <v>12.063700000000001</v>
      </c>
      <c r="N752" s="8">
        <v>4.9444999999999997</v>
      </c>
      <c r="O752" s="8">
        <v>0.37409999999999999</v>
      </c>
      <c r="P752" s="8">
        <v>1.2927</v>
      </c>
      <c r="Q752" s="8">
        <v>19.688099999999999</v>
      </c>
      <c r="R752" s="8"/>
    </row>
    <row r="753" spans="1:18" ht="14.25" customHeight="1">
      <c r="A753" s="11">
        <v>64039</v>
      </c>
      <c r="B753" s="7">
        <f>CHOOSE( CONTROL!$C$37, 22.7176, 22.7165) * CHOOSE(CONTROL!$C$20, $D$12, 100%, $F$12)</f>
        <v>22.717600000000001</v>
      </c>
      <c r="C753" s="7">
        <f>CHOOSE( CONTROL!$C$37, 22.7221, 22.721) * CHOOSE(CONTROL!$C$20, $D$12, 100%, $F$12)</f>
        <v>22.722100000000001</v>
      </c>
      <c r="D753" s="7">
        <f>CHOOSE( CONTROL!$C$37, 22.7339, 22.7329) * CHOOSE( CONTROL!$C$20, $D$12, 100%, $F$12)</f>
        <v>22.733899999999998</v>
      </c>
      <c r="E753" s="10">
        <f>CHOOSE( CONTROL!$C$37, 22.7295, 22.7285) * CHOOSE( CONTROL!$C$20, $D$12, 100%, $F$12)</f>
        <v>22.729500000000002</v>
      </c>
      <c r="F753" s="4">
        <f>CHOOSE( CONTROL!$C$37, 23.4442, 23.4431) * CHOOSE(CONTROL!$C$20, $D$12, 100%, $F$12)</f>
        <v>23.444199999999999</v>
      </c>
      <c r="G753" s="7">
        <f>CHOOSE( CONTROL!$C$37, 22.4459, 22.4449) * CHOOSE( CONTROL!$C$20, $D$12, 100%, $F$12)</f>
        <v>22.445900000000002</v>
      </c>
      <c r="H753" s="4">
        <f>CHOOSE( CONTROL!$C$37, 23.391, 23.3899) * CHOOSE(CONTROL!$C$20, $D$12, 100%, $F$12)</f>
        <v>23.390999999999998</v>
      </c>
      <c r="I753" s="7">
        <f>CHOOSE( CONTROL!$C$37, 22.147, 22.1459) * CHOOSE(CONTROL!$C$20, $D$12, 100%, $F$12)</f>
        <v>22.146999999999998</v>
      </c>
      <c r="J753" s="4">
        <f>CHOOSE( CONTROL!$C$37, 22.0134, 22.0123) * CHOOSE(CONTROL!$C$20, $D$12, 100%, $F$12)</f>
        <v>22.013400000000001</v>
      </c>
      <c r="K753" s="4"/>
      <c r="L753" s="8">
        <v>30.092199999999998</v>
      </c>
      <c r="M753" s="8">
        <v>11.6745</v>
      </c>
      <c r="N753" s="8">
        <v>4.7850000000000001</v>
      </c>
      <c r="O753" s="8">
        <v>0.36199999999999999</v>
      </c>
      <c r="P753" s="8">
        <v>1.2509999999999999</v>
      </c>
      <c r="Q753" s="8">
        <v>19.053000000000001</v>
      </c>
      <c r="R753" s="8"/>
    </row>
    <row r="754" spans="1:18" ht="14.25" customHeight="1">
      <c r="A754" s="11">
        <v>64070</v>
      </c>
      <c r="B754" s="7">
        <f>CHOOSE( CONTROL!$C$37, 23.3253, 23.3236) * CHOOSE(CONTROL!$C$20, $D$12, 100%, $F$12)</f>
        <v>23.325299999999999</v>
      </c>
      <c r="C754" s="7">
        <f>CHOOSE( CONTROL!$C$37, 23.3333, 23.3316) * CHOOSE(CONTROL!$C$20, $D$12, 100%, $F$12)</f>
        <v>23.333300000000001</v>
      </c>
      <c r="D754" s="7">
        <f>CHOOSE( CONTROL!$C$37, 23.3389, 23.3372) * CHOOSE( CONTROL!$C$20, $D$12, 100%, $F$12)</f>
        <v>23.338899999999999</v>
      </c>
      <c r="E754" s="10">
        <f>CHOOSE( CONTROL!$C$37, 23.3357, 23.334) * CHOOSE( CONTROL!$C$20, $D$12, 100%, $F$12)</f>
        <v>23.335699999999999</v>
      </c>
      <c r="F754" s="4">
        <f>CHOOSE( CONTROL!$C$37, 24.0505, 24.0489) * CHOOSE(CONTROL!$C$20, $D$12, 100%, $F$12)</f>
        <v>24.0505</v>
      </c>
      <c r="G754" s="7">
        <f>CHOOSE( CONTROL!$C$37, 23.0437, 23.0421) * CHOOSE( CONTROL!$C$20, $D$12, 100%, $F$12)</f>
        <v>23.043700000000001</v>
      </c>
      <c r="H754" s="4">
        <f>CHOOSE( CONTROL!$C$37, 23.9888, 23.9872) * CHOOSE(CONTROL!$C$20, $D$12, 100%, $F$12)</f>
        <v>23.988800000000001</v>
      </c>
      <c r="I754" s="7">
        <f>CHOOSE( CONTROL!$C$37, 22.7341, 22.7324) * CHOOSE(CONTROL!$C$20, $D$12, 100%, $F$12)</f>
        <v>22.734100000000002</v>
      </c>
      <c r="J754" s="4">
        <f>CHOOSE( CONTROL!$C$37, 22.6004, 22.5988) * CHOOSE(CONTROL!$C$20, $D$12, 100%, $F$12)</f>
        <v>22.6004</v>
      </c>
      <c r="K754" s="4"/>
      <c r="L754" s="8">
        <v>30.7165</v>
      </c>
      <c r="M754" s="8">
        <v>12.063700000000001</v>
      </c>
      <c r="N754" s="8">
        <v>4.9444999999999997</v>
      </c>
      <c r="O754" s="8">
        <v>0.37409999999999999</v>
      </c>
      <c r="P754" s="8">
        <v>1.2927</v>
      </c>
      <c r="Q754" s="8">
        <v>19.688099999999999</v>
      </c>
      <c r="R754" s="8"/>
    </row>
    <row r="755" spans="1:18" ht="14.25" customHeight="1">
      <c r="A755" s="11">
        <v>64100</v>
      </c>
      <c r="B755" s="7">
        <f>CHOOSE( CONTROL!$C$37, 22.95, 22.9484) * CHOOSE(CONTROL!$C$20, $D$12, 100%, $F$12)</f>
        <v>22.95</v>
      </c>
      <c r="C755" s="7">
        <f>CHOOSE( CONTROL!$C$37, 22.958, 22.9564) * CHOOSE(CONTROL!$C$20, $D$12, 100%, $F$12)</f>
        <v>22.957999999999998</v>
      </c>
      <c r="D755" s="7">
        <f>CHOOSE( CONTROL!$C$37, 22.9639, 22.9623) * CHOOSE( CONTROL!$C$20, $D$12, 100%, $F$12)</f>
        <v>22.963899999999999</v>
      </c>
      <c r="E755" s="10">
        <f>CHOOSE( CONTROL!$C$37, 22.9605, 22.9589) * CHOOSE( CONTROL!$C$20, $D$12, 100%, $F$12)</f>
        <v>22.9605</v>
      </c>
      <c r="F755" s="4">
        <f>CHOOSE( CONTROL!$C$37, 23.6753, 23.6736) * CHOOSE(CONTROL!$C$20, $D$12, 100%, $F$12)</f>
        <v>23.6753</v>
      </c>
      <c r="G755" s="7">
        <f>CHOOSE( CONTROL!$C$37, 22.674, 22.6723) * CHOOSE( CONTROL!$C$20, $D$12, 100%, $F$12)</f>
        <v>22.673999999999999</v>
      </c>
      <c r="H755" s="4">
        <f>CHOOSE( CONTROL!$C$37, 23.6189, 23.6172) * CHOOSE(CONTROL!$C$20, $D$12, 100%, $F$12)</f>
        <v>23.6189</v>
      </c>
      <c r="I755" s="7">
        <f>CHOOSE( CONTROL!$C$37, 22.3715, 22.3699) * CHOOSE(CONTROL!$C$20, $D$12, 100%, $F$12)</f>
        <v>22.371500000000001</v>
      </c>
      <c r="J755" s="4">
        <f>CHOOSE( CONTROL!$C$37, 22.2371, 22.2355) * CHOOSE(CONTROL!$C$20, $D$12, 100%, $F$12)</f>
        <v>22.237100000000002</v>
      </c>
      <c r="K755" s="4"/>
      <c r="L755" s="8">
        <v>29.7257</v>
      </c>
      <c r="M755" s="8">
        <v>11.6745</v>
      </c>
      <c r="N755" s="8">
        <v>4.7850000000000001</v>
      </c>
      <c r="O755" s="8">
        <v>0.36199999999999999</v>
      </c>
      <c r="P755" s="8">
        <v>1.2509999999999999</v>
      </c>
      <c r="Q755" s="8">
        <v>19.053000000000001</v>
      </c>
      <c r="R755" s="8"/>
    </row>
    <row r="756" spans="1:18" ht="14.25" customHeight="1">
      <c r="A756" s="11">
        <v>64131</v>
      </c>
      <c r="B756" s="7">
        <f>CHOOSE( CONTROL!$C$37, 23.9381, 23.9365) * CHOOSE(CONTROL!$C$20, $D$12, 100%, $F$12)</f>
        <v>23.938099999999999</v>
      </c>
      <c r="C756" s="7">
        <f>CHOOSE( CONTROL!$C$37, 23.9461, 23.9445) * CHOOSE(CONTROL!$C$20, $D$12, 100%, $F$12)</f>
        <v>23.946100000000001</v>
      </c>
      <c r="D756" s="7">
        <f>CHOOSE( CONTROL!$C$37, 23.9524, 23.9507) * CHOOSE( CONTROL!$C$20, $D$12, 100%, $F$12)</f>
        <v>23.952400000000001</v>
      </c>
      <c r="E756" s="10">
        <f>CHOOSE( CONTROL!$C$37, 23.9489, 23.9472) * CHOOSE( CONTROL!$C$20, $D$12, 100%, $F$12)</f>
        <v>23.948899999999998</v>
      </c>
      <c r="F756" s="4">
        <f>CHOOSE( CONTROL!$C$37, 24.6634, 24.6618) * CHOOSE(CONTROL!$C$20, $D$12, 100%, $F$12)</f>
        <v>24.663399999999999</v>
      </c>
      <c r="G756" s="7">
        <f>CHOOSE( CONTROL!$C$37, 23.6485, 23.6469) * CHOOSE( CONTROL!$C$20, $D$12, 100%, $F$12)</f>
        <v>23.648499999999999</v>
      </c>
      <c r="H756" s="4">
        <f>CHOOSE( CONTROL!$C$37, 24.5932, 24.5916) * CHOOSE(CONTROL!$C$20, $D$12, 100%, $F$12)</f>
        <v>24.5932</v>
      </c>
      <c r="I756" s="7">
        <f>CHOOSE( CONTROL!$C$37, 23.3298, 23.3282) * CHOOSE(CONTROL!$C$20, $D$12, 100%, $F$12)</f>
        <v>23.329799999999999</v>
      </c>
      <c r="J756" s="4">
        <f>CHOOSE( CONTROL!$C$37, 23.1939, 23.1923) * CHOOSE(CONTROL!$C$20, $D$12, 100%, $F$12)</f>
        <v>23.193899999999999</v>
      </c>
      <c r="K756" s="4"/>
      <c r="L756" s="8">
        <v>30.7165</v>
      </c>
      <c r="M756" s="8">
        <v>12.063700000000001</v>
      </c>
      <c r="N756" s="8">
        <v>4.9444999999999997</v>
      </c>
      <c r="O756" s="8">
        <v>0.37409999999999999</v>
      </c>
      <c r="P756" s="8">
        <v>1.2927</v>
      </c>
      <c r="Q756" s="8">
        <v>19.688099999999999</v>
      </c>
      <c r="R756" s="8"/>
    </row>
    <row r="757" spans="1:18" ht="14.25" customHeight="1">
      <c r="A757" s="11">
        <v>64162</v>
      </c>
      <c r="B757" s="7">
        <f>CHOOSE( CONTROL!$C$37, 22.0893, 22.0876) * CHOOSE(CONTROL!$C$20, $D$12, 100%, $F$12)</f>
        <v>22.089300000000001</v>
      </c>
      <c r="C757" s="7">
        <f>CHOOSE( CONTROL!$C$37, 22.0973, 22.0956) * CHOOSE(CONTROL!$C$20, $D$12, 100%, $F$12)</f>
        <v>22.097300000000001</v>
      </c>
      <c r="D757" s="7">
        <f>CHOOSE( CONTROL!$C$37, 22.1036, 22.1019) * CHOOSE( CONTROL!$C$20, $D$12, 100%, $F$12)</f>
        <v>22.1036</v>
      </c>
      <c r="E757" s="10">
        <f>CHOOSE( CONTROL!$C$37, 22.1001, 22.0984) * CHOOSE( CONTROL!$C$20, $D$12, 100%, $F$12)</f>
        <v>22.100100000000001</v>
      </c>
      <c r="F757" s="4">
        <f>CHOOSE( CONTROL!$C$37, 22.8145, 22.8129) * CHOOSE(CONTROL!$C$20, $D$12, 100%, $F$12)</f>
        <v>22.814499999999999</v>
      </c>
      <c r="G757" s="7">
        <f>CHOOSE( CONTROL!$C$37, 21.8255, 21.8239) * CHOOSE( CONTROL!$C$20, $D$12, 100%, $F$12)</f>
        <v>21.825500000000002</v>
      </c>
      <c r="H757" s="4">
        <f>CHOOSE( CONTROL!$C$37, 22.7701, 22.7685) * CHOOSE(CONTROL!$C$20, $D$12, 100%, $F$12)</f>
        <v>22.770099999999999</v>
      </c>
      <c r="I757" s="7">
        <f>CHOOSE( CONTROL!$C$37, 21.5389, 21.5373) * CHOOSE(CONTROL!$C$20, $D$12, 100%, $F$12)</f>
        <v>21.538900000000002</v>
      </c>
      <c r="J757" s="4">
        <f>CHOOSE( CONTROL!$C$37, 21.4036, 21.402) * CHOOSE(CONTROL!$C$20, $D$12, 100%, $F$12)</f>
        <v>21.403600000000001</v>
      </c>
      <c r="K757" s="4"/>
      <c r="L757" s="8">
        <v>30.7165</v>
      </c>
      <c r="M757" s="8">
        <v>12.063700000000001</v>
      </c>
      <c r="N757" s="8">
        <v>4.9444999999999997</v>
      </c>
      <c r="O757" s="8">
        <v>0.37409999999999999</v>
      </c>
      <c r="P757" s="8">
        <v>1.2927</v>
      </c>
      <c r="Q757" s="8">
        <v>19.688099999999999</v>
      </c>
      <c r="R757" s="8"/>
    </row>
    <row r="758" spans="1:18" ht="14.25" customHeight="1">
      <c r="A758" s="11">
        <v>64192</v>
      </c>
      <c r="B758" s="7">
        <f>CHOOSE( CONTROL!$C$37, 21.6263, 21.6246) * CHOOSE(CONTROL!$C$20, $D$12, 100%, $F$12)</f>
        <v>21.626300000000001</v>
      </c>
      <c r="C758" s="7">
        <f>CHOOSE( CONTROL!$C$37, 21.6343, 21.6326) * CHOOSE(CONTROL!$C$20, $D$12, 100%, $F$12)</f>
        <v>21.6343</v>
      </c>
      <c r="D758" s="7">
        <f>CHOOSE( CONTROL!$C$37, 21.6405, 21.6388) * CHOOSE( CONTROL!$C$20, $D$12, 100%, $F$12)</f>
        <v>21.640499999999999</v>
      </c>
      <c r="E758" s="10">
        <f>CHOOSE( CONTROL!$C$37, 21.637, 21.6353) * CHOOSE( CONTROL!$C$20, $D$12, 100%, $F$12)</f>
        <v>21.637</v>
      </c>
      <c r="F758" s="4">
        <f>CHOOSE( CONTROL!$C$37, 22.3516, 22.3499) * CHOOSE(CONTROL!$C$20, $D$12, 100%, $F$12)</f>
        <v>22.351600000000001</v>
      </c>
      <c r="G758" s="7">
        <f>CHOOSE( CONTROL!$C$37, 21.3689, 21.3673) * CHOOSE( CONTROL!$C$20, $D$12, 100%, $F$12)</f>
        <v>21.3689</v>
      </c>
      <c r="H758" s="4">
        <f>CHOOSE( CONTROL!$C$37, 22.3136, 22.3119) * CHOOSE(CONTROL!$C$20, $D$12, 100%, $F$12)</f>
        <v>22.313600000000001</v>
      </c>
      <c r="I758" s="7">
        <f>CHOOSE( CONTROL!$C$37, 21.09, 21.0884) * CHOOSE(CONTROL!$C$20, $D$12, 100%, $F$12)</f>
        <v>21.09</v>
      </c>
      <c r="J758" s="4">
        <f>CHOOSE( CONTROL!$C$37, 20.9553, 20.9537) * CHOOSE(CONTROL!$C$20, $D$12, 100%, $F$12)</f>
        <v>20.955300000000001</v>
      </c>
      <c r="K758" s="4"/>
      <c r="L758" s="8">
        <v>29.7257</v>
      </c>
      <c r="M758" s="8">
        <v>11.6745</v>
      </c>
      <c r="N758" s="8">
        <v>4.7850000000000001</v>
      </c>
      <c r="O758" s="8">
        <v>0.36199999999999999</v>
      </c>
      <c r="P758" s="8">
        <v>1.2509999999999999</v>
      </c>
      <c r="Q758" s="8">
        <v>19.053000000000001</v>
      </c>
      <c r="R758" s="8"/>
    </row>
    <row r="759" spans="1:18" ht="14.25" customHeight="1">
      <c r="A759" s="11">
        <v>64223</v>
      </c>
      <c r="B759" s="7">
        <f>CHOOSE( CONTROL!$C$37, 22.5853, 22.5842) * CHOOSE(CONTROL!$C$20, $D$12, 100%, $F$12)</f>
        <v>22.5853</v>
      </c>
      <c r="C759" s="7">
        <f>CHOOSE( CONTROL!$C$37, 22.5906, 22.5896) * CHOOSE(CONTROL!$C$20, $D$12, 100%, $F$12)</f>
        <v>22.590599999999998</v>
      </c>
      <c r="D759" s="7">
        <f>CHOOSE( CONTROL!$C$37, 22.6027, 22.6016) * CHOOSE( CONTROL!$C$20, $D$12, 100%, $F$12)</f>
        <v>22.602699999999999</v>
      </c>
      <c r="E759" s="10">
        <f>CHOOSE( CONTROL!$C$37, 22.5981, 22.5971) * CHOOSE( CONTROL!$C$20, $D$12, 100%, $F$12)</f>
        <v>22.598099999999999</v>
      </c>
      <c r="F759" s="4">
        <f>CHOOSE( CONTROL!$C$37, 23.3123, 23.3112) * CHOOSE(CONTROL!$C$20, $D$12, 100%, $F$12)</f>
        <v>23.3123</v>
      </c>
      <c r="G759" s="7">
        <f>CHOOSE( CONTROL!$C$37, 22.3164, 22.3153) * CHOOSE( CONTROL!$C$20, $D$12, 100%, $F$12)</f>
        <v>22.316400000000002</v>
      </c>
      <c r="H759" s="4">
        <f>CHOOSE( CONTROL!$C$37, 23.2609, 23.2598) * CHOOSE(CONTROL!$C$20, $D$12, 100%, $F$12)</f>
        <v>23.260899999999999</v>
      </c>
      <c r="I759" s="7">
        <f>CHOOSE( CONTROL!$C$37, 22.0214, 22.0204) * CHOOSE(CONTROL!$C$20, $D$12, 100%, $F$12)</f>
        <v>22.0214</v>
      </c>
      <c r="J759" s="4">
        <f>CHOOSE( CONTROL!$C$37, 21.8856, 21.8845) * CHOOSE(CONTROL!$C$20, $D$12, 100%, $F$12)</f>
        <v>21.8856</v>
      </c>
      <c r="K759" s="4"/>
      <c r="L759" s="8">
        <v>31.095300000000002</v>
      </c>
      <c r="M759" s="8">
        <v>12.063700000000001</v>
      </c>
      <c r="N759" s="8">
        <v>4.9444999999999997</v>
      </c>
      <c r="O759" s="8">
        <v>0.37409999999999999</v>
      </c>
      <c r="P759" s="8">
        <v>1.2927</v>
      </c>
      <c r="Q759" s="8">
        <v>19.688099999999999</v>
      </c>
      <c r="R759" s="8"/>
    </row>
    <row r="760" spans="1:18" ht="14.25" customHeight="1">
      <c r="A760" s="11">
        <v>64253</v>
      </c>
      <c r="B760" s="7">
        <f>CHOOSE( CONTROL!$C$37, 24.3593, 24.3582) * CHOOSE(CONTROL!$C$20, $D$12, 100%, $F$12)</f>
        <v>24.359300000000001</v>
      </c>
      <c r="C760" s="7">
        <f>CHOOSE( CONTROL!$C$37, 24.3644, 24.3633) * CHOOSE(CONTROL!$C$20, $D$12, 100%, $F$12)</f>
        <v>24.3644</v>
      </c>
      <c r="D760" s="7">
        <f>CHOOSE( CONTROL!$C$37, 24.3428, 24.3417) * CHOOSE( CONTROL!$C$20, $D$12, 100%, $F$12)</f>
        <v>24.3428</v>
      </c>
      <c r="E760" s="10">
        <f>CHOOSE( CONTROL!$C$37, 24.3502, 24.3491) * CHOOSE( CONTROL!$C$20, $D$12, 100%, $F$12)</f>
        <v>24.350200000000001</v>
      </c>
      <c r="F760" s="4">
        <f>CHOOSE( CONTROL!$C$37, 25.0118, 25.0107) * CHOOSE(CONTROL!$C$20, $D$12, 100%, $F$12)</f>
        <v>25.011800000000001</v>
      </c>
      <c r="G760" s="7">
        <f>CHOOSE( CONTROL!$C$37, 24.0521, 24.051) * CHOOSE( CONTROL!$C$20, $D$12, 100%, $F$12)</f>
        <v>24.052099999999999</v>
      </c>
      <c r="H760" s="4">
        <f>CHOOSE( CONTROL!$C$37, 24.9367, 24.9356) * CHOOSE(CONTROL!$C$20, $D$12, 100%, $F$12)</f>
        <v>24.936699999999998</v>
      </c>
      <c r="I760" s="7">
        <f>CHOOSE( CONTROL!$C$37, 23.7916, 23.7905) * CHOOSE(CONTROL!$C$20, $D$12, 100%, $F$12)</f>
        <v>23.791599999999999</v>
      </c>
      <c r="J760" s="4">
        <f>CHOOSE( CONTROL!$C$37, 23.6037, 23.6027) * CHOOSE(CONTROL!$C$20, $D$12, 100%, $F$12)</f>
        <v>23.6037</v>
      </c>
      <c r="K760" s="4"/>
      <c r="L760" s="8">
        <v>28.360600000000002</v>
      </c>
      <c r="M760" s="8">
        <v>11.6745</v>
      </c>
      <c r="N760" s="8">
        <v>4.7850000000000001</v>
      </c>
      <c r="O760" s="8">
        <v>0.36199999999999999</v>
      </c>
      <c r="P760" s="8">
        <v>1.2509999999999999</v>
      </c>
      <c r="Q760" s="8">
        <v>19.053000000000001</v>
      </c>
      <c r="R760" s="8"/>
    </row>
    <row r="761" spans="1:18" ht="14.25" customHeight="1">
      <c r="A761" s="11">
        <v>64284</v>
      </c>
      <c r="B761" s="7">
        <f>CHOOSE( CONTROL!$C$37, 24.3149, 24.3139) * CHOOSE(CONTROL!$C$20, $D$12, 100%, $F$12)</f>
        <v>24.314900000000002</v>
      </c>
      <c r="C761" s="7">
        <f>CHOOSE( CONTROL!$C$37, 24.32, 24.319) * CHOOSE(CONTROL!$C$20, $D$12, 100%, $F$12)</f>
        <v>24.32</v>
      </c>
      <c r="D761" s="7">
        <f>CHOOSE( CONTROL!$C$37, 24.3001, 24.299) * CHOOSE( CONTROL!$C$20, $D$12, 100%, $F$12)</f>
        <v>24.3001</v>
      </c>
      <c r="E761" s="10">
        <f>CHOOSE( CONTROL!$C$37, 24.3068, 24.3058) * CHOOSE( CONTROL!$C$20, $D$12, 100%, $F$12)</f>
        <v>24.306799999999999</v>
      </c>
      <c r="F761" s="4">
        <f>CHOOSE( CONTROL!$C$37, 24.9675, 24.9664) * CHOOSE(CONTROL!$C$20, $D$12, 100%, $F$12)</f>
        <v>24.967500000000001</v>
      </c>
      <c r="G761" s="7">
        <f>CHOOSE( CONTROL!$C$37, 24.0095, 24.0084) * CHOOSE( CONTROL!$C$20, $D$12, 100%, $F$12)</f>
        <v>24.009499999999999</v>
      </c>
      <c r="H761" s="4">
        <f>CHOOSE( CONTROL!$C$37, 24.893, 24.8919) * CHOOSE(CONTROL!$C$20, $D$12, 100%, $F$12)</f>
        <v>24.893000000000001</v>
      </c>
      <c r="I761" s="7">
        <f>CHOOSE( CONTROL!$C$37, 23.7535, 23.7525) * CHOOSE(CONTROL!$C$20, $D$12, 100%, $F$12)</f>
        <v>23.753499999999999</v>
      </c>
      <c r="J761" s="4">
        <f>CHOOSE( CONTROL!$C$37, 23.5608, 23.5598) * CHOOSE(CONTROL!$C$20, $D$12, 100%, $F$12)</f>
        <v>23.5608</v>
      </c>
      <c r="K761" s="4"/>
      <c r="L761" s="8">
        <v>29.306000000000001</v>
      </c>
      <c r="M761" s="8">
        <v>12.063700000000001</v>
      </c>
      <c r="N761" s="8">
        <v>4.9444999999999997</v>
      </c>
      <c r="O761" s="8">
        <v>0.37409999999999999</v>
      </c>
      <c r="P761" s="8">
        <v>1.2927</v>
      </c>
      <c r="Q761" s="8">
        <v>19.688099999999999</v>
      </c>
      <c r="R761" s="8"/>
    </row>
    <row r="762" spans="1:18" ht="14.25" customHeight="1">
      <c r="A762" s="11">
        <v>64315</v>
      </c>
      <c r="B762" s="7">
        <f>CHOOSE( CONTROL!$C$37, 25.0326, 25.0315) * CHOOSE(CONTROL!$C$20, $D$12, 100%, $F$12)</f>
        <v>25.032599999999999</v>
      </c>
      <c r="C762" s="7">
        <f>CHOOSE( CONTROL!$C$37, 25.0377, 25.0366) * CHOOSE(CONTROL!$C$20, $D$12, 100%, $F$12)</f>
        <v>25.037700000000001</v>
      </c>
      <c r="D762" s="7">
        <f>CHOOSE( CONTROL!$C$37, 25.0308, 25.0297) * CHOOSE( CONTROL!$C$20, $D$12, 100%, $F$12)</f>
        <v>25.030799999999999</v>
      </c>
      <c r="E762" s="10">
        <f>CHOOSE( CONTROL!$C$37, 25.0328, 25.0317) * CHOOSE( CONTROL!$C$20, $D$12, 100%, $F$12)</f>
        <v>25.032800000000002</v>
      </c>
      <c r="F762" s="4">
        <f>CHOOSE( CONTROL!$C$37, 25.6852, 25.6841) * CHOOSE(CONTROL!$C$20, $D$12, 100%, $F$12)</f>
        <v>25.685199999999998</v>
      </c>
      <c r="G762" s="7">
        <f>CHOOSE( CONTROL!$C$37, 24.7217, 24.7206) * CHOOSE( CONTROL!$C$20, $D$12, 100%, $F$12)</f>
        <v>24.721699999999998</v>
      </c>
      <c r="H762" s="4">
        <f>CHOOSE( CONTROL!$C$37, 25.6007, 25.5996) * CHOOSE(CONTROL!$C$20, $D$12, 100%, $F$12)</f>
        <v>25.6007</v>
      </c>
      <c r="I762" s="7">
        <f>CHOOSE( CONTROL!$C$37, 24.4201, 24.419) * CHOOSE(CONTROL!$C$20, $D$12, 100%, $F$12)</f>
        <v>24.420100000000001</v>
      </c>
      <c r="J762" s="4">
        <f>CHOOSE( CONTROL!$C$37, 24.2557, 24.2547) * CHOOSE(CONTROL!$C$20, $D$12, 100%, $F$12)</f>
        <v>24.255700000000001</v>
      </c>
      <c r="K762" s="4"/>
      <c r="L762" s="8">
        <v>29.306000000000001</v>
      </c>
      <c r="M762" s="8">
        <v>12.063700000000001</v>
      </c>
      <c r="N762" s="8">
        <v>4.9444999999999997</v>
      </c>
      <c r="O762" s="8">
        <v>0.37409999999999999</v>
      </c>
      <c r="P762" s="8">
        <v>1.2927</v>
      </c>
      <c r="Q762" s="8">
        <v>19.688099999999999</v>
      </c>
      <c r="R762" s="8"/>
    </row>
    <row r="763" spans="1:18" ht="14.25" customHeight="1">
      <c r="A763" s="11">
        <v>64344</v>
      </c>
      <c r="B763" s="7">
        <f>CHOOSE( CONTROL!$C$37, 23.4133, 23.4122) * CHOOSE(CONTROL!$C$20, $D$12, 100%, $F$12)</f>
        <v>23.4133</v>
      </c>
      <c r="C763" s="7">
        <f>CHOOSE( CONTROL!$C$37, 23.4184, 23.4173) * CHOOSE(CONTROL!$C$20, $D$12, 100%, $F$12)</f>
        <v>23.418399999999998</v>
      </c>
      <c r="D763" s="7">
        <f>CHOOSE( CONTROL!$C$37, 23.4114, 23.4103) * CHOOSE( CONTROL!$C$20, $D$12, 100%, $F$12)</f>
        <v>23.4114</v>
      </c>
      <c r="E763" s="10">
        <f>CHOOSE( CONTROL!$C$37, 23.4134, 23.4123) * CHOOSE( CONTROL!$C$20, $D$12, 100%, $F$12)</f>
        <v>23.413399999999999</v>
      </c>
      <c r="F763" s="4">
        <f>CHOOSE( CONTROL!$C$37, 24.0658, 24.0647) * CHOOSE(CONTROL!$C$20, $D$12, 100%, $F$12)</f>
        <v>24.065799999999999</v>
      </c>
      <c r="G763" s="7">
        <f>CHOOSE( CONTROL!$C$37, 23.1249, 23.1238) * CHOOSE( CONTROL!$C$20, $D$12, 100%, $F$12)</f>
        <v>23.1249</v>
      </c>
      <c r="H763" s="4">
        <f>CHOOSE( CONTROL!$C$37, 24.0039, 24.0028) * CHOOSE(CONTROL!$C$20, $D$12, 100%, $F$12)</f>
        <v>24.003900000000002</v>
      </c>
      <c r="I763" s="7">
        <f>CHOOSE( CONTROL!$C$37, 22.851, 22.85) * CHOOSE(CONTROL!$C$20, $D$12, 100%, $F$12)</f>
        <v>22.850999999999999</v>
      </c>
      <c r="J763" s="4">
        <f>CHOOSE( CONTROL!$C$37, 22.6877, 22.6867) * CHOOSE(CONTROL!$C$20, $D$12, 100%, $F$12)</f>
        <v>22.6877</v>
      </c>
      <c r="K763" s="4"/>
      <c r="L763" s="8">
        <v>27.415299999999998</v>
      </c>
      <c r="M763" s="8">
        <v>11.285299999999999</v>
      </c>
      <c r="N763" s="8">
        <v>4.6254999999999997</v>
      </c>
      <c r="O763" s="8">
        <v>0.34989999999999999</v>
      </c>
      <c r="P763" s="8">
        <v>1.2093</v>
      </c>
      <c r="Q763" s="8">
        <v>18.417899999999999</v>
      </c>
      <c r="R763" s="8"/>
    </row>
    <row r="764" spans="1:18" ht="14.25" customHeight="1">
      <c r="A764" s="11">
        <v>64375</v>
      </c>
      <c r="B764" s="7">
        <f>CHOOSE( CONTROL!$C$37, 22.9145, 22.9134) * CHOOSE(CONTROL!$C$20, $D$12, 100%, $F$12)</f>
        <v>22.9145</v>
      </c>
      <c r="C764" s="7">
        <f>CHOOSE( CONTROL!$C$37, 22.9196, 22.9185) * CHOOSE(CONTROL!$C$20, $D$12, 100%, $F$12)</f>
        <v>22.919599999999999</v>
      </c>
      <c r="D764" s="7">
        <f>CHOOSE( CONTROL!$C$37, 22.912, 22.9109) * CHOOSE( CONTROL!$C$20, $D$12, 100%, $F$12)</f>
        <v>22.911999999999999</v>
      </c>
      <c r="E764" s="10">
        <f>CHOOSE( CONTROL!$C$37, 22.9142, 22.9131) * CHOOSE( CONTROL!$C$20, $D$12, 100%, $F$12)</f>
        <v>22.914200000000001</v>
      </c>
      <c r="F764" s="4">
        <f>CHOOSE( CONTROL!$C$37, 23.5671, 23.566) * CHOOSE(CONTROL!$C$20, $D$12, 100%, $F$12)</f>
        <v>23.5671</v>
      </c>
      <c r="G764" s="7">
        <f>CHOOSE( CONTROL!$C$37, 22.6326, 22.6316) * CHOOSE( CONTROL!$C$20, $D$12, 100%, $F$12)</f>
        <v>22.6326</v>
      </c>
      <c r="H764" s="4">
        <f>CHOOSE( CONTROL!$C$37, 23.5121, 23.511) * CHOOSE(CONTROL!$C$20, $D$12, 100%, $F$12)</f>
        <v>23.5121</v>
      </c>
      <c r="I764" s="7">
        <f>CHOOSE( CONTROL!$C$37, 22.3659, 22.3649) * CHOOSE(CONTROL!$C$20, $D$12, 100%, $F$12)</f>
        <v>22.3659</v>
      </c>
      <c r="J764" s="4">
        <f>CHOOSE( CONTROL!$C$37, 22.2048, 22.2037) * CHOOSE(CONTROL!$C$20, $D$12, 100%, $F$12)</f>
        <v>22.204799999999999</v>
      </c>
      <c r="K764" s="4"/>
      <c r="L764" s="8">
        <v>29.306000000000001</v>
      </c>
      <c r="M764" s="8">
        <v>12.063700000000001</v>
      </c>
      <c r="N764" s="8">
        <v>4.9444999999999997</v>
      </c>
      <c r="O764" s="8">
        <v>0.37409999999999999</v>
      </c>
      <c r="P764" s="8">
        <v>1.2927</v>
      </c>
      <c r="Q764" s="8">
        <v>19.688099999999999</v>
      </c>
      <c r="R764" s="8"/>
    </row>
    <row r="765" spans="1:18" ht="14.25" customHeight="1">
      <c r="A765" s="11">
        <v>64405</v>
      </c>
      <c r="B765" s="7">
        <f>CHOOSE( CONTROL!$C$37, 23.2638, 23.2627) * CHOOSE(CONTROL!$C$20, $D$12, 100%, $F$12)</f>
        <v>23.2638</v>
      </c>
      <c r="C765" s="7">
        <f>CHOOSE( CONTROL!$C$37, 23.2683, 23.2672) * CHOOSE(CONTROL!$C$20, $D$12, 100%, $F$12)</f>
        <v>23.2683</v>
      </c>
      <c r="D765" s="7">
        <f>CHOOSE( CONTROL!$C$37, 23.2802, 23.2791) * CHOOSE( CONTROL!$C$20, $D$12, 100%, $F$12)</f>
        <v>23.280200000000001</v>
      </c>
      <c r="E765" s="10">
        <f>CHOOSE( CONTROL!$C$37, 23.2758, 23.2747) * CHOOSE( CONTROL!$C$20, $D$12, 100%, $F$12)</f>
        <v>23.2758</v>
      </c>
      <c r="F765" s="4">
        <f>CHOOSE( CONTROL!$C$37, 23.9904, 23.9894) * CHOOSE(CONTROL!$C$20, $D$12, 100%, $F$12)</f>
        <v>23.990400000000001</v>
      </c>
      <c r="G765" s="7">
        <f>CHOOSE( CONTROL!$C$37, 22.9845, 22.9835) * CHOOSE( CONTROL!$C$20, $D$12, 100%, $F$12)</f>
        <v>22.984500000000001</v>
      </c>
      <c r="H765" s="4">
        <f>CHOOSE( CONTROL!$C$37, 23.9296, 23.9285) * CHOOSE(CONTROL!$C$20, $D$12, 100%, $F$12)</f>
        <v>23.929600000000001</v>
      </c>
      <c r="I765" s="7">
        <f>CHOOSE( CONTROL!$C$37, 22.6761, 22.6751) * CHOOSE(CONTROL!$C$20, $D$12, 100%, $F$12)</f>
        <v>22.676100000000002</v>
      </c>
      <c r="J765" s="4">
        <f>CHOOSE( CONTROL!$C$37, 22.5423, 22.5412) * CHOOSE(CONTROL!$C$20, $D$12, 100%, $F$12)</f>
        <v>22.542300000000001</v>
      </c>
      <c r="K765" s="4"/>
      <c r="L765" s="8">
        <v>30.092199999999998</v>
      </c>
      <c r="M765" s="8">
        <v>11.6745</v>
      </c>
      <c r="N765" s="8">
        <v>4.7850000000000001</v>
      </c>
      <c r="O765" s="8">
        <v>0.36199999999999999</v>
      </c>
      <c r="P765" s="8">
        <v>1.2509999999999999</v>
      </c>
      <c r="Q765" s="8">
        <v>19.053000000000001</v>
      </c>
      <c r="R765" s="8"/>
    </row>
    <row r="766" spans="1:18" ht="14.25" customHeight="1">
      <c r="A766" s="11">
        <v>64436</v>
      </c>
      <c r="B766" s="7">
        <f>CHOOSE( CONTROL!$C$37, 23.886, 23.8844) * CHOOSE(CONTROL!$C$20, $D$12, 100%, $F$12)</f>
        <v>23.885999999999999</v>
      </c>
      <c r="C766" s="7">
        <f>CHOOSE( CONTROL!$C$37, 23.894, 23.8924) * CHOOSE(CONTROL!$C$20, $D$12, 100%, $F$12)</f>
        <v>23.893999999999998</v>
      </c>
      <c r="D766" s="7">
        <f>CHOOSE( CONTROL!$C$37, 23.8997, 23.898) * CHOOSE( CONTROL!$C$20, $D$12, 100%, $F$12)</f>
        <v>23.899699999999999</v>
      </c>
      <c r="E766" s="10">
        <f>CHOOSE( CONTROL!$C$37, 23.8964, 23.8948) * CHOOSE( CONTROL!$C$20, $D$12, 100%, $F$12)</f>
        <v>23.8964</v>
      </c>
      <c r="F766" s="4">
        <f>CHOOSE( CONTROL!$C$37, 24.6113, 24.6096) * CHOOSE(CONTROL!$C$20, $D$12, 100%, $F$12)</f>
        <v>24.6113</v>
      </c>
      <c r="G766" s="7">
        <f>CHOOSE( CONTROL!$C$37, 23.5967, 23.5951) * CHOOSE( CONTROL!$C$20, $D$12, 100%, $F$12)</f>
        <v>23.596699999999998</v>
      </c>
      <c r="H766" s="4">
        <f>CHOOSE( CONTROL!$C$37, 24.5418, 24.5402) * CHOOSE(CONTROL!$C$20, $D$12, 100%, $F$12)</f>
        <v>24.541799999999999</v>
      </c>
      <c r="I766" s="7">
        <f>CHOOSE( CONTROL!$C$37, 23.2773, 23.2757) * CHOOSE(CONTROL!$C$20, $D$12, 100%, $F$12)</f>
        <v>23.2773</v>
      </c>
      <c r="J766" s="4">
        <f>CHOOSE( CONTROL!$C$37, 23.1434, 23.1418) * CHOOSE(CONTROL!$C$20, $D$12, 100%, $F$12)</f>
        <v>23.1434</v>
      </c>
      <c r="K766" s="4"/>
      <c r="L766" s="8">
        <v>30.7165</v>
      </c>
      <c r="M766" s="8">
        <v>12.063700000000001</v>
      </c>
      <c r="N766" s="8">
        <v>4.9444999999999997</v>
      </c>
      <c r="O766" s="8">
        <v>0.37409999999999999</v>
      </c>
      <c r="P766" s="8">
        <v>1.2927</v>
      </c>
      <c r="Q766" s="8">
        <v>19.688099999999999</v>
      </c>
      <c r="R766" s="8"/>
    </row>
    <row r="767" spans="1:18" ht="14.25" customHeight="1">
      <c r="A767" s="11">
        <v>64466</v>
      </c>
      <c r="B767" s="7">
        <f>CHOOSE( CONTROL!$C$37, 23.5018, 23.5001) * CHOOSE(CONTROL!$C$20, $D$12, 100%, $F$12)</f>
        <v>23.501799999999999</v>
      </c>
      <c r="C767" s="7">
        <f>CHOOSE( CONTROL!$C$37, 23.5098, 23.5081) * CHOOSE(CONTROL!$C$20, $D$12, 100%, $F$12)</f>
        <v>23.509799999999998</v>
      </c>
      <c r="D767" s="7">
        <f>CHOOSE( CONTROL!$C$37, 23.5157, 23.514) * CHOOSE( CONTROL!$C$20, $D$12, 100%, $F$12)</f>
        <v>23.515699999999999</v>
      </c>
      <c r="E767" s="10">
        <f>CHOOSE( CONTROL!$C$37, 23.5123, 23.5106) * CHOOSE( CONTROL!$C$20, $D$12, 100%, $F$12)</f>
        <v>23.5123</v>
      </c>
      <c r="F767" s="4">
        <f>CHOOSE( CONTROL!$C$37, 24.2271, 24.2254) * CHOOSE(CONTROL!$C$20, $D$12, 100%, $F$12)</f>
        <v>24.2271</v>
      </c>
      <c r="G767" s="7">
        <f>CHOOSE( CONTROL!$C$37, 23.218, 23.2164) * CHOOSE( CONTROL!$C$20, $D$12, 100%, $F$12)</f>
        <v>23.218</v>
      </c>
      <c r="H767" s="4">
        <f>CHOOSE( CONTROL!$C$37, 24.1629, 24.1613) * CHOOSE(CONTROL!$C$20, $D$12, 100%, $F$12)</f>
        <v>24.1629</v>
      </c>
      <c r="I767" s="7">
        <f>CHOOSE( CONTROL!$C$37, 22.906, 22.9044) * CHOOSE(CONTROL!$C$20, $D$12, 100%, $F$12)</f>
        <v>22.905999999999999</v>
      </c>
      <c r="J767" s="4">
        <f>CHOOSE( CONTROL!$C$37, 22.7714, 22.7698) * CHOOSE(CONTROL!$C$20, $D$12, 100%, $F$12)</f>
        <v>22.7714</v>
      </c>
      <c r="K767" s="4"/>
      <c r="L767" s="8">
        <v>29.7257</v>
      </c>
      <c r="M767" s="8">
        <v>11.6745</v>
      </c>
      <c r="N767" s="8">
        <v>4.7850000000000001</v>
      </c>
      <c r="O767" s="8">
        <v>0.36199999999999999</v>
      </c>
      <c r="P767" s="8">
        <v>1.2509999999999999</v>
      </c>
      <c r="Q767" s="8">
        <v>19.053000000000001</v>
      </c>
      <c r="R767" s="8"/>
    </row>
    <row r="768" spans="1:18" ht="14.25" customHeight="1">
      <c r="A768" s="11">
        <v>64497</v>
      </c>
      <c r="B768" s="7">
        <f>CHOOSE( CONTROL!$C$37, 24.5136, 24.512) * CHOOSE(CONTROL!$C$20, $D$12, 100%, $F$12)</f>
        <v>24.5136</v>
      </c>
      <c r="C768" s="7">
        <f>CHOOSE( CONTROL!$C$37, 24.5216, 24.52) * CHOOSE(CONTROL!$C$20, $D$12, 100%, $F$12)</f>
        <v>24.521599999999999</v>
      </c>
      <c r="D768" s="7">
        <f>CHOOSE( CONTROL!$C$37, 24.5279, 24.5262) * CHOOSE( CONTROL!$C$20, $D$12, 100%, $F$12)</f>
        <v>24.527899999999999</v>
      </c>
      <c r="E768" s="10">
        <f>CHOOSE( CONTROL!$C$37, 24.5244, 24.5227) * CHOOSE( CONTROL!$C$20, $D$12, 100%, $F$12)</f>
        <v>24.5244</v>
      </c>
      <c r="F768" s="4">
        <f>CHOOSE( CONTROL!$C$37, 25.2389, 25.2373) * CHOOSE(CONTROL!$C$20, $D$12, 100%, $F$12)</f>
        <v>25.238900000000001</v>
      </c>
      <c r="G768" s="7">
        <f>CHOOSE( CONTROL!$C$37, 24.216, 24.2144) * CHOOSE( CONTROL!$C$20, $D$12, 100%, $F$12)</f>
        <v>24.216000000000001</v>
      </c>
      <c r="H768" s="4">
        <f>CHOOSE( CONTROL!$C$37, 25.1607, 25.159) * CHOOSE(CONTROL!$C$20, $D$12, 100%, $F$12)</f>
        <v>25.160699999999999</v>
      </c>
      <c r="I768" s="7">
        <f>CHOOSE( CONTROL!$C$37, 23.8873, 23.8857) * CHOOSE(CONTROL!$C$20, $D$12, 100%, $F$12)</f>
        <v>23.8873</v>
      </c>
      <c r="J768" s="4">
        <f>CHOOSE( CONTROL!$C$37, 23.7512, 23.7495) * CHOOSE(CONTROL!$C$20, $D$12, 100%, $F$12)</f>
        <v>23.751200000000001</v>
      </c>
      <c r="K768" s="4"/>
      <c r="L768" s="8">
        <v>30.7165</v>
      </c>
      <c r="M768" s="8">
        <v>12.063700000000001</v>
      </c>
      <c r="N768" s="8">
        <v>4.9444999999999997</v>
      </c>
      <c r="O768" s="8">
        <v>0.37409999999999999</v>
      </c>
      <c r="P768" s="8">
        <v>1.2927</v>
      </c>
      <c r="Q768" s="8">
        <v>19.688099999999999</v>
      </c>
      <c r="R768" s="8"/>
    </row>
    <row r="769" spans="1:18" ht="14.25" customHeight="1">
      <c r="A769" s="11">
        <v>64528</v>
      </c>
      <c r="B769" s="7">
        <f>CHOOSE( CONTROL!$C$37, 22.6203, 22.6187) * CHOOSE(CONTROL!$C$20, $D$12, 100%, $F$12)</f>
        <v>22.6203</v>
      </c>
      <c r="C769" s="7">
        <f>CHOOSE( CONTROL!$C$37, 22.6283, 22.6267) * CHOOSE(CONTROL!$C$20, $D$12, 100%, $F$12)</f>
        <v>22.628299999999999</v>
      </c>
      <c r="D769" s="7">
        <f>CHOOSE( CONTROL!$C$37, 22.6346, 22.633) * CHOOSE( CONTROL!$C$20, $D$12, 100%, $F$12)</f>
        <v>22.634599999999999</v>
      </c>
      <c r="E769" s="10">
        <f>CHOOSE( CONTROL!$C$37, 22.6311, 22.6295) * CHOOSE( CONTROL!$C$20, $D$12, 100%, $F$12)</f>
        <v>22.6311</v>
      </c>
      <c r="F769" s="4">
        <f>CHOOSE( CONTROL!$C$37, 23.3456, 23.344) * CHOOSE(CONTROL!$C$20, $D$12, 100%, $F$12)</f>
        <v>23.345600000000001</v>
      </c>
      <c r="G769" s="7">
        <f>CHOOSE( CONTROL!$C$37, 22.3492, 22.3475) * CHOOSE( CONTROL!$C$20, $D$12, 100%, $F$12)</f>
        <v>22.3492</v>
      </c>
      <c r="H769" s="4">
        <f>CHOOSE( CONTROL!$C$37, 23.2938, 23.2921) * CHOOSE(CONTROL!$C$20, $D$12, 100%, $F$12)</f>
        <v>23.293800000000001</v>
      </c>
      <c r="I769" s="7">
        <f>CHOOSE( CONTROL!$C$37, 22.0534, 22.0518) * CHOOSE(CONTROL!$C$20, $D$12, 100%, $F$12)</f>
        <v>22.0534</v>
      </c>
      <c r="J769" s="4">
        <f>CHOOSE( CONTROL!$C$37, 21.9179, 21.9163) * CHOOSE(CONTROL!$C$20, $D$12, 100%, $F$12)</f>
        <v>21.917899999999999</v>
      </c>
      <c r="K769" s="4"/>
      <c r="L769" s="8">
        <v>30.7165</v>
      </c>
      <c r="M769" s="8">
        <v>12.063700000000001</v>
      </c>
      <c r="N769" s="8">
        <v>4.9444999999999997</v>
      </c>
      <c r="O769" s="8">
        <v>0.37409999999999999</v>
      </c>
      <c r="P769" s="8">
        <v>1.2927</v>
      </c>
      <c r="Q769" s="8">
        <v>19.688099999999999</v>
      </c>
      <c r="R769" s="8"/>
    </row>
    <row r="770" spans="1:18" ht="14.25" customHeight="1">
      <c r="A770" s="11">
        <v>64558</v>
      </c>
      <c r="B770" s="7">
        <f>CHOOSE( CONTROL!$C$37, 22.1462, 22.1446) * CHOOSE(CONTROL!$C$20, $D$12, 100%, $F$12)</f>
        <v>22.1462</v>
      </c>
      <c r="C770" s="7">
        <f>CHOOSE( CONTROL!$C$37, 22.1542, 22.1526) * CHOOSE(CONTROL!$C$20, $D$12, 100%, $F$12)</f>
        <v>22.154199999999999</v>
      </c>
      <c r="D770" s="7">
        <f>CHOOSE( CONTROL!$C$37, 22.1604, 22.1588) * CHOOSE( CONTROL!$C$20, $D$12, 100%, $F$12)</f>
        <v>22.160399999999999</v>
      </c>
      <c r="E770" s="10">
        <f>CHOOSE( CONTROL!$C$37, 22.1569, 22.1553) * CHOOSE( CONTROL!$C$20, $D$12, 100%, $F$12)</f>
        <v>22.1569</v>
      </c>
      <c r="F770" s="4">
        <f>CHOOSE( CONTROL!$C$37, 22.8715, 22.8698) * CHOOSE(CONTROL!$C$20, $D$12, 100%, $F$12)</f>
        <v>22.871500000000001</v>
      </c>
      <c r="G770" s="7">
        <f>CHOOSE( CONTROL!$C$37, 21.8816, 21.88) * CHOOSE( CONTROL!$C$20, $D$12, 100%, $F$12)</f>
        <v>21.881599999999999</v>
      </c>
      <c r="H770" s="4">
        <f>CHOOSE( CONTROL!$C$37, 22.8263, 22.8246) * CHOOSE(CONTROL!$C$20, $D$12, 100%, $F$12)</f>
        <v>22.8263</v>
      </c>
      <c r="I770" s="7">
        <f>CHOOSE( CONTROL!$C$37, 21.5937, 21.5921) * CHOOSE(CONTROL!$C$20, $D$12, 100%, $F$12)</f>
        <v>21.593699999999998</v>
      </c>
      <c r="J770" s="4">
        <f>CHOOSE( CONTROL!$C$37, 21.4588, 21.4572) * CHOOSE(CONTROL!$C$20, $D$12, 100%, $F$12)</f>
        <v>21.4588</v>
      </c>
      <c r="K770" s="4"/>
      <c r="L770" s="8">
        <v>29.7257</v>
      </c>
      <c r="M770" s="8">
        <v>11.6745</v>
      </c>
      <c r="N770" s="8">
        <v>4.7850000000000001</v>
      </c>
      <c r="O770" s="8">
        <v>0.36199999999999999</v>
      </c>
      <c r="P770" s="8">
        <v>1.2509999999999999</v>
      </c>
      <c r="Q770" s="8">
        <v>19.053000000000001</v>
      </c>
      <c r="R770" s="8"/>
    </row>
    <row r="771" spans="1:18" ht="14.25" customHeight="1">
      <c r="A771" s="11">
        <v>64589</v>
      </c>
      <c r="B771" s="7">
        <f>CHOOSE( CONTROL!$C$37, 23.1283, 23.1272) * CHOOSE(CONTROL!$C$20, $D$12, 100%, $F$12)</f>
        <v>23.128299999999999</v>
      </c>
      <c r="C771" s="7">
        <f>CHOOSE( CONTROL!$C$37, 23.1337, 23.1326) * CHOOSE(CONTROL!$C$20, $D$12, 100%, $F$12)</f>
        <v>23.133700000000001</v>
      </c>
      <c r="D771" s="7">
        <f>CHOOSE( CONTROL!$C$37, 23.1457, 23.1446) * CHOOSE( CONTROL!$C$20, $D$12, 100%, $F$12)</f>
        <v>23.145700000000001</v>
      </c>
      <c r="E771" s="10">
        <f>CHOOSE( CONTROL!$C$37, 23.1412, 23.1401) * CHOOSE( CONTROL!$C$20, $D$12, 100%, $F$12)</f>
        <v>23.141200000000001</v>
      </c>
      <c r="F771" s="4">
        <f>CHOOSE( CONTROL!$C$37, 23.8553, 23.8543) * CHOOSE(CONTROL!$C$20, $D$12, 100%, $F$12)</f>
        <v>23.8553</v>
      </c>
      <c r="G771" s="7">
        <f>CHOOSE( CONTROL!$C$37, 22.8518, 22.8508) * CHOOSE( CONTROL!$C$20, $D$12, 100%, $F$12)</f>
        <v>22.851800000000001</v>
      </c>
      <c r="H771" s="4">
        <f>CHOOSE( CONTROL!$C$37, 23.7964, 23.7953) * CHOOSE(CONTROL!$C$20, $D$12, 100%, $F$12)</f>
        <v>23.796399999999998</v>
      </c>
      <c r="I771" s="7">
        <f>CHOOSE( CONTROL!$C$37, 22.5475, 22.5465) * CHOOSE(CONTROL!$C$20, $D$12, 100%, $F$12)</f>
        <v>22.547499999999999</v>
      </c>
      <c r="J771" s="4">
        <f>CHOOSE( CONTROL!$C$37, 22.4114, 22.4104) * CHOOSE(CONTROL!$C$20, $D$12, 100%, $F$12)</f>
        <v>22.4114</v>
      </c>
      <c r="K771" s="4"/>
      <c r="L771" s="8">
        <v>31.095300000000002</v>
      </c>
      <c r="M771" s="8">
        <v>12.063700000000001</v>
      </c>
      <c r="N771" s="8">
        <v>4.9444999999999997</v>
      </c>
      <c r="O771" s="8">
        <v>0.37409999999999999</v>
      </c>
      <c r="P771" s="8">
        <v>1.2927</v>
      </c>
      <c r="Q771" s="8">
        <v>19.688099999999999</v>
      </c>
      <c r="R771" s="8"/>
    </row>
    <row r="772" spans="1:18" ht="14.25" customHeight="1">
      <c r="A772" s="11">
        <v>64619</v>
      </c>
      <c r="B772" s="7">
        <f>CHOOSE( CONTROL!$C$37, 24.9449, 24.9439) * CHOOSE(CONTROL!$C$20, $D$12, 100%, $F$12)</f>
        <v>24.944900000000001</v>
      </c>
      <c r="C772" s="7">
        <f>CHOOSE( CONTROL!$C$37, 24.95, 24.949) * CHOOSE(CONTROL!$C$20, $D$12, 100%, $F$12)</f>
        <v>24.95</v>
      </c>
      <c r="D772" s="7">
        <f>CHOOSE( CONTROL!$C$37, 24.9285, 24.9274) * CHOOSE( CONTROL!$C$20, $D$12, 100%, $F$12)</f>
        <v>24.9285</v>
      </c>
      <c r="E772" s="10">
        <f>CHOOSE( CONTROL!$C$37, 24.9358, 24.9348) * CHOOSE( CONTROL!$C$20, $D$12, 100%, $F$12)</f>
        <v>24.9358</v>
      </c>
      <c r="F772" s="4">
        <f>CHOOSE( CONTROL!$C$37, 25.5975, 25.5964) * CHOOSE(CONTROL!$C$20, $D$12, 100%, $F$12)</f>
        <v>25.5975</v>
      </c>
      <c r="G772" s="7">
        <f>CHOOSE( CONTROL!$C$37, 24.6296, 24.6285) * CHOOSE( CONTROL!$C$20, $D$12, 100%, $F$12)</f>
        <v>24.6296</v>
      </c>
      <c r="H772" s="4">
        <f>CHOOSE( CONTROL!$C$37, 25.5142, 25.5131) * CHOOSE(CONTROL!$C$20, $D$12, 100%, $F$12)</f>
        <v>25.514199999999999</v>
      </c>
      <c r="I772" s="7">
        <f>CHOOSE( CONTROL!$C$37, 24.359, 24.3579) * CHOOSE(CONTROL!$C$20, $D$12, 100%, $F$12)</f>
        <v>24.359000000000002</v>
      </c>
      <c r="J772" s="4">
        <f>CHOOSE( CONTROL!$C$37, 24.1709, 24.1698) * CHOOSE(CONTROL!$C$20, $D$12, 100%, $F$12)</f>
        <v>24.1709</v>
      </c>
      <c r="K772" s="4"/>
      <c r="L772" s="8">
        <v>28.360600000000002</v>
      </c>
      <c r="M772" s="8">
        <v>11.6745</v>
      </c>
      <c r="N772" s="8">
        <v>4.7850000000000001</v>
      </c>
      <c r="O772" s="8">
        <v>0.36199999999999999</v>
      </c>
      <c r="P772" s="8">
        <v>1.2509999999999999</v>
      </c>
      <c r="Q772" s="8">
        <v>19.053000000000001</v>
      </c>
      <c r="R772" s="8"/>
    </row>
    <row r="773" spans="1:18" ht="14.25" customHeight="1">
      <c r="A773" s="11">
        <v>64650</v>
      </c>
      <c r="B773" s="7">
        <f>CHOOSE( CONTROL!$C$37, 24.8996, 24.8985) * CHOOSE(CONTROL!$C$20, $D$12, 100%, $F$12)</f>
        <v>24.8996</v>
      </c>
      <c r="C773" s="7">
        <f>CHOOSE( CONTROL!$C$37, 24.9046, 24.9036) * CHOOSE(CONTROL!$C$20, $D$12, 100%, $F$12)</f>
        <v>24.904599999999999</v>
      </c>
      <c r="D773" s="7">
        <f>CHOOSE( CONTROL!$C$37, 24.8847, 24.8836) * CHOOSE( CONTROL!$C$20, $D$12, 100%, $F$12)</f>
        <v>24.884699999999999</v>
      </c>
      <c r="E773" s="10">
        <f>CHOOSE( CONTROL!$C$37, 24.8914, 24.8904) * CHOOSE( CONTROL!$C$20, $D$12, 100%, $F$12)</f>
        <v>24.891400000000001</v>
      </c>
      <c r="F773" s="4">
        <f>CHOOSE( CONTROL!$C$37, 25.5521, 25.551) * CHOOSE(CONTROL!$C$20, $D$12, 100%, $F$12)</f>
        <v>25.552099999999999</v>
      </c>
      <c r="G773" s="7">
        <f>CHOOSE( CONTROL!$C$37, 24.586, 24.5849) * CHOOSE( CONTROL!$C$20, $D$12, 100%, $F$12)</f>
        <v>24.585999999999999</v>
      </c>
      <c r="H773" s="4">
        <f>CHOOSE( CONTROL!$C$37, 25.4695, 25.4684) * CHOOSE(CONTROL!$C$20, $D$12, 100%, $F$12)</f>
        <v>25.4695</v>
      </c>
      <c r="I773" s="7">
        <f>CHOOSE( CONTROL!$C$37, 24.3199, 24.3188) * CHOOSE(CONTROL!$C$20, $D$12, 100%, $F$12)</f>
        <v>24.319900000000001</v>
      </c>
      <c r="J773" s="4">
        <f>CHOOSE( CONTROL!$C$37, 24.1269, 24.1258) * CHOOSE(CONTROL!$C$20, $D$12, 100%, $F$12)</f>
        <v>24.126899999999999</v>
      </c>
      <c r="K773" s="4"/>
      <c r="L773" s="8">
        <v>29.306000000000001</v>
      </c>
      <c r="M773" s="8">
        <v>12.063700000000001</v>
      </c>
      <c r="N773" s="8">
        <v>4.9444999999999997</v>
      </c>
      <c r="O773" s="8">
        <v>0.37409999999999999</v>
      </c>
      <c r="P773" s="8">
        <v>1.2927</v>
      </c>
      <c r="Q773" s="8">
        <v>19.688099999999999</v>
      </c>
      <c r="R773" s="8"/>
    </row>
    <row r="774" spans="1:18" ht="14.25" customHeight="1">
      <c r="A774" s="11">
        <v>64681</v>
      </c>
      <c r="B774" s="7">
        <f>CHOOSE( CONTROL!$C$37, 25.6345, 25.6334) * CHOOSE(CONTROL!$C$20, $D$12, 100%, $F$12)</f>
        <v>25.634499999999999</v>
      </c>
      <c r="C774" s="7">
        <f>CHOOSE( CONTROL!$C$37, 25.6396, 25.6385) * CHOOSE(CONTROL!$C$20, $D$12, 100%, $F$12)</f>
        <v>25.639600000000002</v>
      </c>
      <c r="D774" s="7">
        <f>CHOOSE( CONTROL!$C$37, 25.6327, 25.6316) * CHOOSE( CONTROL!$C$20, $D$12, 100%, $F$12)</f>
        <v>25.6327</v>
      </c>
      <c r="E774" s="10">
        <f>CHOOSE( CONTROL!$C$37, 25.6347, 25.6336) * CHOOSE( CONTROL!$C$20, $D$12, 100%, $F$12)</f>
        <v>25.634699999999999</v>
      </c>
      <c r="F774" s="4">
        <f>CHOOSE( CONTROL!$C$37, 26.287, 26.2859) * CHOOSE(CONTROL!$C$20, $D$12, 100%, $F$12)</f>
        <v>26.286999999999999</v>
      </c>
      <c r="G774" s="7">
        <f>CHOOSE( CONTROL!$C$37, 25.3152, 25.3141) * CHOOSE( CONTROL!$C$20, $D$12, 100%, $F$12)</f>
        <v>25.315200000000001</v>
      </c>
      <c r="H774" s="4">
        <f>CHOOSE( CONTROL!$C$37, 26.1941, 26.1931) * CHOOSE(CONTROL!$C$20, $D$12, 100%, $F$12)</f>
        <v>26.194099999999999</v>
      </c>
      <c r="I774" s="7">
        <f>CHOOSE( CONTROL!$C$37, 25.0032, 25.0021) * CHOOSE(CONTROL!$C$20, $D$12, 100%, $F$12)</f>
        <v>25.0032</v>
      </c>
      <c r="J774" s="4">
        <f>CHOOSE( CONTROL!$C$37, 24.8385, 24.8375) * CHOOSE(CONTROL!$C$20, $D$12, 100%, $F$12)</f>
        <v>24.8385</v>
      </c>
      <c r="K774" s="4"/>
      <c r="L774" s="8">
        <v>29.306000000000001</v>
      </c>
      <c r="M774" s="8">
        <v>12.063700000000001</v>
      </c>
      <c r="N774" s="8">
        <v>4.9444999999999997</v>
      </c>
      <c r="O774" s="8">
        <v>0.37409999999999999</v>
      </c>
      <c r="P774" s="8">
        <v>1.2927</v>
      </c>
      <c r="Q774" s="8">
        <v>19.688099999999999</v>
      </c>
      <c r="R774" s="8"/>
    </row>
    <row r="775" spans="1:18" ht="14.25" customHeight="1">
      <c r="A775" s="11">
        <v>64709</v>
      </c>
      <c r="B775" s="7">
        <f>CHOOSE( CONTROL!$C$37, 23.9762, 23.9751) * CHOOSE(CONTROL!$C$20, $D$12, 100%, $F$12)</f>
        <v>23.976199999999999</v>
      </c>
      <c r="C775" s="7">
        <f>CHOOSE( CONTROL!$C$37, 23.9813, 23.9802) * CHOOSE(CONTROL!$C$20, $D$12, 100%, $F$12)</f>
        <v>23.981300000000001</v>
      </c>
      <c r="D775" s="7">
        <f>CHOOSE( CONTROL!$C$37, 23.9743, 23.9732) * CHOOSE( CONTROL!$C$20, $D$12, 100%, $F$12)</f>
        <v>23.974299999999999</v>
      </c>
      <c r="E775" s="10">
        <f>CHOOSE( CONTROL!$C$37, 23.9763, 23.9752) * CHOOSE( CONTROL!$C$20, $D$12, 100%, $F$12)</f>
        <v>23.976299999999998</v>
      </c>
      <c r="F775" s="4">
        <f>CHOOSE( CONTROL!$C$37, 24.6288, 24.6277) * CHOOSE(CONTROL!$C$20, $D$12, 100%, $F$12)</f>
        <v>24.628799999999998</v>
      </c>
      <c r="G775" s="7">
        <f>CHOOSE( CONTROL!$C$37, 23.68, 23.6789) * CHOOSE( CONTROL!$C$20, $D$12, 100%, $F$12)</f>
        <v>23.68</v>
      </c>
      <c r="H775" s="4">
        <f>CHOOSE( CONTROL!$C$37, 24.559, 24.5579) * CHOOSE(CONTROL!$C$20, $D$12, 100%, $F$12)</f>
        <v>24.559000000000001</v>
      </c>
      <c r="I775" s="7">
        <f>CHOOSE( CONTROL!$C$37, 23.3964, 23.3953) * CHOOSE(CONTROL!$C$20, $D$12, 100%, $F$12)</f>
        <v>23.3964</v>
      </c>
      <c r="J775" s="4">
        <f>CHOOSE( CONTROL!$C$37, 23.2328, 23.2318) * CHOOSE(CONTROL!$C$20, $D$12, 100%, $F$12)</f>
        <v>23.232800000000001</v>
      </c>
      <c r="K775" s="4"/>
      <c r="L775" s="8">
        <v>26.469899999999999</v>
      </c>
      <c r="M775" s="8">
        <v>10.8962</v>
      </c>
      <c r="N775" s="8">
        <v>4.4660000000000002</v>
      </c>
      <c r="O775" s="8">
        <v>0.33789999999999998</v>
      </c>
      <c r="P775" s="8">
        <v>1.1676</v>
      </c>
      <c r="Q775" s="8">
        <v>17.782800000000002</v>
      </c>
      <c r="R775" s="8"/>
    </row>
    <row r="776" spans="1:18" ht="14.25" customHeight="1">
      <c r="A776" s="11">
        <v>64740</v>
      </c>
      <c r="B776" s="7">
        <f>CHOOSE( CONTROL!$C$37, 23.4655, 23.4644) * CHOOSE(CONTROL!$C$20, $D$12, 100%, $F$12)</f>
        <v>23.465499999999999</v>
      </c>
      <c r="C776" s="7">
        <f>CHOOSE( CONTROL!$C$37, 23.4706, 23.4695) * CHOOSE(CONTROL!$C$20, $D$12, 100%, $F$12)</f>
        <v>23.470600000000001</v>
      </c>
      <c r="D776" s="7">
        <f>CHOOSE( CONTROL!$C$37, 23.463, 23.4619) * CHOOSE( CONTROL!$C$20, $D$12, 100%, $F$12)</f>
        <v>23.463000000000001</v>
      </c>
      <c r="E776" s="10">
        <f>CHOOSE( CONTROL!$C$37, 23.4652, 23.4641) * CHOOSE( CONTROL!$C$20, $D$12, 100%, $F$12)</f>
        <v>23.465199999999999</v>
      </c>
      <c r="F776" s="4">
        <f>CHOOSE( CONTROL!$C$37, 24.118, 24.1169) * CHOOSE(CONTROL!$C$20, $D$12, 100%, $F$12)</f>
        <v>24.117999999999999</v>
      </c>
      <c r="G776" s="7">
        <f>CHOOSE( CONTROL!$C$37, 23.1759, 23.1748) * CHOOSE( CONTROL!$C$20, $D$12, 100%, $F$12)</f>
        <v>23.175899999999999</v>
      </c>
      <c r="H776" s="4">
        <f>CHOOSE( CONTROL!$C$37, 24.0554, 24.0543) * CHOOSE(CONTROL!$C$20, $D$12, 100%, $F$12)</f>
        <v>24.055399999999999</v>
      </c>
      <c r="I776" s="7">
        <f>CHOOSE( CONTROL!$C$37, 22.8997, 22.8986) * CHOOSE(CONTROL!$C$20, $D$12, 100%, $F$12)</f>
        <v>22.899699999999999</v>
      </c>
      <c r="J776" s="4">
        <f>CHOOSE( CONTROL!$C$37, 22.7383, 22.7372) * CHOOSE(CONTROL!$C$20, $D$12, 100%, $F$12)</f>
        <v>22.738299999999999</v>
      </c>
      <c r="K776" s="4"/>
      <c r="L776" s="8">
        <v>29.306000000000001</v>
      </c>
      <c r="M776" s="8">
        <v>12.063700000000001</v>
      </c>
      <c r="N776" s="8">
        <v>4.9444999999999997</v>
      </c>
      <c r="O776" s="8">
        <v>0.37409999999999999</v>
      </c>
      <c r="P776" s="8">
        <v>1.2927</v>
      </c>
      <c r="Q776" s="8">
        <v>19.688099999999999</v>
      </c>
      <c r="R776" s="8"/>
    </row>
    <row r="777" spans="1:18" ht="14.25" customHeight="1">
      <c r="A777" s="11">
        <v>64770</v>
      </c>
      <c r="B777" s="7">
        <f>CHOOSE( CONTROL!$C$37, 23.8231, 23.822) * CHOOSE(CONTROL!$C$20, $D$12, 100%, $F$12)</f>
        <v>23.8231</v>
      </c>
      <c r="C777" s="7">
        <f>CHOOSE( CONTROL!$C$37, 23.8277, 23.8266) * CHOOSE(CONTROL!$C$20, $D$12, 100%, $F$12)</f>
        <v>23.8277</v>
      </c>
      <c r="D777" s="7">
        <f>CHOOSE( CONTROL!$C$37, 23.8395, 23.8384) * CHOOSE( CONTROL!$C$20, $D$12, 100%, $F$12)</f>
        <v>23.839500000000001</v>
      </c>
      <c r="E777" s="10">
        <f>CHOOSE( CONTROL!$C$37, 23.8351, 23.834) * CHOOSE( CONTROL!$C$20, $D$12, 100%, $F$12)</f>
        <v>23.835100000000001</v>
      </c>
      <c r="F777" s="4">
        <f>CHOOSE( CONTROL!$C$37, 24.5498, 24.5487) * CHOOSE(CONTROL!$C$20, $D$12, 100%, $F$12)</f>
        <v>24.549800000000001</v>
      </c>
      <c r="G777" s="7">
        <f>CHOOSE( CONTROL!$C$37, 23.5361, 23.535) * CHOOSE( CONTROL!$C$20, $D$12, 100%, $F$12)</f>
        <v>23.536100000000001</v>
      </c>
      <c r="H777" s="4">
        <f>CHOOSE( CONTROL!$C$37, 24.4811, 24.4801) * CHOOSE(CONTROL!$C$20, $D$12, 100%, $F$12)</f>
        <v>24.481100000000001</v>
      </c>
      <c r="I777" s="7">
        <f>CHOOSE( CONTROL!$C$37, 23.218, 23.217) * CHOOSE(CONTROL!$C$20, $D$12, 100%, $F$12)</f>
        <v>23.218</v>
      </c>
      <c r="J777" s="4">
        <f>CHOOSE( CONTROL!$C$37, 23.0839, 23.0828) * CHOOSE(CONTROL!$C$20, $D$12, 100%, $F$12)</f>
        <v>23.0839</v>
      </c>
      <c r="K777" s="4"/>
      <c r="L777" s="8">
        <v>30.092199999999998</v>
      </c>
      <c r="M777" s="8">
        <v>11.6745</v>
      </c>
      <c r="N777" s="8">
        <v>4.7850000000000001</v>
      </c>
      <c r="O777" s="8">
        <v>0.36199999999999999</v>
      </c>
      <c r="P777" s="8">
        <v>1.2509999999999999</v>
      </c>
      <c r="Q777" s="8">
        <v>19.053000000000001</v>
      </c>
      <c r="R777" s="8"/>
    </row>
    <row r="778" spans="1:18" ht="14.25" customHeight="1">
      <c r="A778" s="11">
        <v>64801</v>
      </c>
      <c r="B778" s="7">
        <f>CHOOSE( CONTROL!$C$37, 24.4603, 24.4586) * CHOOSE(CONTROL!$C$20, $D$12, 100%, $F$12)</f>
        <v>24.4603</v>
      </c>
      <c r="C778" s="7">
        <f>CHOOSE( CONTROL!$C$37, 24.4683, 24.4666) * CHOOSE(CONTROL!$C$20, $D$12, 100%, $F$12)</f>
        <v>24.468299999999999</v>
      </c>
      <c r="D778" s="7">
        <f>CHOOSE( CONTROL!$C$37, 24.4739, 24.4723) * CHOOSE( CONTROL!$C$20, $D$12, 100%, $F$12)</f>
        <v>24.4739</v>
      </c>
      <c r="E778" s="10">
        <f>CHOOSE( CONTROL!$C$37, 24.4707, 24.469) * CHOOSE( CONTROL!$C$20, $D$12, 100%, $F$12)</f>
        <v>24.470700000000001</v>
      </c>
      <c r="F778" s="4">
        <f>CHOOSE( CONTROL!$C$37, 25.1855, 25.1839) * CHOOSE(CONTROL!$C$20, $D$12, 100%, $F$12)</f>
        <v>25.185500000000001</v>
      </c>
      <c r="G778" s="7">
        <f>CHOOSE( CONTROL!$C$37, 24.1629, 24.1613) * CHOOSE( CONTROL!$C$20, $D$12, 100%, $F$12)</f>
        <v>24.1629</v>
      </c>
      <c r="H778" s="4">
        <f>CHOOSE( CONTROL!$C$37, 25.108, 25.1064) * CHOOSE(CONTROL!$C$20, $D$12, 100%, $F$12)</f>
        <v>25.108000000000001</v>
      </c>
      <c r="I778" s="7">
        <f>CHOOSE( CONTROL!$C$37, 23.8336, 23.832) * CHOOSE(CONTROL!$C$20, $D$12, 100%, $F$12)</f>
        <v>23.833600000000001</v>
      </c>
      <c r="J778" s="4">
        <f>CHOOSE( CONTROL!$C$37, 23.6995, 23.6979) * CHOOSE(CONTROL!$C$20, $D$12, 100%, $F$12)</f>
        <v>23.6995</v>
      </c>
      <c r="K778" s="4"/>
      <c r="L778" s="8">
        <v>30.7165</v>
      </c>
      <c r="M778" s="8">
        <v>12.063700000000001</v>
      </c>
      <c r="N778" s="8">
        <v>4.9444999999999997</v>
      </c>
      <c r="O778" s="8">
        <v>0.37409999999999999</v>
      </c>
      <c r="P778" s="8">
        <v>1.2927</v>
      </c>
      <c r="Q778" s="8">
        <v>19.688099999999999</v>
      </c>
      <c r="R778" s="8"/>
    </row>
    <row r="779" spans="1:18" ht="14.25" customHeight="1">
      <c r="A779" s="11">
        <v>64831</v>
      </c>
      <c r="B779" s="7">
        <f>CHOOSE( CONTROL!$C$37, 24.0668, 24.0651) * CHOOSE(CONTROL!$C$20, $D$12, 100%, $F$12)</f>
        <v>24.066800000000001</v>
      </c>
      <c r="C779" s="7">
        <f>CHOOSE( CONTROL!$C$37, 24.0748, 24.0731) * CHOOSE(CONTROL!$C$20, $D$12, 100%, $F$12)</f>
        <v>24.0748</v>
      </c>
      <c r="D779" s="7">
        <f>CHOOSE( CONTROL!$C$37, 24.0807, 24.0791) * CHOOSE( CONTROL!$C$20, $D$12, 100%, $F$12)</f>
        <v>24.0807</v>
      </c>
      <c r="E779" s="10">
        <f>CHOOSE( CONTROL!$C$37, 24.0773, 24.0757) * CHOOSE( CONTROL!$C$20, $D$12, 100%, $F$12)</f>
        <v>24.077300000000001</v>
      </c>
      <c r="F779" s="4">
        <f>CHOOSE( CONTROL!$C$37, 24.7921, 24.7904) * CHOOSE(CONTROL!$C$20, $D$12, 100%, $F$12)</f>
        <v>24.792100000000001</v>
      </c>
      <c r="G779" s="7">
        <f>CHOOSE( CONTROL!$C$37, 23.7751, 23.7735) * CHOOSE( CONTROL!$C$20, $D$12, 100%, $F$12)</f>
        <v>23.775099999999998</v>
      </c>
      <c r="H779" s="4">
        <f>CHOOSE( CONTROL!$C$37, 24.72, 24.7184) * CHOOSE(CONTROL!$C$20, $D$12, 100%, $F$12)</f>
        <v>24.72</v>
      </c>
      <c r="I779" s="7">
        <f>CHOOSE( CONTROL!$C$37, 23.4534, 23.4518) * CHOOSE(CONTROL!$C$20, $D$12, 100%, $F$12)</f>
        <v>23.453399999999998</v>
      </c>
      <c r="J779" s="4">
        <f>CHOOSE( CONTROL!$C$37, 23.3185, 23.3169) * CHOOSE(CONTROL!$C$20, $D$12, 100%, $F$12)</f>
        <v>23.3185</v>
      </c>
      <c r="K779" s="4"/>
      <c r="L779" s="8">
        <v>29.7257</v>
      </c>
      <c r="M779" s="8">
        <v>11.6745</v>
      </c>
      <c r="N779" s="8">
        <v>4.7850000000000001</v>
      </c>
      <c r="O779" s="8">
        <v>0.36199999999999999</v>
      </c>
      <c r="P779" s="8">
        <v>1.2509999999999999</v>
      </c>
      <c r="Q779" s="8">
        <v>19.053000000000001</v>
      </c>
      <c r="R779" s="8"/>
    </row>
    <row r="780" spans="1:18" ht="14.25" customHeight="1">
      <c r="A780" s="11">
        <v>64862</v>
      </c>
      <c r="B780" s="7">
        <f>CHOOSE( CONTROL!$C$37, 25.103, 25.1013) * CHOOSE(CONTROL!$C$20, $D$12, 100%, $F$12)</f>
        <v>25.103000000000002</v>
      </c>
      <c r="C780" s="7">
        <f>CHOOSE( CONTROL!$C$37, 25.111, 25.1093) * CHOOSE(CONTROL!$C$20, $D$12, 100%, $F$12)</f>
        <v>25.111000000000001</v>
      </c>
      <c r="D780" s="7">
        <f>CHOOSE( CONTROL!$C$37, 25.1172, 25.1155) * CHOOSE( CONTROL!$C$20, $D$12, 100%, $F$12)</f>
        <v>25.1172</v>
      </c>
      <c r="E780" s="10">
        <f>CHOOSE( CONTROL!$C$37, 25.1137, 25.112) * CHOOSE( CONTROL!$C$20, $D$12, 100%, $F$12)</f>
        <v>25.113700000000001</v>
      </c>
      <c r="F780" s="4">
        <f>CHOOSE( CONTROL!$C$37, 25.8282, 25.8266) * CHOOSE(CONTROL!$C$20, $D$12, 100%, $F$12)</f>
        <v>25.828199999999999</v>
      </c>
      <c r="G780" s="7">
        <f>CHOOSE( CONTROL!$C$37, 24.7971, 24.7955) * CHOOSE( CONTROL!$C$20, $D$12, 100%, $F$12)</f>
        <v>24.7971</v>
      </c>
      <c r="H780" s="4">
        <f>CHOOSE( CONTROL!$C$37, 25.7418, 25.7401) * CHOOSE(CONTROL!$C$20, $D$12, 100%, $F$12)</f>
        <v>25.741800000000001</v>
      </c>
      <c r="I780" s="7">
        <f>CHOOSE( CONTROL!$C$37, 24.4583, 24.4567) * CHOOSE(CONTROL!$C$20, $D$12, 100%, $F$12)</f>
        <v>24.458300000000001</v>
      </c>
      <c r="J780" s="4">
        <f>CHOOSE( CONTROL!$C$37, 24.3218, 24.3202) * CHOOSE(CONTROL!$C$20, $D$12, 100%, $F$12)</f>
        <v>24.3218</v>
      </c>
      <c r="K780" s="4"/>
      <c r="L780" s="8">
        <v>30.7165</v>
      </c>
      <c r="M780" s="8">
        <v>12.063700000000001</v>
      </c>
      <c r="N780" s="8">
        <v>4.9444999999999997</v>
      </c>
      <c r="O780" s="8">
        <v>0.37409999999999999</v>
      </c>
      <c r="P780" s="8">
        <v>1.2927</v>
      </c>
      <c r="Q780" s="8">
        <v>19.688099999999999</v>
      </c>
      <c r="R780" s="8"/>
    </row>
    <row r="781" spans="1:18" ht="14.25" customHeight="1">
      <c r="A781" s="11">
        <v>64893</v>
      </c>
      <c r="B781" s="7">
        <f>CHOOSE( CONTROL!$C$37, 23.1642, 23.1625) * CHOOSE(CONTROL!$C$20, $D$12, 100%, $F$12)</f>
        <v>23.164200000000001</v>
      </c>
      <c r="C781" s="7">
        <f>CHOOSE( CONTROL!$C$37, 23.1722, 23.1705) * CHOOSE(CONTROL!$C$20, $D$12, 100%, $F$12)</f>
        <v>23.1722</v>
      </c>
      <c r="D781" s="7">
        <f>CHOOSE( CONTROL!$C$37, 23.1785, 23.1768) * CHOOSE( CONTROL!$C$20, $D$12, 100%, $F$12)</f>
        <v>23.1785</v>
      </c>
      <c r="E781" s="10">
        <f>CHOOSE( CONTROL!$C$37, 23.175, 23.1733) * CHOOSE( CONTROL!$C$20, $D$12, 100%, $F$12)</f>
        <v>23.175000000000001</v>
      </c>
      <c r="F781" s="4">
        <f>CHOOSE( CONTROL!$C$37, 23.8894, 23.8878) * CHOOSE(CONTROL!$C$20, $D$12, 100%, $F$12)</f>
        <v>23.889399999999998</v>
      </c>
      <c r="G781" s="7">
        <f>CHOOSE( CONTROL!$C$37, 22.8854, 22.8838) * CHOOSE( CONTROL!$C$20, $D$12, 100%, $F$12)</f>
        <v>22.885400000000001</v>
      </c>
      <c r="H781" s="4">
        <f>CHOOSE( CONTROL!$C$37, 23.83, 23.8284) * CHOOSE(CONTROL!$C$20, $D$12, 100%, $F$12)</f>
        <v>23.83</v>
      </c>
      <c r="I781" s="7">
        <f>CHOOSE( CONTROL!$C$37, 22.5803, 22.5787) * CHOOSE(CONTROL!$C$20, $D$12, 100%, $F$12)</f>
        <v>22.580300000000001</v>
      </c>
      <c r="J781" s="4">
        <f>CHOOSE( CONTROL!$C$37, 22.4445, 22.4428) * CHOOSE(CONTROL!$C$20, $D$12, 100%, $F$12)</f>
        <v>22.444500000000001</v>
      </c>
      <c r="K781" s="4"/>
      <c r="L781" s="8">
        <v>30.7165</v>
      </c>
      <c r="M781" s="8">
        <v>12.063700000000001</v>
      </c>
      <c r="N781" s="8">
        <v>4.9444999999999997</v>
      </c>
      <c r="O781" s="8">
        <v>0.37409999999999999</v>
      </c>
      <c r="P781" s="8">
        <v>1.2927</v>
      </c>
      <c r="Q781" s="8">
        <v>19.688099999999999</v>
      </c>
      <c r="R781" s="8"/>
    </row>
    <row r="782" spans="1:18" ht="14.25" customHeight="1">
      <c r="A782" s="11">
        <v>64923</v>
      </c>
      <c r="B782" s="7">
        <f>CHOOSE( CONTROL!$C$37, 22.6787, 22.677) * CHOOSE(CONTROL!$C$20, $D$12, 100%, $F$12)</f>
        <v>22.678699999999999</v>
      </c>
      <c r="C782" s="7">
        <f>CHOOSE( CONTROL!$C$37, 22.6867, 22.685) * CHOOSE(CONTROL!$C$20, $D$12, 100%, $F$12)</f>
        <v>22.686699999999998</v>
      </c>
      <c r="D782" s="7">
        <f>CHOOSE( CONTROL!$C$37, 22.6929, 22.6912) * CHOOSE( CONTROL!$C$20, $D$12, 100%, $F$12)</f>
        <v>22.692900000000002</v>
      </c>
      <c r="E782" s="10">
        <f>CHOOSE( CONTROL!$C$37, 22.6894, 22.6877) * CHOOSE( CONTROL!$C$20, $D$12, 100%, $F$12)</f>
        <v>22.689399999999999</v>
      </c>
      <c r="F782" s="4">
        <f>CHOOSE( CONTROL!$C$37, 23.4039, 23.4023) * CHOOSE(CONTROL!$C$20, $D$12, 100%, $F$12)</f>
        <v>23.4039</v>
      </c>
      <c r="G782" s="7">
        <f>CHOOSE( CONTROL!$C$37, 22.4066, 22.405) * CHOOSE( CONTROL!$C$20, $D$12, 100%, $F$12)</f>
        <v>22.406600000000001</v>
      </c>
      <c r="H782" s="4">
        <f>CHOOSE( CONTROL!$C$37, 23.3513, 23.3496) * CHOOSE(CONTROL!$C$20, $D$12, 100%, $F$12)</f>
        <v>23.351299999999998</v>
      </c>
      <c r="I782" s="7">
        <f>CHOOSE( CONTROL!$C$37, 22.1096, 22.1079) * CHOOSE(CONTROL!$C$20, $D$12, 100%, $F$12)</f>
        <v>22.1096</v>
      </c>
      <c r="J782" s="4">
        <f>CHOOSE( CONTROL!$C$37, 21.9743, 21.9727) * CHOOSE(CONTROL!$C$20, $D$12, 100%, $F$12)</f>
        <v>21.974299999999999</v>
      </c>
      <c r="K782" s="4"/>
      <c r="L782" s="8">
        <v>29.7257</v>
      </c>
      <c r="M782" s="8">
        <v>11.6745</v>
      </c>
      <c r="N782" s="8">
        <v>4.7850000000000001</v>
      </c>
      <c r="O782" s="8">
        <v>0.36199999999999999</v>
      </c>
      <c r="P782" s="8">
        <v>1.2509999999999999</v>
      </c>
      <c r="Q782" s="8">
        <v>19.053000000000001</v>
      </c>
      <c r="R782" s="8"/>
    </row>
    <row r="783" spans="1:18" ht="14.25" customHeight="1">
      <c r="A783" s="11">
        <v>64954</v>
      </c>
      <c r="B783" s="7">
        <f>CHOOSE( CONTROL!$C$37, 23.6844, 23.6833) * CHOOSE(CONTROL!$C$20, $D$12, 100%, $F$12)</f>
        <v>23.6844</v>
      </c>
      <c r="C783" s="7">
        <f>CHOOSE( CONTROL!$C$37, 23.6898, 23.6887) * CHOOSE(CONTROL!$C$20, $D$12, 100%, $F$12)</f>
        <v>23.689800000000002</v>
      </c>
      <c r="D783" s="7">
        <f>CHOOSE( CONTROL!$C$37, 23.7018, 23.7007) * CHOOSE( CONTROL!$C$20, $D$12, 100%, $F$12)</f>
        <v>23.701799999999999</v>
      </c>
      <c r="E783" s="10">
        <f>CHOOSE( CONTROL!$C$37, 23.6973, 23.6962) * CHOOSE( CONTROL!$C$20, $D$12, 100%, $F$12)</f>
        <v>23.697299999999998</v>
      </c>
      <c r="F783" s="4">
        <f>CHOOSE( CONTROL!$C$37, 24.4114, 24.4103) * CHOOSE(CONTROL!$C$20, $D$12, 100%, $F$12)</f>
        <v>24.4114</v>
      </c>
      <c r="G783" s="7">
        <f>CHOOSE( CONTROL!$C$37, 23.4002, 23.3991) * CHOOSE( CONTROL!$C$20, $D$12, 100%, $F$12)</f>
        <v>23.400200000000002</v>
      </c>
      <c r="H783" s="4">
        <f>CHOOSE( CONTROL!$C$37, 24.3447, 24.3436) * CHOOSE(CONTROL!$C$20, $D$12, 100%, $F$12)</f>
        <v>24.3447</v>
      </c>
      <c r="I783" s="7">
        <f>CHOOSE( CONTROL!$C$37, 23.0863, 23.0852) * CHOOSE(CONTROL!$C$20, $D$12, 100%, $F$12)</f>
        <v>23.086300000000001</v>
      </c>
      <c r="J783" s="4">
        <f>CHOOSE( CONTROL!$C$37, 22.9499, 22.9488) * CHOOSE(CONTROL!$C$20, $D$12, 100%, $F$12)</f>
        <v>22.9499</v>
      </c>
      <c r="K783" s="4"/>
      <c r="L783" s="8">
        <v>31.095300000000002</v>
      </c>
      <c r="M783" s="8">
        <v>12.063700000000001</v>
      </c>
      <c r="N783" s="8">
        <v>4.9444999999999997</v>
      </c>
      <c r="O783" s="8">
        <v>0.37409999999999999</v>
      </c>
      <c r="P783" s="8">
        <v>1.2927</v>
      </c>
      <c r="Q783" s="8">
        <v>19.688099999999999</v>
      </c>
      <c r="R783" s="8"/>
    </row>
    <row r="784" spans="1:18" ht="14.25" customHeight="1">
      <c r="A784" s="11">
        <v>64984</v>
      </c>
      <c r="B784" s="7">
        <f>CHOOSE( CONTROL!$C$37, 25.5447, 25.5436) * CHOOSE(CONTROL!$C$20, $D$12, 100%, $F$12)</f>
        <v>25.544699999999999</v>
      </c>
      <c r="C784" s="7">
        <f>CHOOSE( CONTROL!$C$37, 25.5498, 25.5487) * CHOOSE(CONTROL!$C$20, $D$12, 100%, $F$12)</f>
        <v>25.549800000000001</v>
      </c>
      <c r="D784" s="7">
        <f>CHOOSE( CONTROL!$C$37, 25.5283, 25.5272) * CHOOSE( CONTROL!$C$20, $D$12, 100%, $F$12)</f>
        <v>25.528300000000002</v>
      </c>
      <c r="E784" s="10">
        <f>CHOOSE( CONTROL!$C$37, 25.5356, 25.5345) * CHOOSE( CONTROL!$C$20, $D$12, 100%, $F$12)</f>
        <v>25.535599999999999</v>
      </c>
      <c r="F784" s="4">
        <f>CHOOSE( CONTROL!$C$37, 26.1972, 26.1962) * CHOOSE(CONTROL!$C$20, $D$12, 100%, $F$12)</f>
        <v>26.197199999999999</v>
      </c>
      <c r="G784" s="7">
        <f>CHOOSE( CONTROL!$C$37, 25.221, 25.2199) * CHOOSE( CONTROL!$C$20, $D$12, 100%, $F$12)</f>
        <v>25.221</v>
      </c>
      <c r="H784" s="4">
        <f>CHOOSE( CONTROL!$C$37, 26.1056, 26.1045) * CHOOSE(CONTROL!$C$20, $D$12, 100%, $F$12)</f>
        <v>26.105599999999999</v>
      </c>
      <c r="I784" s="7">
        <f>CHOOSE( CONTROL!$C$37, 24.94, 24.939) * CHOOSE(CONTROL!$C$20, $D$12, 100%, $F$12)</f>
        <v>24.94</v>
      </c>
      <c r="J784" s="4">
        <f>CHOOSE( CONTROL!$C$37, 24.7516, 24.7505) * CHOOSE(CONTROL!$C$20, $D$12, 100%, $F$12)</f>
        <v>24.7516</v>
      </c>
      <c r="K784" s="4"/>
      <c r="L784" s="8">
        <v>28.360600000000002</v>
      </c>
      <c r="M784" s="8">
        <v>11.6745</v>
      </c>
      <c r="N784" s="8">
        <v>4.7850000000000001</v>
      </c>
      <c r="O784" s="8">
        <v>0.36199999999999999</v>
      </c>
      <c r="P784" s="8">
        <v>1.2509999999999999</v>
      </c>
      <c r="Q784" s="8">
        <v>19.053000000000001</v>
      </c>
      <c r="R784" s="8"/>
    </row>
    <row r="785" spans="1:18" ht="14.25" customHeight="1">
      <c r="A785" s="11">
        <v>65015</v>
      </c>
      <c r="B785" s="7">
        <f>CHOOSE( CONTROL!$C$37, 25.4982, 25.4971) * CHOOSE(CONTROL!$C$20, $D$12, 100%, $F$12)</f>
        <v>25.498200000000001</v>
      </c>
      <c r="C785" s="7">
        <f>CHOOSE( CONTROL!$C$37, 25.5033, 25.5022) * CHOOSE(CONTROL!$C$20, $D$12, 100%, $F$12)</f>
        <v>25.503299999999999</v>
      </c>
      <c r="D785" s="7">
        <f>CHOOSE( CONTROL!$C$37, 25.4833, 25.4822) * CHOOSE( CONTROL!$C$20, $D$12, 100%, $F$12)</f>
        <v>25.4833</v>
      </c>
      <c r="E785" s="10">
        <f>CHOOSE( CONTROL!$C$37, 25.4901, 25.489) * CHOOSE( CONTROL!$C$20, $D$12, 100%, $F$12)</f>
        <v>25.490100000000002</v>
      </c>
      <c r="F785" s="4">
        <f>CHOOSE( CONTROL!$C$37, 26.1508, 26.1497) * CHOOSE(CONTROL!$C$20, $D$12, 100%, $F$12)</f>
        <v>26.1508</v>
      </c>
      <c r="G785" s="7">
        <f>CHOOSE( CONTROL!$C$37, 25.1763, 25.1752) * CHOOSE( CONTROL!$C$20, $D$12, 100%, $F$12)</f>
        <v>25.176300000000001</v>
      </c>
      <c r="H785" s="4">
        <f>CHOOSE( CONTROL!$C$37, 26.0598, 26.0587) * CHOOSE(CONTROL!$C$20, $D$12, 100%, $F$12)</f>
        <v>26.059799999999999</v>
      </c>
      <c r="I785" s="7">
        <f>CHOOSE( CONTROL!$C$37, 24.8999, 24.8988) * CHOOSE(CONTROL!$C$20, $D$12, 100%, $F$12)</f>
        <v>24.899899999999999</v>
      </c>
      <c r="J785" s="4">
        <f>CHOOSE( CONTROL!$C$37, 24.7066, 24.7055) * CHOOSE(CONTROL!$C$20, $D$12, 100%, $F$12)</f>
        <v>24.706600000000002</v>
      </c>
      <c r="K785" s="4"/>
      <c r="L785" s="8">
        <v>29.306000000000001</v>
      </c>
      <c r="M785" s="8">
        <v>12.063700000000001</v>
      </c>
      <c r="N785" s="8">
        <v>4.9444999999999997</v>
      </c>
      <c r="O785" s="8">
        <v>0.37409999999999999</v>
      </c>
      <c r="P785" s="8">
        <v>1.2927</v>
      </c>
      <c r="Q785" s="8">
        <v>19.688099999999999</v>
      </c>
      <c r="R785" s="8"/>
    </row>
    <row r="786" spans="1:18" ht="14.25" customHeight="1">
      <c r="A786" s="11">
        <v>65046</v>
      </c>
      <c r="B786" s="7">
        <f>CHOOSE( CONTROL!$C$37, 26.2508, 26.2497) * CHOOSE(CONTROL!$C$20, $D$12, 100%, $F$12)</f>
        <v>26.250800000000002</v>
      </c>
      <c r="C786" s="7">
        <f>CHOOSE( CONTROL!$C$37, 26.2559, 26.2548) * CHOOSE(CONTROL!$C$20, $D$12, 100%, $F$12)</f>
        <v>26.2559</v>
      </c>
      <c r="D786" s="7">
        <f>CHOOSE( CONTROL!$C$37, 26.249, 26.2479) * CHOOSE( CONTROL!$C$20, $D$12, 100%, $F$12)</f>
        <v>26.248999999999999</v>
      </c>
      <c r="E786" s="10">
        <f>CHOOSE( CONTROL!$C$37, 26.251, 26.2499) * CHOOSE( CONTROL!$C$20, $D$12, 100%, $F$12)</f>
        <v>26.251000000000001</v>
      </c>
      <c r="F786" s="4">
        <f>CHOOSE( CONTROL!$C$37, 26.9033, 26.9023) * CHOOSE(CONTROL!$C$20, $D$12, 100%, $F$12)</f>
        <v>26.903300000000002</v>
      </c>
      <c r="G786" s="7">
        <f>CHOOSE( CONTROL!$C$37, 25.9229, 25.9218) * CHOOSE( CONTROL!$C$20, $D$12, 100%, $F$12)</f>
        <v>25.922899999999998</v>
      </c>
      <c r="H786" s="4">
        <f>CHOOSE( CONTROL!$C$37, 26.8019, 26.8008) * CHOOSE(CONTROL!$C$20, $D$12, 100%, $F$12)</f>
        <v>26.8019</v>
      </c>
      <c r="I786" s="7">
        <f>CHOOSE( CONTROL!$C$37, 25.6002, 25.5992) * CHOOSE(CONTROL!$C$20, $D$12, 100%, $F$12)</f>
        <v>25.600200000000001</v>
      </c>
      <c r="J786" s="4">
        <f>CHOOSE( CONTROL!$C$37, 25.4353, 25.4343) * CHOOSE(CONTROL!$C$20, $D$12, 100%, $F$12)</f>
        <v>25.435300000000002</v>
      </c>
      <c r="K786" s="4"/>
      <c r="L786" s="8">
        <v>29.306000000000001</v>
      </c>
      <c r="M786" s="8">
        <v>12.063700000000001</v>
      </c>
      <c r="N786" s="8">
        <v>4.9444999999999997</v>
      </c>
      <c r="O786" s="8">
        <v>0.37409999999999999</v>
      </c>
      <c r="P786" s="8">
        <v>1.2927</v>
      </c>
      <c r="Q786" s="8">
        <v>19.688099999999999</v>
      </c>
      <c r="R786" s="8"/>
    </row>
    <row r="787" spans="1:18" ht="14.25" customHeight="1">
      <c r="A787" s="11">
        <v>65074</v>
      </c>
      <c r="B787" s="7">
        <f>CHOOSE( CONTROL!$C$37, 24.5527, 24.5516) * CHOOSE(CONTROL!$C$20, $D$12, 100%, $F$12)</f>
        <v>24.552700000000002</v>
      </c>
      <c r="C787" s="7">
        <f>CHOOSE( CONTROL!$C$37, 24.5578, 24.5567) * CHOOSE(CONTROL!$C$20, $D$12, 100%, $F$12)</f>
        <v>24.5578</v>
      </c>
      <c r="D787" s="7">
        <f>CHOOSE( CONTROL!$C$37, 24.5508, 24.5497) * CHOOSE( CONTROL!$C$20, $D$12, 100%, $F$12)</f>
        <v>24.550799999999999</v>
      </c>
      <c r="E787" s="10">
        <f>CHOOSE( CONTROL!$C$37, 24.5528, 24.5517) * CHOOSE( CONTROL!$C$20, $D$12, 100%, $F$12)</f>
        <v>24.552800000000001</v>
      </c>
      <c r="F787" s="4">
        <f>CHOOSE( CONTROL!$C$37, 25.2052, 25.2041) * CHOOSE(CONTROL!$C$20, $D$12, 100%, $F$12)</f>
        <v>25.205200000000001</v>
      </c>
      <c r="G787" s="7">
        <f>CHOOSE( CONTROL!$C$37, 24.2484, 24.2473) * CHOOSE( CONTROL!$C$20, $D$12, 100%, $F$12)</f>
        <v>24.2484</v>
      </c>
      <c r="H787" s="4">
        <f>CHOOSE( CONTROL!$C$37, 25.1274, 25.1264) * CHOOSE(CONTROL!$C$20, $D$12, 100%, $F$12)</f>
        <v>25.127400000000002</v>
      </c>
      <c r="I787" s="7">
        <f>CHOOSE( CONTROL!$C$37, 23.9549, 23.9538) * CHOOSE(CONTROL!$C$20, $D$12, 100%, $F$12)</f>
        <v>23.954899999999999</v>
      </c>
      <c r="J787" s="4">
        <f>CHOOSE( CONTROL!$C$37, 23.791, 23.79) * CHOOSE(CONTROL!$C$20, $D$12, 100%, $F$12)</f>
        <v>23.791</v>
      </c>
      <c r="K787" s="4"/>
      <c r="L787" s="8">
        <v>26.469899999999999</v>
      </c>
      <c r="M787" s="8">
        <v>10.8962</v>
      </c>
      <c r="N787" s="8">
        <v>4.4660000000000002</v>
      </c>
      <c r="O787" s="8">
        <v>0.33789999999999998</v>
      </c>
      <c r="P787" s="8">
        <v>1.1676</v>
      </c>
      <c r="Q787" s="8">
        <v>17.782800000000002</v>
      </c>
      <c r="R787" s="8"/>
    </row>
    <row r="788" spans="1:18" ht="14.25" customHeight="1">
      <c r="A788" s="11">
        <v>65105</v>
      </c>
      <c r="B788" s="7">
        <f>CHOOSE( CONTROL!$C$37, 24.0297, 24.0286) * CHOOSE(CONTROL!$C$20, $D$12, 100%, $F$12)</f>
        <v>24.029699999999998</v>
      </c>
      <c r="C788" s="7">
        <f>CHOOSE( CONTROL!$C$37, 24.0348, 24.0337) * CHOOSE(CONTROL!$C$20, $D$12, 100%, $F$12)</f>
        <v>24.034800000000001</v>
      </c>
      <c r="D788" s="7">
        <f>CHOOSE( CONTROL!$C$37, 24.0272, 24.0261) * CHOOSE( CONTROL!$C$20, $D$12, 100%, $F$12)</f>
        <v>24.027200000000001</v>
      </c>
      <c r="E788" s="10">
        <f>CHOOSE( CONTROL!$C$37, 24.0294, 24.0283) * CHOOSE( CONTROL!$C$20, $D$12, 100%, $F$12)</f>
        <v>24.029399999999999</v>
      </c>
      <c r="F788" s="4">
        <f>CHOOSE( CONTROL!$C$37, 24.6822, 24.6811) * CHOOSE(CONTROL!$C$20, $D$12, 100%, $F$12)</f>
        <v>24.682200000000002</v>
      </c>
      <c r="G788" s="7">
        <f>CHOOSE( CONTROL!$C$37, 23.7322, 23.7312) * CHOOSE( CONTROL!$C$20, $D$12, 100%, $F$12)</f>
        <v>23.732199999999999</v>
      </c>
      <c r="H788" s="4">
        <f>CHOOSE( CONTROL!$C$37, 24.6117, 24.6106) * CHOOSE(CONTROL!$C$20, $D$12, 100%, $F$12)</f>
        <v>24.611699999999999</v>
      </c>
      <c r="I788" s="7">
        <f>CHOOSE( CONTROL!$C$37, 23.4463, 23.4452) * CHOOSE(CONTROL!$C$20, $D$12, 100%, $F$12)</f>
        <v>23.446300000000001</v>
      </c>
      <c r="J788" s="4">
        <f>CHOOSE( CONTROL!$C$37, 23.2846, 23.2835) * CHOOSE(CONTROL!$C$20, $D$12, 100%, $F$12)</f>
        <v>23.284600000000001</v>
      </c>
      <c r="K788" s="4"/>
      <c r="L788" s="8">
        <v>29.306000000000001</v>
      </c>
      <c r="M788" s="8">
        <v>12.063700000000001</v>
      </c>
      <c r="N788" s="8">
        <v>4.9444999999999997</v>
      </c>
      <c r="O788" s="8">
        <v>0.37409999999999999</v>
      </c>
      <c r="P788" s="8">
        <v>1.2927</v>
      </c>
      <c r="Q788" s="8">
        <v>19.688099999999999</v>
      </c>
      <c r="R788" s="8"/>
    </row>
    <row r="789" spans="1:18" ht="14.25" customHeight="1">
      <c r="A789" s="11">
        <v>65135</v>
      </c>
      <c r="B789" s="7">
        <f>CHOOSE( CONTROL!$C$37, 24.3959, 24.3948) * CHOOSE(CONTROL!$C$20, $D$12, 100%, $F$12)</f>
        <v>24.395900000000001</v>
      </c>
      <c r="C789" s="7">
        <f>CHOOSE( CONTROL!$C$37, 24.4004, 24.3994) * CHOOSE(CONTROL!$C$20, $D$12, 100%, $F$12)</f>
        <v>24.400400000000001</v>
      </c>
      <c r="D789" s="7">
        <f>CHOOSE( CONTROL!$C$37, 24.4123, 24.4112) * CHOOSE( CONTROL!$C$20, $D$12, 100%, $F$12)</f>
        <v>24.412299999999998</v>
      </c>
      <c r="E789" s="10">
        <f>CHOOSE( CONTROL!$C$37, 24.4079, 24.4068) * CHOOSE( CONTROL!$C$20, $D$12, 100%, $F$12)</f>
        <v>24.407900000000001</v>
      </c>
      <c r="F789" s="4">
        <f>CHOOSE( CONTROL!$C$37, 25.1226, 25.1215) * CHOOSE(CONTROL!$C$20, $D$12, 100%, $F$12)</f>
        <v>25.122599999999998</v>
      </c>
      <c r="G789" s="7">
        <f>CHOOSE( CONTROL!$C$37, 24.1008, 24.0998) * CHOOSE( CONTROL!$C$20, $D$12, 100%, $F$12)</f>
        <v>24.1008</v>
      </c>
      <c r="H789" s="4">
        <f>CHOOSE( CONTROL!$C$37, 25.0459, 25.0448) * CHOOSE(CONTROL!$C$20, $D$12, 100%, $F$12)</f>
        <v>25.0459</v>
      </c>
      <c r="I789" s="7">
        <f>CHOOSE( CONTROL!$C$37, 23.7729, 23.7719) * CHOOSE(CONTROL!$C$20, $D$12, 100%, $F$12)</f>
        <v>23.7729</v>
      </c>
      <c r="J789" s="4">
        <f>CHOOSE( CONTROL!$C$37, 23.6385, 23.6374) * CHOOSE(CONTROL!$C$20, $D$12, 100%, $F$12)</f>
        <v>23.638500000000001</v>
      </c>
      <c r="K789" s="4"/>
      <c r="L789" s="8">
        <v>30.092199999999998</v>
      </c>
      <c r="M789" s="8">
        <v>11.6745</v>
      </c>
      <c r="N789" s="8">
        <v>4.7850000000000001</v>
      </c>
      <c r="O789" s="8">
        <v>0.36199999999999999</v>
      </c>
      <c r="P789" s="8">
        <v>1.2509999999999999</v>
      </c>
      <c r="Q789" s="8">
        <v>19.053000000000001</v>
      </c>
      <c r="R789" s="8"/>
    </row>
    <row r="790" spans="1:18" ht="14.25" customHeight="1">
      <c r="A790" s="11">
        <v>65166</v>
      </c>
      <c r="B790" s="7">
        <f>CHOOSE( CONTROL!$C$37, 25.0483, 25.0466) * CHOOSE(CONTROL!$C$20, $D$12, 100%, $F$12)</f>
        <v>25.048300000000001</v>
      </c>
      <c r="C790" s="7">
        <f>CHOOSE( CONTROL!$C$37, 25.0563, 25.0546) * CHOOSE(CONTROL!$C$20, $D$12, 100%, $F$12)</f>
        <v>25.0563</v>
      </c>
      <c r="D790" s="7">
        <f>CHOOSE( CONTROL!$C$37, 25.062, 25.0603) * CHOOSE( CONTROL!$C$20, $D$12, 100%, $F$12)</f>
        <v>25.062000000000001</v>
      </c>
      <c r="E790" s="10">
        <f>CHOOSE( CONTROL!$C$37, 25.0587, 25.057) * CHOOSE( CONTROL!$C$20, $D$12, 100%, $F$12)</f>
        <v>25.058700000000002</v>
      </c>
      <c r="F790" s="4">
        <f>CHOOSE( CONTROL!$C$37, 25.7736, 25.7719) * CHOOSE(CONTROL!$C$20, $D$12, 100%, $F$12)</f>
        <v>25.773599999999998</v>
      </c>
      <c r="G790" s="7">
        <f>CHOOSE( CONTROL!$C$37, 24.7428, 24.7411) * CHOOSE( CONTROL!$C$20, $D$12, 100%, $F$12)</f>
        <v>24.742799999999999</v>
      </c>
      <c r="H790" s="4">
        <f>CHOOSE( CONTROL!$C$37, 25.6879, 25.6862) * CHOOSE(CONTROL!$C$20, $D$12, 100%, $F$12)</f>
        <v>25.687899999999999</v>
      </c>
      <c r="I790" s="7">
        <f>CHOOSE( CONTROL!$C$37, 24.4033, 24.4017) * CHOOSE(CONTROL!$C$20, $D$12, 100%, $F$12)</f>
        <v>24.403300000000002</v>
      </c>
      <c r="J790" s="4">
        <f>CHOOSE( CONTROL!$C$37, 24.2689, 24.2673) * CHOOSE(CONTROL!$C$20, $D$12, 100%, $F$12)</f>
        <v>24.268899999999999</v>
      </c>
      <c r="K790" s="4"/>
      <c r="L790" s="8">
        <v>30.7165</v>
      </c>
      <c r="M790" s="8">
        <v>12.063700000000001</v>
      </c>
      <c r="N790" s="8">
        <v>4.9444999999999997</v>
      </c>
      <c r="O790" s="8">
        <v>0.37409999999999999</v>
      </c>
      <c r="P790" s="8">
        <v>1.2927</v>
      </c>
      <c r="Q790" s="8">
        <v>19.688099999999999</v>
      </c>
      <c r="R790" s="8"/>
    </row>
    <row r="791" spans="1:18" ht="14.25" customHeight="1">
      <c r="A791" s="11">
        <v>65196</v>
      </c>
      <c r="B791" s="7">
        <f>CHOOSE( CONTROL!$C$37, 24.6454, 24.6437) * CHOOSE(CONTROL!$C$20, $D$12, 100%, $F$12)</f>
        <v>24.645399999999999</v>
      </c>
      <c r="C791" s="7">
        <f>CHOOSE( CONTROL!$C$37, 24.6534, 24.6517) * CHOOSE(CONTROL!$C$20, $D$12, 100%, $F$12)</f>
        <v>24.653400000000001</v>
      </c>
      <c r="D791" s="7">
        <f>CHOOSE( CONTROL!$C$37, 24.6593, 24.6576) * CHOOSE( CONTROL!$C$20, $D$12, 100%, $F$12)</f>
        <v>24.659300000000002</v>
      </c>
      <c r="E791" s="10">
        <f>CHOOSE( CONTROL!$C$37, 24.6559, 24.6542) * CHOOSE( CONTROL!$C$20, $D$12, 100%, $F$12)</f>
        <v>24.655899999999999</v>
      </c>
      <c r="F791" s="4">
        <f>CHOOSE( CONTROL!$C$37, 25.3707, 25.369) * CHOOSE(CONTROL!$C$20, $D$12, 100%, $F$12)</f>
        <v>25.370699999999999</v>
      </c>
      <c r="G791" s="7">
        <f>CHOOSE( CONTROL!$C$37, 24.3457, 24.344) * CHOOSE( CONTROL!$C$20, $D$12, 100%, $F$12)</f>
        <v>24.345700000000001</v>
      </c>
      <c r="H791" s="4">
        <f>CHOOSE( CONTROL!$C$37, 25.2905, 25.2889) * CHOOSE(CONTROL!$C$20, $D$12, 100%, $F$12)</f>
        <v>25.290500000000002</v>
      </c>
      <c r="I791" s="7">
        <f>CHOOSE( CONTROL!$C$37, 24.0139, 24.0123) * CHOOSE(CONTROL!$C$20, $D$12, 100%, $F$12)</f>
        <v>24.0139</v>
      </c>
      <c r="J791" s="4">
        <f>CHOOSE( CONTROL!$C$37, 23.8787, 23.8771) * CHOOSE(CONTROL!$C$20, $D$12, 100%, $F$12)</f>
        <v>23.878699999999998</v>
      </c>
      <c r="K791" s="4"/>
      <c r="L791" s="8">
        <v>29.7257</v>
      </c>
      <c r="M791" s="8">
        <v>11.6745</v>
      </c>
      <c r="N791" s="8">
        <v>4.7850000000000001</v>
      </c>
      <c r="O791" s="8">
        <v>0.36199999999999999</v>
      </c>
      <c r="P791" s="8">
        <v>1.2509999999999999</v>
      </c>
      <c r="Q791" s="8">
        <v>19.053000000000001</v>
      </c>
      <c r="R791" s="8"/>
    </row>
    <row r="792" spans="1:18" ht="14.25" customHeight="1">
      <c r="A792" s="11">
        <v>65227</v>
      </c>
      <c r="B792" s="7">
        <f>CHOOSE( CONTROL!$C$37, 25.7064, 25.7048) * CHOOSE(CONTROL!$C$20, $D$12, 100%, $F$12)</f>
        <v>25.706399999999999</v>
      </c>
      <c r="C792" s="7">
        <f>CHOOSE( CONTROL!$C$37, 25.7144, 25.7128) * CHOOSE(CONTROL!$C$20, $D$12, 100%, $F$12)</f>
        <v>25.714400000000001</v>
      </c>
      <c r="D792" s="7">
        <f>CHOOSE( CONTROL!$C$37, 25.7207, 25.719) * CHOOSE( CONTROL!$C$20, $D$12, 100%, $F$12)</f>
        <v>25.720700000000001</v>
      </c>
      <c r="E792" s="10">
        <f>CHOOSE( CONTROL!$C$37, 25.7172, 25.7155) * CHOOSE( CONTROL!$C$20, $D$12, 100%, $F$12)</f>
        <v>25.717199999999998</v>
      </c>
      <c r="F792" s="4">
        <f>CHOOSE( CONTROL!$C$37, 26.4317, 26.4301) * CHOOSE(CONTROL!$C$20, $D$12, 100%, $F$12)</f>
        <v>26.431699999999999</v>
      </c>
      <c r="G792" s="7">
        <f>CHOOSE( CONTROL!$C$37, 25.3922, 25.3905) * CHOOSE( CONTROL!$C$20, $D$12, 100%, $F$12)</f>
        <v>25.392199999999999</v>
      </c>
      <c r="H792" s="4">
        <f>CHOOSE( CONTROL!$C$37, 26.3368, 26.3352) * CHOOSE(CONTROL!$C$20, $D$12, 100%, $F$12)</f>
        <v>26.3368</v>
      </c>
      <c r="I792" s="7">
        <f>CHOOSE( CONTROL!$C$37, 25.0429, 25.0413) * CHOOSE(CONTROL!$C$20, $D$12, 100%, $F$12)</f>
        <v>25.042899999999999</v>
      </c>
      <c r="J792" s="4">
        <f>CHOOSE( CONTROL!$C$37, 24.9061, 24.9045) * CHOOSE(CONTROL!$C$20, $D$12, 100%, $F$12)</f>
        <v>24.906099999999999</v>
      </c>
      <c r="K792" s="4"/>
      <c r="L792" s="8">
        <v>30.7165</v>
      </c>
      <c r="M792" s="8">
        <v>12.063700000000001</v>
      </c>
      <c r="N792" s="8">
        <v>4.9444999999999997</v>
      </c>
      <c r="O792" s="8">
        <v>0.37409999999999999</v>
      </c>
      <c r="P792" s="8">
        <v>1.2927</v>
      </c>
      <c r="Q792" s="8">
        <v>19.688099999999999</v>
      </c>
      <c r="R792" s="8"/>
    </row>
    <row r="793" spans="1:18" ht="14.25" customHeight="1">
      <c r="A793" s="11">
        <v>65258</v>
      </c>
      <c r="B793" s="7">
        <f>CHOOSE( CONTROL!$C$37, 23.7211, 23.7194) * CHOOSE(CONTROL!$C$20, $D$12, 100%, $F$12)</f>
        <v>23.7211</v>
      </c>
      <c r="C793" s="7">
        <f>CHOOSE( CONTROL!$C$37, 23.7291, 23.7274) * CHOOSE(CONTROL!$C$20, $D$12, 100%, $F$12)</f>
        <v>23.729099999999999</v>
      </c>
      <c r="D793" s="7">
        <f>CHOOSE( CONTROL!$C$37, 23.7354, 23.7337) * CHOOSE( CONTROL!$C$20, $D$12, 100%, $F$12)</f>
        <v>23.735399999999998</v>
      </c>
      <c r="E793" s="10">
        <f>CHOOSE( CONTROL!$C$37, 23.7319, 23.7302) * CHOOSE( CONTROL!$C$20, $D$12, 100%, $F$12)</f>
        <v>23.7319</v>
      </c>
      <c r="F793" s="4">
        <f>CHOOSE( CONTROL!$C$37, 24.4463, 24.4447) * CHOOSE(CONTROL!$C$20, $D$12, 100%, $F$12)</f>
        <v>24.446300000000001</v>
      </c>
      <c r="G793" s="7">
        <f>CHOOSE( CONTROL!$C$37, 23.4346, 23.4329) * CHOOSE( CONTROL!$C$20, $D$12, 100%, $F$12)</f>
        <v>23.4346</v>
      </c>
      <c r="H793" s="4">
        <f>CHOOSE( CONTROL!$C$37, 24.3791, 24.3775) * CHOOSE(CONTROL!$C$20, $D$12, 100%, $F$12)</f>
        <v>24.379100000000001</v>
      </c>
      <c r="I793" s="7">
        <f>CHOOSE( CONTROL!$C$37, 23.1198, 23.1182) * CHOOSE(CONTROL!$C$20, $D$12, 100%, $F$12)</f>
        <v>23.119800000000001</v>
      </c>
      <c r="J793" s="4">
        <f>CHOOSE( CONTROL!$C$37, 22.9837, 22.9821) * CHOOSE(CONTROL!$C$20, $D$12, 100%, $F$12)</f>
        <v>22.983699999999999</v>
      </c>
      <c r="K793" s="4"/>
      <c r="L793" s="8">
        <v>30.7165</v>
      </c>
      <c r="M793" s="8">
        <v>12.063700000000001</v>
      </c>
      <c r="N793" s="8">
        <v>4.9444999999999997</v>
      </c>
      <c r="O793" s="8">
        <v>0.37409999999999999</v>
      </c>
      <c r="P793" s="8">
        <v>1.2927</v>
      </c>
      <c r="Q793" s="8">
        <v>19.688099999999999</v>
      </c>
      <c r="R793" s="8"/>
    </row>
    <row r="794" spans="1:18" ht="14.25" customHeight="1">
      <c r="A794" s="11">
        <v>65288</v>
      </c>
      <c r="B794" s="7">
        <f>CHOOSE( CONTROL!$C$37, 23.2239, 23.2222) * CHOOSE(CONTROL!$C$20, $D$12, 100%, $F$12)</f>
        <v>23.2239</v>
      </c>
      <c r="C794" s="7">
        <f>CHOOSE( CONTROL!$C$37, 23.2319, 23.2302) * CHOOSE(CONTROL!$C$20, $D$12, 100%, $F$12)</f>
        <v>23.2319</v>
      </c>
      <c r="D794" s="7">
        <f>CHOOSE( CONTROL!$C$37, 23.2381, 23.2364) * CHOOSE( CONTROL!$C$20, $D$12, 100%, $F$12)</f>
        <v>23.238099999999999</v>
      </c>
      <c r="E794" s="10">
        <f>CHOOSE( CONTROL!$C$37, 23.2346, 23.2329) * CHOOSE( CONTROL!$C$20, $D$12, 100%, $F$12)</f>
        <v>23.2346</v>
      </c>
      <c r="F794" s="4">
        <f>CHOOSE( CONTROL!$C$37, 23.9492, 23.9475) * CHOOSE(CONTROL!$C$20, $D$12, 100%, $F$12)</f>
        <v>23.949200000000001</v>
      </c>
      <c r="G794" s="7">
        <f>CHOOSE( CONTROL!$C$37, 22.9442, 22.9426) * CHOOSE( CONTROL!$C$20, $D$12, 100%, $F$12)</f>
        <v>22.944199999999999</v>
      </c>
      <c r="H794" s="4">
        <f>CHOOSE( CONTROL!$C$37, 23.8889, 23.8873) * CHOOSE(CONTROL!$C$20, $D$12, 100%, $F$12)</f>
        <v>23.8889</v>
      </c>
      <c r="I794" s="7">
        <f>CHOOSE( CONTROL!$C$37, 22.6378, 22.6362) * CHOOSE(CONTROL!$C$20, $D$12, 100%, $F$12)</f>
        <v>22.637799999999999</v>
      </c>
      <c r="J794" s="4">
        <f>CHOOSE( CONTROL!$C$37, 22.5023, 22.5007) * CHOOSE(CONTROL!$C$20, $D$12, 100%, $F$12)</f>
        <v>22.502300000000002</v>
      </c>
      <c r="K794" s="4"/>
      <c r="L794" s="8">
        <v>29.7257</v>
      </c>
      <c r="M794" s="8">
        <v>11.6745</v>
      </c>
      <c r="N794" s="8">
        <v>4.7850000000000001</v>
      </c>
      <c r="O794" s="8">
        <v>0.36199999999999999</v>
      </c>
      <c r="P794" s="8">
        <v>1.2509999999999999</v>
      </c>
      <c r="Q794" s="8">
        <v>19.053000000000001</v>
      </c>
      <c r="R794" s="8"/>
    </row>
    <row r="795" spans="1:18" ht="14.25" customHeight="1">
      <c r="A795" s="11">
        <v>65319</v>
      </c>
      <c r="B795" s="7">
        <f>CHOOSE( CONTROL!$C$37, 24.2539, 24.2528) * CHOOSE(CONTROL!$C$20, $D$12, 100%, $F$12)</f>
        <v>24.253900000000002</v>
      </c>
      <c r="C795" s="7">
        <f>CHOOSE( CONTROL!$C$37, 24.2592, 24.2581) * CHOOSE(CONTROL!$C$20, $D$12, 100%, $F$12)</f>
        <v>24.2592</v>
      </c>
      <c r="D795" s="7">
        <f>CHOOSE( CONTROL!$C$37, 24.2712, 24.2702) * CHOOSE( CONTROL!$C$20, $D$12, 100%, $F$12)</f>
        <v>24.2712</v>
      </c>
      <c r="E795" s="10">
        <f>CHOOSE( CONTROL!$C$37, 24.2667, 24.2656) * CHOOSE( CONTROL!$C$20, $D$12, 100%, $F$12)</f>
        <v>24.2667</v>
      </c>
      <c r="F795" s="4">
        <f>CHOOSE( CONTROL!$C$37, 24.9809, 24.9798) * CHOOSE(CONTROL!$C$20, $D$12, 100%, $F$12)</f>
        <v>24.980899999999998</v>
      </c>
      <c r="G795" s="7">
        <f>CHOOSE( CONTROL!$C$37, 23.9617, 23.9606) * CHOOSE( CONTROL!$C$20, $D$12, 100%, $F$12)</f>
        <v>23.9617</v>
      </c>
      <c r="H795" s="4">
        <f>CHOOSE( CONTROL!$C$37, 24.9062, 24.9052) * CHOOSE(CONTROL!$C$20, $D$12, 100%, $F$12)</f>
        <v>24.906199999999998</v>
      </c>
      <c r="I795" s="7">
        <f>CHOOSE( CONTROL!$C$37, 23.6379, 23.6369) * CHOOSE(CONTROL!$C$20, $D$12, 100%, $F$12)</f>
        <v>23.637899999999998</v>
      </c>
      <c r="J795" s="4">
        <f>CHOOSE( CONTROL!$C$37, 23.5013, 23.5002) * CHOOSE(CONTROL!$C$20, $D$12, 100%, $F$12)</f>
        <v>23.501300000000001</v>
      </c>
      <c r="K795" s="4"/>
      <c r="L795" s="8">
        <v>31.095300000000002</v>
      </c>
      <c r="M795" s="8">
        <v>12.063700000000001</v>
      </c>
      <c r="N795" s="8">
        <v>4.9444999999999997</v>
      </c>
      <c r="O795" s="8">
        <v>0.37409999999999999</v>
      </c>
      <c r="P795" s="8">
        <v>1.2927</v>
      </c>
      <c r="Q795" s="8">
        <v>19.688099999999999</v>
      </c>
      <c r="R795" s="8"/>
    </row>
    <row r="796" spans="1:18" ht="14.25" customHeight="1">
      <c r="A796" s="11">
        <v>65349</v>
      </c>
      <c r="B796" s="7">
        <f>CHOOSE( CONTROL!$C$37, 26.1589, 26.1578) * CHOOSE(CONTROL!$C$20, $D$12, 100%, $F$12)</f>
        <v>26.158899999999999</v>
      </c>
      <c r="C796" s="7">
        <f>CHOOSE( CONTROL!$C$37, 26.164, 26.1629) * CHOOSE(CONTROL!$C$20, $D$12, 100%, $F$12)</f>
        <v>26.164000000000001</v>
      </c>
      <c r="D796" s="7">
        <f>CHOOSE( CONTROL!$C$37, 26.1424, 26.1413) * CHOOSE( CONTROL!$C$20, $D$12, 100%, $F$12)</f>
        <v>26.142399999999999</v>
      </c>
      <c r="E796" s="10">
        <f>CHOOSE( CONTROL!$C$37, 26.1498, 26.1487) * CHOOSE( CONTROL!$C$20, $D$12, 100%, $F$12)</f>
        <v>26.149799999999999</v>
      </c>
      <c r="F796" s="4">
        <f>CHOOSE( CONTROL!$C$37, 26.8114, 26.8103) * CHOOSE(CONTROL!$C$20, $D$12, 100%, $F$12)</f>
        <v>26.811399999999999</v>
      </c>
      <c r="G796" s="7">
        <f>CHOOSE( CONTROL!$C$37, 25.8266, 25.8255) * CHOOSE( CONTROL!$C$20, $D$12, 100%, $F$12)</f>
        <v>25.826599999999999</v>
      </c>
      <c r="H796" s="4">
        <f>CHOOSE( CONTROL!$C$37, 26.7112, 26.7101) * CHOOSE(CONTROL!$C$20, $D$12, 100%, $F$12)</f>
        <v>26.711200000000002</v>
      </c>
      <c r="I796" s="7">
        <f>CHOOSE( CONTROL!$C$37, 25.535, 25.534) * CHOOSE(CONTROL!$C$20, $D$12, 100%, $F$12)</f>
        <v>25.535</v>
      </c>
      <c r="J796" s="4">
        <f>CHOOSE( CONTROL!$C$37, 25.3463, 25.3452) * CHOOSE(CONTROL!$C$20, $D$12, 100%, $F$12)</f>
        <v>25.346299999999999</v>
      </c>
      <c r="K796" s="4"/>
      <c r="L796" s="8">
        <v>28.360600000000002</v>
      </c>
      <c r="M796" s="8">
        <v>11.6745</v>
      </c>
      <c r="N796" s="8">
        <v>4.7850000000000001</v>
      </c>
      <c r="O796" s="8">
        <v>0.36199999999999999</v>
      </c>
      <c r="P796" s="8">
        <v>1.2509999999999999</v>
      </c>
      <c r="Q796" s="8">
        <v>19.053000000000001</v>
      </c>
      <c r="R796" s="8"/>
    </row>
    <row r="797" spans="1:18" ht="14.25" customHeight="1">
      <c r="A797" s="11">
        <v>65380</v>
      </c>
      <c r="B797" s="7">
        <f>CHOOSE( CONTROL!$C$37, 26.1113, 26.1102) * CHOOSE(CONTROL!$C$20, $D$12, 100%, $F$12)</f>
        <v>26.1113</v>
      </c>
      <c r="C797" s="7">
        <f>CHOOSE( CONTROL!$C$37, 26.1164, 26.1153) * CHOOSE(CONTROL!$C$20, $D$12, 100%, $F$12)</f>
        <v>26.116399999999999</v>
      </c>
      <c r="D797" s="7">
        <f>CHOOSE( CONTROL!$C$37, 26.0964, 26.0953) * CHOOSE( CONTROL!$C$20, $D$12, 100%, $F$12)</f>
        <v>26.096399999999999</v>
      </c>
      <c r="E797" s="10">
        <f>CHOOSE( CONTROL!$C$37, 26.1032, 26.1021) * CHOOSE( CONTROL!$C$20, $D$12, 100%, $F$12)</f>
        <v>26.103200000000001</v>
      </c>
      <c r="F797" s="4">
        <f>CHOOSE( CONTROL!$C$37, 26.7638, 26.7627) * CHOOSE(CONTROL!$C$20, $D$12, 100%, $F$12)</f>
        <v>26.7638</v>
      </c>
      <c r="G797" s="7">
        <f>CHOOSE( CONTROL!$C$37, 25.7808, 25.7797) * CHOOSE( CONTROL!$C$20, $D$12, 100%, $F$12)</f>
        <v>25.780799999999999</v>
      </c>
      <c r="H797" s="4">
        <f>CHOOSE( CONTROL!$C$37, 26.6643, 26.6632) * CHOOSE(CONTROL!$C$20, $D$12, 100%, $F$12)</f>
        <v>26.664300000000001</v>
      </c>
      <c r="I797" s="7">
        <f>CHOOSE( CONTROL!$C$37, 25.4938, 25.4927) * CHOOSE(CONTROL!$C$20, $D$12, 100%, $F$12)</f>
        <v>25.4938</v>
      </c>
      <c r="J797" s="4">
        <f>CHOOSE( CONTROL!$C$37, 25.3002, 25.2991) * CHOOSE(CONTROL!$C$20, $D$12, 100%, $F$12)</f>
        <v>25.3002</v>
      </c>
      <c r="K797" s="4"/>
      <c r="L797" s="8">
        <v>29.306000000000001</v>
      </c>
      <c r="M797" s="8">
        <v>12.063700000000001</v>
      </c>
      <c r="N797" s="8">
        <v>4.9444999999999997</v>
      </c>
      <c r="O797" s="8">
        <v>0.37409999999999999</v>
      </c>
      <c r="P797" s="8">
        <v>1.2927</v>
      </c>
      <c r="Q797" s="8">
        <v>19.688099999999999</v>
      </c>
      <c r="R797" s="8"/>
    </row>
    <row r="798" spans="1:18" ht="14.25" customHeight="1">
      <c r="A798" s="11">
        <v>65411</v>
      </c>
      <c r="B798" s="7">
        <f>CHOOSE( CONTROL!$C$37, 26.8819, 26.8808) * CHOOSE(CONTROL!$C$20, $D$12, 100%, $F$12)</f>
        <v>26.881900000000002</v>
      </c>
      <c r="C798" s="7">
        <f>CHOOSE( CONTROL!$C$37, 26.887, 26.8859) * CHOOSE(CONTROL!$C$20, $D$12, 100%, $F$12)</f>
        <v>26.887</v>
      </c>
      <c r="D798" s="7">
        <f>CHOOSE( CONTROL!$C$37, 26.8801, 26.879) * CHOOSE( CONTROL!$C$20, $D$12, 100%, $F$12)</f>
        <v>26.880099999999999</v>
      </c>
      <c r="E798" s="10">
        <f>CHOOSE( CONTROL!$C$37, 26.8821, 26.881) * CHOOSE( CONTROL!$C$20, $D$12, 100%, $F$12)</f>
        <v>26.882100000000001</v>
      </c>
      <c r="F798" s="4">
        <f>CHOOSE( CONTROL!$C$37, 27.5345, 27.5334) * CHOOSE(CONTROL!$C$20, $D$12, 100%, $F$12)</f>
        <v>27.534500000000001</v>
      </c>
      <c r="G798" s="7">
        <f>CHOOSE( CONTROL!$C$37, 26.5452, 26.5441) * CHOOSE( CONTROL!$C$20, $D$12, 100%, $F$12)</f>
        <v>26.545200000000001</v>
      </c>
      <c r="H798" s="4">
        <f>CHOOSE( CONTROL!$C$37, 27.4242, 27.4231) * CHOOSE(CONTROL!$C$20, $D$12, 100%, $F$12)</f>
        <v>27.424199999999999</v>
      </c>
      <c r="I798" s="7">
        <f>CHOOSE( CONTROL!$C$37, 26.2117, 26.2106) * CHOOSE(CONTROL!$C$20, $D$12, 100%, $F$12)</f>
        <v>26.2117</v>
      </c>
      <c r="J798" s="4">
        <f>CHOOSE( CONTROL!$C$37, 26.0464, 26.0454) * CHOOSE(CONTROL!$C$20, $D$12, 100%, $F$12)</f>
        <v>26.046399999999998</v>
      </c>
      <c r="K798" s="4"/>
      <c r="L798" s="8">
        <v>29.306000000000001</v>
      </c>
      <c r="M798" s="8">
        <v>12.063700000000001</v>
      </c>
      <c r="N798" s="8">
        <v>4.9444999999999997</v>
      </c>
      <c r="O798" s="8">
        <v>0.37409999999999999</v>
      </c>
      <c r="P798" s="8">
        <v>1.2927</v>
      </c>
      <c r="Q798" s="8">
        <v>19.688099999999999</v>
      </c>
      <c r="R798" s="8"/>
    </row>
    <row r="799" spans="1:18" ht="14.25" customHeight="1">
      <c r="A799" s="11">
        <v>65439</v>
      </c>
      <c r="B799" s="7">
        <f>CHOOSE( CONTROL!$C$37, 25.143, 25.1419) * CHOOSE(CONTROL!$C$20, $D$12, 100%, $F$12)</f>
        <v>25.143000000000001</v>
      </c>
      <c r="C799" s="7">
        <f>CHOOSE( CONTROL!$C$37, 25.1481, 25.147) * CHOOSE(CONTROL!$C$20, $D$12, 100%, $F$12)</f>
        <v>25.148099999999999</v>
      </c>
      <c r="D799" s="7">
        <f>CHOOSE( CONTROL!$C$37, 25.1411, 25.14) * CHOOSE( CONTROL!$C$20, $D$12, 100%, $F$12)</f>
        <v>25.141100000000002</v>
      </c>
      <c r="E799" s="10">
        <f>CHOOSE( CONTROL!$C$37, 25.1431, 25.142) * CHOOSE( CONTROL!$C$20, $D$12, 100%, $F$12)</f>
        <v>25.1431</v>
      </c>
      <c r="F799" s="4">
        <f>CHOOSE( CONTROL!$C$37, 25.7956, 25.7945) * CHOOSE(CONTROL!$C$20, $D$12, 100%, $F$12)</f>
        <v>25.7956</v>
      </c>
      <c r="G799" s="7">
        <f>CHOOSE( CONTROL!$C$37, 24.8305, 24.8294) * CHOOSE( CONTROL!$C$20, $D$12, 100%, $F$12)</f>
        <v>24.830500000000001</v>
      </c>
      <c r="H799" s="4">
        <f>CHOOSE( CONTROL!$C$37, 25.7095, 25.7085) * CHOOSE(CONTROL!$C$20, $D$12, 100%, $F$12)</f>
        <v>25.709499999999998</v>
      </c>
      <c r="I799" s="7">
        <f>CHOOSE( CONTROL!$C$37, 24.5268, 24.5257) * CHOOSE(CONTROL!$C$20, $D$12, 100%, $F$12)</f>
        <v>24.526800000000001</v>
      </c>
      <c r="J799" s="4">
        <f>CHOOSE( CONTROL!$C$37, 24.3626, 24.3616) * CHOOSE(CONTROL!$C$20, $D$12, 100%, $F$12)</f>
        <v>24.3626</v>
      </c>
      <c r="K799" s="4"/>
      <c r="L799" s="8">
        <v>26.469899999999999</v>
      </c>
      <c r="M799" s="8">
        <v>10.8962</v>
      </c>
      <c r="N799" s="8">
        <v>4.4660000000000002</v>
      </c>
      <c r="O799" s="8">
        <v>0.33789999999999998</v>
      </c>
      <c r="P799" s="8">
        <v>1.1676</v>
      </c>
      <c r="Q799" s="8">
        <v>17.782800000000002</v>
      </c>
      <c r="R799" s="8"/>
    </row>
    <row r="800" spans="1:18" ht="14.25" customHeight="1">
      <c r="A800" s="11">
        <v>65470</v>
      </c>
      <c r="B800" s="7">
        <f>CHOOSE( CONTROL!$C$37, 24.6074, 24.6064) * CHOOSE(CONTROL!$C$20, $D$12, 100%, $F$12)</f>
        <v>24.607399999999998</v>
      </c>
      <c r="C800" s="7">
        <f>CHOOSE( CONTROL!$C$37, 24.6125, 24.6114) * CHOOSE(CONTROL!$C$20, $D$12, 100%, $F$12)</f>
        <v>24.612500000000001</v>
      </c>
      <c r="D800" s="7">
        <f>CHOOSE( CONTROL!$C$37, 24.6049, 24.6038) * CHOOSE( CONTROL!$C$20, $D$12, 100%, $F$12)</f>
        <v>24.604900000000001</v>
      </c>
      <c r="E800" s="10">
        <f>CHOOSE( CONTROL!$C$37, 24.6071, 24.606) * CHOOSE( CONTROL!$C$20, $D$12, 100%, $F$12)</f>
        <v>24.607099999999999</v>
      </c>
      <c r="F800" s="4">
        <f>CHOOSE( CONTROL!$C$37, 25.26, 25.2589) * CHOOSE(CONTROL!$C$20, $D$12, 100%, $F$12)</f>
        <v>25.26</v>
      </c>
      <c r="G800" s="7">
        <f>CHOOSE( CONTROL!$C$37, 24.3019, 24.3009) * CHOOSE( CONTROL!$C$20, $D$12, 100%, $F$12)</f>
        <v>24.3019</v>
      </c>
      <c r="H800" s="4">
        <f>CHOOSE( CONTROL!$C$37, 25.1814, 25.1803) * CHOOSE(CONTROL!$C$20, $D$12, 100%, $F$12)</f>
        <v>25.1814</v>
      </c>
      <c r="I800" s="7">
        <f>CHOOSE( CONTROL!$C$37, 24.006, 24.0049) * CHOOSE(CONTROL!$C$20, $D$12, 100%, $F$12)</f>
        <v>24.006</v>
      </c>
      <c r="J800" s="4">
        <f>CHOOSE( CONTROL!$C$37, 23.844, 23.843) * CHOOSE(CONTROL!$C$20, $D$12, 100%, $F$12)</f>
        <v>23.844000000000001</v>
      </c>
      <c r="K800" s="4"/>
      <c r="L800" s="8">
        <v>29.306000000000001</v>
      </c>
      <c r="M800" s="8">
        <v>12.063700000000001</v>
      </c>
      <c r="N800" s="8">
        <v>4.9444999999999997</v>
      </c>
      <c r="O800" s="8">
        <v>0.37409999999999999</v>
      </c>
      <c r="P800" s="8">
        <v>1.2927</v>
      </c>
      <c r="Q800" s="8">
        <v>19.688099999999999</v>
      </c>
      <c r="R800" s="8"/>
    </row>
    <row r="801" spans="1:18" ht="14.25" customHeight="1">
      <c r="A801" s="11">
        <v>65500</v>
      </c>
      <c r="B801" s="7">
        <f>CHOOSE( CONTROL!$C$37, 24.9825, 24.9814) * CHOOSE(CONTROL!$C$20, $D$12, 100%, $F$12)</f>
        <v>24.982500000000002</v>
      </c>
      <c r="C801" s="7">
        <f>CHOOSE( CONTROL!$C$37, 24.987, 24.9859) * CHOOSE(CONTROL!$C$20, $D$12, 100%, $F$12)</f>
        <v>24.986999999999998</v>
      </c>
      <c r="D801" s="7">
        <f>CHOOSE( CONTROL!$C$37, 24.9988, 24.9977) * CHOOSE( CONTROL!$C$20, $D$12, 100%, $F$12)</f>
        <v>24.998799999999999</v>
      </c>
      <c r="E801" s="10">
        <f>CHOOSE( CONTROL!$C$37, 24.9944, 24.9933) * CHOOSE( CONTROL!$C$20, $D$12, 100%, $F$12)</f>
        <v>24.994399999999999</v>
      </c>
      <c r="F801" s="4">
        <f>CHOOSE( CONTROL!$C$37, 25.7091, 25.708) * CHOOSE(CONTROL!$C$20, $D$12, 100%, $F$12)</f>
        <v>25.709099999999999</v>
      </c>
      <c r="G801" s="7">
        <f>CHOOSE( CONTROL!$C$37, 24.6792, 24.6781) * CHOOSE( CONTROL!$C$20, $D$12, 100%, $F$12)</f>
        <v>24.679200000000002</v>
      </c>
      <c r="H801" s="4">
        <f>CHOOSE( CONTROL!$C$37, 25.6243, 25.6232) * CHOOSE(CONTROL!$C$20, $D$12, 100%, $F$12)</f>
        <v>25.624300000000002</v>
      </c>
      <c r="I801" s="7">
        <f>CHOOSE( CONTROL!$C$37, 24.3411, 24.3401) * CHOOSE(CONTROL!$C$20, $D$12, 100%, $F$12)</f>
        <v>24.341100000000001</v>
      </c>
      <c r="J801" s="4">
        <f>CHOOSE( CONTROL!$C$37, 24.2064, 24.2054) * CHOOSE(CONTROL!$C$20, $D$12, 100%, $F$12)</f>
        <v>24.206399999999999</v>
      </c>
      <c r="K801" s="4"/>
      <c r="L801" s="8">
        <v>30.092199999999998</v>
      </c>
      <c r="M801" s="8">
        <v>11.6745</v>
      </c>
      <c r="N801" s="8">
        <v>4.7850000000000001</v>
      </c>
      <c r="O801" s="8">
        <v>0.36199999999999999</v>
      </c>
      <c r="P801" s="8">
        <v>1.2509999999999999</v>
      </c>
      <c r="Q801" s="8">
        <v>19.053000000000001</v>
      </c>
      <c r="R801" s="8"/>
    </row>
    <row r="802" spans="1:18" ht="14.25" customHeight="1">
      <c r="A802" s="11">
        <v>65531</v>
      </c>
      <c r="B802" s="7">
        <f>CHOOSE( CONTROL!$C$37, 25.6505, 25.6488) * CHOOSE(CONTROL!$C$20, $D$12, 100%, $F$12)</f>
        <v>25.650500000000001</v>
      </c>
      <c r="C802" s="7">
        <f>CHOOSE( CONTROL!$C$37, 25.6585, 25.6568) * CHOOSE(CONTROL!$C$20, $D$12, 100%, $F$12)</f>
        <v>25.6585</v>
      </c>
      <c r="D802" s="7">
        <f>CHOOSE( CONTROL!$C$37, 25.6641, 25.6625) * CHOOSE( CONTROL!$C$20, $D$12, 100%, $F$12)</f>
        <v>25.664100000000001</v>
      </c>
      <c r="E802" s="10">
        <f>CHOOSE( CONTROL!$C$37, 25.6609, 25.6592) * CHOOSE( CONTROL!$C$20, $D$12, 100%, $F$12)</f>
        <v>25.660900000000002</v>
      </c>
      <c r="F802" s="4">
        <f>CHOOSE( CONTROL!$C$37, 26.3758, 26.3741) * CHOOSE(CONTROL!$C$20, $D$12, 100%, $F$12)</f>
        <v>26.375800000000002</v>
      </c>
      <c r="G802" s="7">
        <f>CHOOSE( CONTROL!$C$37, 25.3365, 25.3349) * CHOOSE( CONTROL!$C$20, $D$12, 100%, $F$12)</f>
        <v>25.336500000000001</v>
      </c>
      <c r="H802" s="4">
        <f>CHOOSE( CONTROL!$C$37, 26.2816, 26.28) * CHOOSE(CONTROL!$C$20, $D$12, 100%, $F$12)</f>
        <v>26.281600000000001</v>
      </c>
      <c r="I802" s="7">
        <f>CHOOSE( CONTROL!$C$37, 24.9867, 24.9851) * CHOOSE(CONTROL!$C$20, $D$12, 100%, $F$12)</f>
        <v>24.986699999999999</v>
      </c>
      <c r="J802" s="4">
        <f>CHOOSE( CONTROL!$C$37, 24.852, 24.8503) * CHOOSE(CONTROL!$C$20, $D$12, 100%, $F$12)</f>
        <v>24.852</v>
      </c>
      <c r="K802" s="4"/>
      <c r="L802" s="8">
        <v>30.7165</v>
      </c>
      <c r="M802" s="8">
        <v>12.063700000000001</v>
      </c>
      <c r="N802" s="8">
        <v>4.9444999999999997</v>
      </c>
      <c r="O802" s="8">
        <v>0.37409999999999999</v>
      </c>
      <c r="P802" s="8">
        <v>1.2927</v>
      </c>
      <c r="Q802" s="8">
        <v>19.688099999999999</v>
      </c>
      <c r="R802" s="8"/>
    </row>
    <row r="803" spans="1:18" ht="14.25" customHeight="1">
      <c r="A803" s="11">
        <v>65561</v>
      </c>
      <c r="B803" s="7">
        <f>CHOOSE( CONTROL!$C$37, 25.2379, 25.2362) * CHOOSE(CONTROL!$C$20, $D$12, 100%, $F$12)</f>
        <v>25.2379</v>
      </c>
      <c r="C803" s="7">
        <f>CHOOSE( CONTROL!$C$37, 25.2459, 25.2442) * CHOOSE(CONTROL!$C$20, $D$12, 100%, $F$12)</f>
        <v>25.245899999999999</v>
      </c>
      <c r="D803" s="7">
        <f>CHOOSE( CONTROL!$C$37, 25.2518, 25.2501) * CHOOSE( CONTROL!$C$20, $D$12, 100%, $F$12)</f>
        <v>25.251799999999999</v>
      </c>
      <c r="E803" s="10">
        <f>CHOOSE( CONTROL!$C$37, 25.2484, 25.2467) * CHOOSE( CONTROL!$C$20, $D$12, 100%, $F$12)</f>
        <v>25.2484</v>
      </c>
      <c r="F803" s="4">
        <f>CHOOSE( CONTROL!$C$37, 25.9631, 25.9615) * CHOOSE(CONTROL!$C$20, $D$12, 100%, $F$12)</f>
        <v>25.963100000000001</v>
      </c>
      <c r="G803" s="7">
        <f>CHOOSE( CONTROL!$C$37, 24.9299, 24.9282) * CHOOSE( CONTROL!$C$20, $D$12, 100%, $F$12)</f>
        <v>24.9299</v>
      </c>
      <c r="H803" s="4">
        <f>CHOOSE( CONTROL!$C$37, 25.8748, 25.8731) * CHOOSE(CONTROL!$C$20, $D$12, 100%, $F$12)</f>
        <v>25.8748</v>
      </c>
      <c r="I803" s="7">
        <f>CHOOSE( CONTROL!$C$37, 24.5879, 24.5863) * CHOOSE(CONTROL!$C$20, $D$12, 100%, $F$12)</f>
        <v>24.587900000000001</v>
      </c>
      <c r="J803" s="4">
        <f>CHOOSE( CONTROL!$C$37, 24.4524, 24.4508) * CHOOSE(CONTROL!$C$20, $D$12, 100%, $F$12)</f>
        <v>24.452400000000001</v>
      </c>
      <c r="K803" s="4"/>
      <c r="L803" s="8">
        <v>29.7257</v>
      </c>
      <c r="M803" s="8">
        <v>11.6745</v>
      </c>
      <c r="N803" s="8">
        <v>4.7850000000000001</v>
      </c>
      <c r="O803" s="8">
        <v>0.36199999999999999</v>
      </c>
      <c r="P803" s="8">
        <v>1.2509999999999999</v>
      </c>
      <c r="Q803" s="8">
        <v>19.053000000000001</v>
      </c>
      <c r="R803" s="8"/>
    </row>
    <row r="804" spans="1:18" ht="14.25" customHeight="1">
      <c r="A804" s="11">
        <v>65592</v>
      </c>
      <c r="B804" s="7">
        <f>CHOOSE( CONTROL!$C$37, 26.3244, 26.3228) * CHOOSE(CONTROL!$C$20, $D$12, 100%, $F$12)</f>
        <v>26.324400000000001</v>
      </c>
      <c r="C804" s="7">
        <f>CHOOSE( CONTROL!$C$37, 26.3324, 26.3308) * CHOOSE(CONTROL!$C$20, $D$12, 100%, $F$12)</f>
        <v>26.3324</v>
      </c>
      <c r="D804" s="7">
        <f>CHOOSE( CONTROL!$C$37, 26.3387, 26.337) * CHOOSE( CONTROL!$C$20, $D$12, 100%, $F$12)</f>
        <v>26.338699999999999</v>
      </c>
      <c r="E804" s="10">
        <f>CHOOSE( CONTROL!$C$37, 26.3352, 26.3335) * CHOOSE( CONTROL!$C$20, $D$12, 100%, $F$12)</f>
        <v>26.3352</v>
      </c>
      <c r="F804" s="4">
        <f>CHOOSE( CONTROL!$C$37, 27.0497, 27.0481) * CHOOSE(CONTROL!$C$20, $D$12, 100%, $F$12)</f>
        <v>27.049700000000001</v>
      </c>
      <c r="G804" s="7">
        <f>CHOOSE( CONTROL!$C$37, 26.0015, 25.9999) * CHOOSE( CONTROL!$C$20, $D$12, 100%, $F$12)</f>
        <v>26.0015</v>
      </c>
      <c r="H804" s="4">
        <f>CHOOSE( CONTROL!$C$37, 26.9462, 26.9445) * CHOOSE(CONTROL!$C$20, $D$12, 100%, $F$12)</f>
        <v>26.946200000000001</v>
      </c>
      <c r="I804" s="7">
        <f>CHOOSE( CONTROL!$C$37, 25.6416, 25.64) * CHOOSE(CONTROL!$C$20, $D$12, 100%, $F$12)</f>
        <v>25.6416</v>
      </c>
      <c r="J804" s="4">
        <f>CHOOSE( CONTROL!$C$37, 25.5045, 25.5029) * CHOOSE(CONTROL!$C$20, $D$12, 100%, $F$12)</f>
        <v>25.5045</v>
      </c>
      <c r="K804" s="4"/>
      <c r="L804" s="8">
        <v>30.7165</v>
      </c>
      <c r="M804" s="8">
        <v>12.063700000000001</v>
      </c>
      <c r="N804" s="8">
        <v>4.9444999999999997</v>
      </c>
      <c r="O804" s="8">
        <v>0.37409999999999999</v>
      </c>
      <c r="P804" s="8">
        <v>1.2927</v>
      </c>
      <c r="Q804" s="8">
        <v>19.688099999999999</v>
      </c>
      <c r="R804" s="8"/>
    </row>
    <row r="805" spans="1:18" ht="14.25" customHeight="1">
      <c r="A805" s="11">
        <v>65623</v>
      </c>
      <c r="B805" s="7">
        <f>CHOOSE( CONTROL!$C$37, 24.2913, 24.2897) * CHOOSE(CONTROL!$C$20, $D$12, 100%, $F$12)</f>
        <v>24.2913</v>
      </c>
      <c r="C805" s="7">
        <f>CHOOSE( CONTROL!$C$37, 24.2993, 24.2977) * CHOOSE(CONTROL!$C$20, $D$12, 100%, $F$12)</f>
        <v>24.299299999999999</v>
      </c>
      <c r="D805" s="7">
        <f>CHOOSE( CONTROL!$C$37, 24.3056, 24.304) * CHOOSE( CONTROL!$C$20, $D$12, 100%, $F$12)</f>
        <v>24.305599999999998</v>
      </c>
      <c r="E805" s="10">
        <f>CHOOSE( CONTROL!$C$37, 24.3021, 24.3005) * CHOOSE( CONTROL!$C$20, $D$12, 100%, $F$12)</f>
        <v>24.302099999999999</v>
      </c>
      <c r="F805" s="4">
        <f>CHOOSE( CONTROL!$C$37, 25.0166, 25.015) * CHOOSE(CONTROL!$C$20, $D$12, 100%, $F$12)</f>
        <v>25.0166</v>
      </c>
      <c r="G805" s="7">
        <f>CHOOSE( CONTROL!$C$37, 23.9969, 23.9952) * CHOOSE( CONTROL!$C$20, $D$12, 100%, $F$12)</f>
        <v>23.9969</v>
      </c>
      <c r="H805" s="4">
        <f>CHOOSE( CONTROL!$C$37, 24.9415, 24.9398) * CHOOSE(CONTROL!$C$20, $D$12, 100%, $F$12)</f>
        <v>24.941500000000001</v>
      </c>
      <c r="I805" s="7">
        <f>CHOOSE( CONTROL!$C$37, 23.6723, 23.6707) * CHOOSE(CONTROL!$C$20, $D$12, 100%, $F$12)</f>
        <v>23.6723</v>
      </c>
      <c r="J805" s="4">
        <f>CHOOSE( CONTROL!$C$37, 23.5359, 23.5343) * CHOOSE(CONTROL!$C$20, $D$12, 100%, $F$12)</f>
        <v>23.535900000000002</v>
      </c>
      <c r="K805" s="4"/>
      <c r="L805" s="8">
        <v>30.7165</v>
      </c>
      <c r="M805" s="8">
        <v>12.063700000000001</v>
      </c>
      <c r="N805" s="8">
        <v>4.9444999999999997</v>
      </c>
      <c r="O805" s="8">
        <v>0.37409999999999999</v>
      </c>
      <c r="P805" s="8">
        <v>1.2927</v>
      </c>
      <c r="Q805" s="8">
        <v>19.688099999999999</v>
      </c>
      <c r="R805" s="8"/>
    </row>
    <row r="806" spans="1:18" ht="14.25" customHeight="1">
      <c r="A806" s="11">
        <v>65653</v>
      </c>
      <c r="B806" s="7">
        <f>CHOOSE( CONTROL!$C$37, 23.7822, 23.7806) * CHOOSE(CONTROL!$C$20, $D$12, 100%, $F$12)</f>
        <v>23.7822</v>
      </c>
      <c r="C806" s="7">
        <f>CHOOSE( CONTROL!$C$37, 23.7902, 23.7886) * CHOOSE(CONTROL!$C$20, $D$12, 100%, $F$12)</f>
        <v>23.790199999999999</v>
      </c>
      <c r="D806" s="7">
        <f>CHOOSE( CONTROL!$C$37, 23.7964, 23.7948) * CHOOSE( CONTROL!$C$20, $D$12, 100%, $F$12)</f>
        <v>23.796399999999998</v>
      </c>
      <c r="E806" s="10">
        <f>CHOOSE( CONTROL!$C$37, 23.7929, 23.7913) * CHOOSE( CONTROL!$C$20, $D$12, 100%, $F$12)</f>
        <v>23.792899999999999</v>
      </c>
      <c r="F806" s="4">
        <f>CHOOSE( CONTROL!$C$37, 24.5075, 24.5059) * CHOOSE(CONTROL!$C$20, $D$12, 100%, $F$12)</f>
        <v>24.5075</v>
      </c>
      <c r="G806" s="7">
        <f>CHOOSE( CONTROL!$C$37, 23.4948, 23.4931) * CHOOSE( CONTROL!$C$20, $D$12, 100%, $F$12)</f>
        <v>23.494800000000001</v>
      </c>
      <c r="H806" s="4">
        <f>CHOOSE( CONTROL!$C$37, 24.4395, 24.4378) * CHOOSE(CONTROL!$C$20, $D$12, 100%, $F$12)</f>
        <v>24.439499999999999</v>
      </c>
      <c r="I806" s="7">
        <f>CHOOSE( CONTROL!$C$37, 23.1787, 23.1771) * CHOOSE(CONTROL!$C$20, $D$12, 100%, $F$12)</f>
        <v>23.178699999999999</v>
      </c>
      <c r="J806" s="4">
        <f>CHOOSE( CONTROL!$C$37, 23.0429, 23.0413) * CHOOSE(CONTROL!$C$20, $D$12, 100%, $F$12)</f>
        <v>23.042899999999999</v>
      </c>
      <c r="K806" s="4"/>
      <c r="L806" s="8">
        <v>29.7257</v>
      </c>
      <c r="M806" s="8">
        <v>11.6745</v>
      </c>
      <c r="N806" s="8">
        <v>4.7850000000000001</v>
      </c>
      <c r="O806" s="8">
        <v>0.36199999999999999</v>
      </c>
      <c r="P806" s="8">
        <v>1.2509999999999999</v>
      </c>
      <c r="Q806" s="8">
        <v>19.053000000000001</v>
      </c>
      <c r="R806" s="8"/>
    </row>
    <row r="807" spans="1:18" ht="14.25" customHeight="1">
      <c r="A807" s="11">
        <v>65684</v>
      </c>
      <c r="B807" s="7">
        <f>CHOOSE( CONTROL!$C$37, 24.837, 24.8359) * CHOOSE(CONTROL!$C$20, $D$12, 100%, $F$12)</f>
        <v>24.837</v>
      </c>
      <c r="C807" s="7">
        <f>CHOOSE( CONTROL!$C$37, 24.8424, 24.8413) * CHOOSE(CONTROL!$C$20, $D$12, 100%, $F$12)</f>
        <v>24.842400000000001</v>
      </c>
      <c r="D807" s="7">
        <f>CHOOSE( CONTROL!$C$37, 24.8544, 24.8533) * CHOOSE( CONTROL!$C$20, $D$12, 100%, $F$12)</f>
        <v>24.854399999999998</v>
      </c>
      <c r="E807" s="10">
        <f>CHOOSE( CONTROL!$C$37, 24.8499, 24.8488) * CHOOSE( CONTROL!$C$20, $D$12, 100%, $F$12)</f>
        <v>24.849900000000002</v>
      </c>
      <c r="F807" s="4">
        <f>CHOOSE( CONTROL!$C$37, 25.564, 25.5629) * CHOOSE(CONTROL!$C$20, $D$12, 100%, $F$12)</f>
        <v>25.564</v>
      </c>
      <c r="G807" s="7">
        <f>CHOOSE( CONTROL!$C$37, 24.5367, 24.5356) * CHOOSE( CONTROL!$C$20, $D$12, 100%, $F$12)</f>
        <v>24.5367</v>
      </c>
      <c r="H807" s="4">
        <f>CHOOSE( CONTROL!$C$37, 25.4812, 25.4802) * CHOOSE(CONTROL!$C$20, $D$12, 100%, $F$12)</f>
        <v>25.481200000000001</v>
      </c>
      <c r="I807" s="7">
        <f>CHOOSE( CONTROL!$C$37, 24.2029, 24.2018) * CHOOSE(CONTROL!$C$20, $D$12, 100%, $F$12)</f>
        <v>24.2029</v>
      </c>
      <c r="J807" s="4">
        <f>CHOOSE( CONTROL!$C$37, 24.0659, 24.0649) * CHOOSE(CONTROL!$C$20, $D$12, 100%, $F$12)</f>
        <v>24.065899999999999</v>
      </c>
      <c r="K807" s="4"/>
      <c r="L807" s="8">
        <v>31.095300000000002</v>
      </c>
      <c r="M807" s="8">
        <v>12.063700000000001</v>
      </c>
      <c r="N807" s="8">
        <v>4.9444999999999997</v>
      </c>
      <c r="O807" s="8">
        <v>0.37409999999999999</v>
      </c>
      <c r="P807" s="8">
        <v>1.2927</v>
      </c>
      <c r="Q807" s="8">
        <v>19.688099999999999</v>
      </c>
      <c r="R807" s="8"/>
    </row>
    <row r="808" spans="1:18" ht="14.25" customHeight="1">
      <c r="A808" s="11">
        <v>65714</v>
      </c>
      <c r="B808" s="7">
        <f>CHOOSE( CONTROL!$C$37, 26.7878, 26.7867) * CHOOSE(CONTROL!$C$20, $D$12, 100%, $F$12)</f>
        <v>26.787800000000001</v>
      </c>
      <c r="C808" s="7">
        <f>CHOOSE( CONTROL!$C$37, 26.7929, 26.7918) * CHOOSE(CONTROL!$C$20, $D$12, 100%, $F$12)</f>
        <v>26.792899999999999</v>
      </c>
      <c r="D808" s="7">
        <f>CHOOSE( CONTROL!$C$37, 26.7713, 26.7702) * CHOOSE( CONTROL!$C$20, $D$12, 100%, $F$12)</f>
        <v>26.7713</v>
      </c>
      <c r="E808" s="10">
        <f>CHOOSE( CONTROL!$C$37, 26.7787, 26.7776) * CHOOSE( CONTROL!$C$20, $D$12, 100%, $F$12)</f>
        <v>26.778700000000001</v>
      </c>
      <c r="F808" s="4">
        <f>CHOOSE( CONTROL!$C$37, 27.4403, 27.4392) * CHOOSE(CONTROL!$C$20, $D$12, 100%, $F$12)</f>
        <v>27.440300000000001</v>
      </c>
      <c r="G808" s="7">
        <f>CHOOSE( CONTROL!$C$37, 26.4467, 26.4457) * CHOOSE( CONTROL!$C$20, $D$12, 100%, $F$12)</f>
        <v>26.4467</v>
      </c>
      <c r="H808" s="4">
        <f>CHOOSE( CONTROL!$C$37, 27.3313, 27.3303) * CHOOSE(CONTROL!$C$20, $D$12, 100%, $F$12)</f>
        <v>27.331299999999999</v>
      </c>
      <c r="I808" s="7">
        <f>CHOOSE( CONTROL!$C$37, 26.1443, 26.1432) * CHOOSE(CONTROL!$C$20, $D$12, 100%, $F$12)</f>
        <v>26.144300000000001</v>
      </c>
      <c r="J808" s="4">
        <f>CHOOSE( CONTROL!$C$37, 25.9553, 25.9542) * CHOOSE(CONTROL!$C$20, $D$12, 100%, $F$12)</f>
        <v>25.955300000000001</v>
      </c>
      <c r="K808" s="4"/>
      <c r="L808" s="8">
        <v>28.360600000000002</v>
      </c>
      <c r="M808" s="8">
        <v>11.6745</v>
      </c>
      <c r="N808" s="8">
        <v>4.7850000000000001</v>
      </c>
      <c r="O808" s="8">
        <v>0.36199999999999999</v>
      </c>
      <c r="P808" s="8">
        <v>1.2509999999999999</v>
      </c>
      <c r="Q808" s="8">
        <v>19.053000000000001</v>
      </c>
      <c r="R808" s="8"/>
    </row>
    <row r="809" spans="1:18" ht="14.25" customHeight="1">
      <c r="A809" s="11">
        <v>65745</v>
      </c>
      <c r="B809" s="7">
        <f>CHOOSE( CONTROL!$C$37, 26.739, 26.7379) * CHOOSE(CONTROL!$C$20, $D$12, 100%, $F$12)</f>
        <v>26.739000000000001</v>
      </c>
      <c r="C809" s="7">
        <f>CHOOSE( CONTROL!$C$37, 26.7441, 26.743) * CHOOSE(CONTROL!$C$20, $D$12, 100%, $F$12)</f>
        <v>26.7441</v>
      </c>
      <c r="D809" s="7">
        <f>CHOOSE( CONTROL!$C$37, 26.7242, 26.7231) * CHOOSE( CONTROL!$C$20, $D$12, 100%, $F$12)</f>
        <v>26.7242</v>
      </c>
      <c r="E809" s="10">
        <f>CHOOSE( CONTROL!$C$37, 26.7309, 26.7298) * CHOOSE( CONTROL!$C$20, $D$12, 100%, $F$12)</f>
        <v>26.730899999999998</v>
      </c>
      <c r="F809" s="4">
        <f>CHOOSE( CONTROL!$C$37, 27.3916, 27.3905) * CHOOSE(CONTROL!$C$20, $D$12, 100%, $F$12)</f>
        <v>27.3916</v>
      </c>
      <c r="G809" s="7">
        <f>CHOOSE( CONTROL!$C$37, 26.3998, 26.3987) * CHOOSE( CONTROL!$C$20, $D$12, 100%, $F$12)</f>
        <v>26.399799999999999</v>
      </c>
      <c r="H809" s="4">
        <f>CHOOSE( CONTROL!$C$37, 27.2833, 27.2822) * CHOOSE(CONTROL!$C$20, $D$12, 100%, $F$12)</f>
        <v>27.283300000000001</v>
      </c>
      <c r="I809" s="7">
        <f>CHOOSE( CONTROL!$C$37, 26.1019, 26.1009) * CHOOSE(CONTROL!$C$20, $D$12, 100%, $F$12)</f>
        <v>26.101900000000001</v>
      </c>
      <c r="J809" s="4">
        <f>CHOOSE( CONTROL!$C$37, 25.9081, 25.907) * CHOOSE(CONTROL!$C$20, $D$12, 100%, $F$12)</f>
        <v>25.908100000000001</v>
      </c>
      <c r="K809" s="4"/>
      <c r="L809" s="8">
        <v>29.306000000000001</v>
      </c>
      <c r="M809" s="8">
        <v>12.063700000000001</v>
      </c>
      <c r="N809" s="8">
        <v>4.9444999999999997</v>
      </c>
      <c r="O809" s="8">
        <v>0.37409999999999999</v>
      </c>
      <c r="P809" s="8">
        <v>1.2927</v>
      </c>
      <c r="Q809" s="8">
        <v>19.688099999999999</v>
      </c>
      <c r="R809" s="8"/>
    </row>
    <row r="810" spans="1:18" ht="14.25" customHeight="1">
      <c r="A810" s="11">
        <v>65776</v>
      </c>
      <c r="B810" s="7">
        <f>CHOOSE( CONTROL!$C$37, 27.5282, 27.5271) * CHOOSE(CONTROL!$C$20, $D$12, 100%, $F$12)</f>
        <v>27.528199999999998</v>
      </c>
      <c r="C810" s="7">
        <f>CHOOSE( CONTROL!$C$37, 27.5333, 27.5322) * CHOOSE(CONTROL!$C$20, $D$12, 100%, $F$12)</f>
        <v>27.533300000000001</v>
      </c>
      <c r="D810" s="7">
        <f>CHOOSE( CONTROL!$C$37, 27.5264, 27.5253) * CHOOSE( CONTROL!$C$20, $D$12, 100%, $F$12)</f>
        <v>27.526399999999999</v>
      </c>
      <c r="E810" s="10">
        <f>CHOOSE( CONTROL!$C$37, 27.5284, 27.5273) * CHOOSE( CONTROL!$C$20, $D$12, 100%, $F$12)</f>
        <v>27.528400000000001</v>
      </c>
      <c r="F810" s="4">
        <f>CHOOSE( CONTROL!$C$37, 28.1808, 28.1797) * CHOOSE(CONTROL!$C$20, $D$12, 100%, $F$12)</f>
        <v>28.180800000000001</v>
      </c>
      <c r="G810" s="7">
        <f>CHOOSE( CONTROL!$C$37, 27.1825, 27.1814) * CHOOSE( CONTROL!$C$20, $D$12, 100%, $F$12)</f>
        <v>27.182500000000001</v>
      </c>
      <c r="H810" s="4">
        <f>CHOOSE( CONTROL!$C$37, 28.0615, 28.0604) * CHOOSE(CONTROL!$C$20, $D$12, 100%, $F$12)</f>
        <v>28.061499999999999</v>
      </c>
      <c r="I810" s="7">
        <f>CHOOSE( CONTROL!$C$37, 26.8378, 26.8367) * CHOOSE(CONTROL!$C$20, $D$12, 100%, $F$12)</f>
        <v>26.837800000000001</v>
      </c>
      <c r="J810" s="4">
        <f>CHOOSE( CONTROL!$C$37, 26.6722, 26.6712) * CHOOSE(CONTROL!$C$20, $D$12, 100%, $F$12)</f>
        <v>26.6722</v>
      </c>
      <c r="K810" s="4"/>
      <c r="L810" s="8">
        <v>29.306000000000001</v>
      </c>
      <c r="M810" s="8">
        <v>12.063700000000001</v>
      </c>
      <c r="N810" s="8">
        <v>4.9444999999999997</v>
      </c>
      <c r="O810" s="8">
        <v>0.37409999999999999</v>
      </c>
      <c r="P810" s="8">
        <v>1.2927</v>
      </c>
      <c r="Q810" s="8">
        <v>19.688099999999999</v>
      </c>
      <c r="R810" s="8"/>
    </row>
    <row r="811" spans="1:18" ht="14.25" customHeight="1">
      <c r="A811" s="11">
        <v>65805</v>
      </c>
      <c r="B811" s="7">
        <f>CHOOSE( CONTROL!$C$37, 25.7475, 25.7464) * CHOOSE(CONTROL!$C$20, $D$12, 100%, $F$12)</f>
        <v>25.747499999999999</v>
      </c>
      <c r="C811" s="7">
        <f>CHOOSE( CONTROL!$C$37, 25.7526, 25.7515) * CHOOSE(CONTROL!$C$20, $D$12, 100%, $F$12)</f>
        <v>25.752600000000001</v>
      </c>
      <c r="D811" s="7">
        <f>CHOOSE( CONTROL!$C$37, 25.7456, 25.7446) * CHOOSE( CONTROL!$C$20, $D$12, 100%, $F$12)</f>
        <v>25.7456</v>
      </c>
      <c r="E811" s="10">
        <f>CHOOSE( CONTROL!$C$37, 25.7476, 25.7466) * CHOOSE( CONTROL!$C$20, $D$12, 100%, $F$12)</f>
        <v>25.747599999999998</v>
      </c>
      <c r="F811" s="4">
        <f>CHOOSE( CONTROL!$C$37, 26.4001, 26.399) * CHOOSE(CONTROL!$C$20, $D$12, 100%, $F$12)</f>
        <v>26.400099999999998</v>
      </c>
      <c r="G811" s="7">
        <f>CHOOSE( CONTROL!$C$37, 25.4266, 25.4255) * CHOOSE( CONTROL!$C$20, $D$12, 100%, $F$12)</f>
        <v>25.426600000000001</v>
      </c>
      <c r="H811" s="4">
        <f>CHOOSE( CONTROL!$C$37, 26.3056, 26.3045) * CHOOSE(CONTROL!$C$20, $D$12, 100%, $F$12)</f>
        <v>26.305599999999998</v>
      </c>
      <c r="I811" s="7">
        <f>CHOOSE( CONTROL!$C$37, 25.1124, 25.1114) * CHOOSE(CONTROL!$C$20, $D$12, 100%, $F$12)</f>
        <v>25.112400000000001</v>
      </c>
      <c r="J811" s="4">
        <f>CHOOSE( CONTROL!$C$37, 24.948, 24.9469) * CHOOSE(CONTROL!$C$20, $D$12, 100%, $F$12)</f>
        <v>24.948</v>
      </c>
      <c r="K811" s="4"/>
      <c r="L811" s="8">
        <v>27.415299999999998</v>
      </c>
      <c r="M811" s="8">
        <v>11.285299999999999</v>
      </c>
      <c r="N811" s="8">
        <v>4.6254999999999997</v>
      </c>
      <c r="O811" s="8">
        <v>0.34989999999999999</v>
      </c>
      <c r="P811" s="8">
        <v>1.2093</v>
      </c>
      <c r="Q811" s="8">
        <v>18.417899999999999</v>
      </c>
      <c r="R811" s="8"/>
    </row>
    <row r="812" spans="1:18" ht="14.25" customHeight="1">
      <c r="A812" s="11">
        <v>65836</v>
      </c>
      <c r="B812" s="7">
        <f>CHOOSE( CONTROL!$C$37, 25.1991, 25.198) * CHOOSE(CONTROL!$C$20, $D$12, 100%, $F$12)</f>
        <v>25.199100000000001</v>
      </c>
      <c r="C812" s="7">
        <f>CHOOSE( CONTROL!$C$37, 25.2042, 25.2031) * CHOOSE(CONTROL!$C$20, $D$12, 100%, $F$12)</f>
        <v>25.2042</v>
      </c>
      <c r="D812" s="7">
        <f>CHOOSE( CONTROL!$C$37, 25.1966, 25.1955) * CHOOSE( CONTROL!$C$20, $D$12, 100%, $F$12)</f>
        <v>25.1966</v>
      </c>
      <c r="E812" s="10">
        <f>CHOOSE( CONTROL!$C$37, 25.1988, 25.1977) * CHOOSE( CONTROL!$C$20, $D$12, 100%, $F$12)</f>
        <v>25.198799999999999</v>
      </c>
      <c r="F812" s="4">
        <f>CHOOSE( CONTROL!$C$37, 25.8516, 25.8505) * CHOOSE(CONTROL!$C$20, $D$12, 100%, $F$12)</f>
        <v>25.851600000000001</v>
      </c>
      <c r="G812" s="7">
        <f>CHOOSE( CONTROL!$C$37, 24.8853, 24.8842) * CHOOSE( CONTROL!$C$20, $D$12, 100%, $F$12)</f>
        <v>24.885300000000001</v>
      </c>
      <c r="H812" s="4">
        <f>CHOOSE( CONTROL!$C$37, 25.7648, 25.7637) * CHOOSE(CONTROL!$C$20, $D$12, 100%, $F$12)</f>
        <v>25.764800000000001</v>
      </c>
      <c r="I812" s="7">
        <f>CHOOSE( CONTROL!$C$37, 24.5792, 24.5781) * CHOOSE(CONTROL!$C$20, $D$12, 100%, $F$12)</f>
        <v>24.5792</v>
      </c>
      <c r="J812" s="4">
        <f>CHOOSE( CONTROL!$C$37, 24.4169, 24.4159) * CHOOSE(CONTROL!$C$20, $D$12, 100%, $F$12)</f>
        <v>24.416899999999998</v>
      </c>
      <c r="K812" s="4"/>
      <c r="L812" s="8">
        <v>29.306000000000001</v>
      </c>
      <c r="M812" s="8">
        <v>12.063700000000001</v>
      </c>
      <c r="N812" s="8">
        <v>4.9444999999999997</v>
      </c>
      <c r="O812" s="8">
        <v>0.37409999999999999</v>
      </c>
      <c r="P812" s="8">
        <v>1.2927</v>
      </c>
      <c r="Q812" s="8">
        <v>19.688099999999999</v>
      </c>
      <c r="R812" s="8"/>
    </row>
    <row r="813" spans="1:18" ht="14.25" customHeight="1">
      <c r="A813" s="11">
        <v>65866</v>
      </c>
      <c r="B813" s="7">
        <f>CHOOSE( CONTROL!$C$37, 25.5831, 25.582) * CHOOSE(CONTROL!$C$20, $D$12, 100%, $F$12)</f>
        <v>25.583100000000002</v>
      </c>
      <c r="C813" s="7">
        <f>CHOOSE( CONTROL!$C$37, 25.5876, 25.5865) * CHOOSE(CONTROL!$C$20, $D$12, 100%, $F$12)</f>
        <v>25.587599999999998</v>
      </c>
      <c r="D813" s="7">
        <f>CHOOSE( CONTROL!$C$37, 25.5994, 25.5984) * CHOOSE( CONTROL!$C$20, $D$12, 100%, $F$12)</f>
        <v>25.599399999999999</v>
      </c>
      <c r="E813" s="10">
        <f>CHOOSE( CONTROL!$C$37, 25.595, 25.594) * CHOOSE( CONTROL!$C$20, $D$12, 100%, $F$12)</f>
        <v>25.594999999999999</v>
      </c>
      <c r="F813" s="4">
        <f>CHOOSE( CONTROL!$C$37, 26.3097, 26.3087) * CHOOSE(CONTROL!$C$20, $D$12, 100%, $F$12)</f>
        <v>26.309699999999999</v>
      </c>
      <c r="G813" s="7">
        <f>CHOOSE( CONTROL!$C$37, 25.2715, 25.2704) * CHOOSE( CONTROL!$C$20, $D$12, 100%, $F$12)</f>
        <v>25.2715</v>
      </c>
      <c r="H813" s="4">
        <f>CHOOSE( CONTROL!$C$37, 26.2165, 26.2155) * CHOOSE(CONTROL!$C$20, $D$12, 100%, $F$12)</f>
        <v>26.2165</v>
      </c>
      <c r="I813" s="7">
        <f>CHOOSE( CONTROL!$C$37, 24.923, 24.922) * CHOOSE(CONTROL!$C$20, $D$12, 100%, $F$12)</f>
        <v>24.922999999999998</v>
      </c>
      <c r="J813" s="4">
        <f>CHOOSE( CONTROL!$C$37, 24.788, 24.787) * CHOOSE(CONTROL!$C$20, $D$12, 100%, $F$12)</f>
        <v>24.788</v>
      </c>
      <c r="K813" s="4"/>
      <c r="L813" s="8">
        <v>30.092199999999998</v>
      </c>
      <c r="M813" s="8">
        <v>11.6745</v>
      </c>
      <c r="N813" s="8">
        <v>4.7850000000000001</v>
      </c>
      <c r="O813" s="8">
        <v>0.36199999999999999</v>
      </c>
      <c r="P813" s="8">
        <v>1.2509999999999999</v>
      </c>
      <c r="Q813" s="8">
        <v>19.053000000000001</v>
      </c>
      <c r="R813" s="8"/>
    </row>
    <row r="814" spans="1:18" ht="14.25" customHeight="1">
      <c r="A814" s="11">
        <v>65897</v>
      </c>
      <c r="B814" s="7">
        <f>CHOOSE( CONTROL!$C$37, 26.2671, 26.2655) * CHOOSE(CONTROL!$C$20, $D$12, 100%, $F$12)</f>
        <v>26.267099999999999</v>
      </c>
      <c r="C814" s="7">
        <f>CHOOSE( CONTROL!$C$37, 26.2751, 26.2734) * CHOOSE(CONTROL!$C$20, $D$12, 100%, $F$12)</f>
        <v>26.275099999999998</v>
      </c>
      <c r="D814" s="7">
        <f>CHOOSE( CONTROL!$C$37, 26.2808, 26.2791) * CHOOSE( CONTROL!$C$20, $D$12, 100%, $F$12)</f>
        <v>26.280799999999999</v>
      </c>
      <c r="E814" s="10">
        <f>CHOOSE( CONTROL!$C$37, 26.2775, 26.2758) * CHOOSE( CONTROL!$C$20, $D$12, 100%, $F$12)</f>
        <v>26.2775</v>
      </c>
      <c r="F814" s="4">
        <f>CHOOSE( CONTROL!$C$37, 26.9924, 26.9907) * CHOOSE(CONTROL!$C$20, $D$12, 100%, $F$12)</f>
        <v>26.9924</v>
      </c>
      <c r="G814" s="7">
        <f>CHOOSE( CONTROL!$C$37, 25.9446, 25.9429) * CHOOSE( CONTROL!$C$20, $D$12, 100%, $F$12)</f>
        <v>25.944600000000001</v>
      </c>
      <c r="H814" s="4">
        <f>CHOOSE( CONTROL!$C$37, 26.8897, 26.888) * CHOOSE(CONTROL!$C$20, $D$12, 100%, $F$12)</f>
        <v>26.889700000000001</v>
      </c>
      <c r="I814" s="7">
        <f>CHOOSE( CONTROL!$C$37, 25.5841, 25.5825) * CHOOSE(CONTROL!$C$20, $D$12, 100%, $F$12)</f>
        <v>25.584099999999999</v>
      </c>
      <c r="J814" s="4">
        <f>CHOOSE( CONTROL!$C$37, 25.449, 25.4474) * CHOOSE(CONTROL!$C$20, $D$12, 100%, $F$12)</f>
        <v>25.449000000000002</v>
      </c>
      <c r="K814" s="4"/>
      <c r="L814" s="8">
        <v>30.7165</v>
      </c>
      <c r="M814" s="8">
        <v>12.063700000000001</v>
      </c>
      <c r="N814" s="8">
        <v>4.9444999999999997</v>
      </c>
      <c r="O814" s="8">
        <v>0.37409999999999999</v>
      </c>
      <c r="P814" s="8">
        <v>1.2927</v>
      </c>
      <c r="Q814" s="8">
        <v>19.688099999999999</v>
      </c>
      <c r="R814" s="8"/>
    </row>
    <row r="815" spans="1:18" ht="14.25" customHeight="1">
      <c r="A815" s="11">
        <v>65927</v>
      </c>
      <c r="B815" s="7">
        <f>CHOOSE( CONTROL!$C$37, 25.8446, 25.8429) * CHOOSE(CONTROL!$C$20, $D$12, 100%, $F$12)</f>
        <v>25.8446</v>
      </c>
      <c r="C815" s="7">
        <f>CHOOSE( CONTROL!$C$37, 25.8526, 25.8509) * CHOOSE(CONTROL!$C$20, $D$12, 100%, $F$12)</f>
        <v>25.852599999999999</v>
      </c>
      <c r="D815" s="7">
        <f>CHOOSE( CONTROL!$C$37, 25.8585, 25.8568) * CHOOSE( CONTROL!$C$20, $D$12, 100%, $F$12)</f>
        <v>25.858499999999999</v>
      </c>
      <c r="E815" s="10">
        <f>CHOOSE( CONTROL!$C$37, 25.8551, 25.8534) * CHOOSE( CONTROL!$C$20, $D$12, 100%, $F$12)</f>
        <v>25.8551</v>
      </c>
      <c r="F815" s="4">
        <f>CHOOSE( CONTROL!$C$37, 26.5699, 26.5682) * CHOOSE(CONTROL!$C$20, $D$12, 100%, $F$12)</f>
        <v>26.569900000000001</v>
      </c>
      <c r="G815" s="7">
        <f>CHOOSE( CONTROL!$C$37, 25.5281, 25.5265) * CHOOSE( CONTROL!$C$20, $D$12, 100%, $F$12)</f>
        <v>25.528099999999998</v>
      </c>
      <c r="H815" s="4">
        <f>CHOOSE( CONTROL!$C$37, 26.473, 26.4714) * CHOOSE(CONTROL!$C$20, $D$12, 100%, $F$12)</f>
        <v>26.472999999999999</v>
      </c>
      <c r="I815" s="7">
        <f>CHOOSE( CONTROL!$C$37, 25.1757, 25.1741) * CHOOSE(CONTROL!$C$20, $D$12, 100%, $F$12)</f>
        <v>25.175699999999999</v>
      </c>
      <c r="J815" s="4">
        <f>CHOOSE( CONTROL!$C$37, 25.0399, 25.0383) * CHOOSE(CONTROL!$C$20, $D$12, 100%, $F$12)</f>
        <v>25.039899999999999</v>
      </c>
      <c r="K815" s="4"/>
      <c r="L815" s="8">
        <v>29.7257</v>
      </c>
      <c r="M815" s="8">
        <v>11.6745</v>
      </c>
      <c r="N815" s="8">
        <v>4.7850000000000001</v>
      </c>
      <c r="O815" s="8">
        <v>0.36199999999999999</v>
      </c>
      <c r="P815" s="8">
        <v>1.2509999999999999</v>
      </c>
      <c r="Q815" s="8">
        <v>19.053000000000001</v>
      </c>
      <c r="R815" s="8"/>
    </row>
    <row r="816" spans="1:18" ht="14.25" customHeight="1">
      <c r="A816" s="11">
        <v>65958</v>
      </c>
      <c r="B816" s="7">
        <f>CHOOSE( CONTROL!$C$37, 26.9573, 26.9556) * CHOOSE(CONTROL!$C$20, $D$12, 100%, $F$12)</f>
        <v>26.9573</v>
      </c>
      <c r="C816" s="7">
        <f>CHOOSE( CONTROL!$C$37, 26.9653, 26.9636) * CHOOSE(CONTROL!$C$20, $D$12, 100%, $F$12)</f>
        <v>26.965299999999999</v>
      </c>
      <c r="D816" s="7">
        <f>CHOOSE( CONTROL!$C$37, 26.9715, 26.9698) * CHOOSE( CONTROL!$C$20, $D$12, 100%, $F$12)</f>
        <v>26.971499999999999</v>
      </c>
      <c r="E816" s="10">
        <f>CHOOSE( CONTROL!$C$37, 26.968, 26.9663) * CHOOSE( CONTROL!$C$20, $D$12, 100%, $F$12)</f>
        <v>26.968</v>
      </c>
      <c r="F816" s="4">
        <f>CHOOSE( CONTROL!$C$37, 27.6825, 27.6809) * CHOOSE(CONTROL!$C$20, $D$12, 100%, $F$12)</f>
        <v>27.682500000000001</v>
      </c>
      <c r="G816" s="7">
        <f>CHOOSE( CONTROL!$C$37, 26.6255, 26.6239) * CHOOSE( CONTROL!$C$20, $D$12, 100%, $F$12)</f>
        <v>26.625499999999999</v>
      </c>
      <c r="H816" s="4">
        <f>CHOOSE( CONTROL!$C$37, 27.5702, 27.5685) * CHOOSE(CONTROL!$C$20, $D$12, 100%, $F$12)</f>
        <v>27.5702</v>
      </c>
      <c r="I816" s="7">
        <f>CHOOSE( CONTROL!$C$37, 26.2547, 26.2531) * CHOOSE(CONTROL!$C$20, $D$12, 100%, $F$12)</f>
        <v>26.2547</v>
      </c>
      <c r="J816" s="4">
        <f>CHOOSE( CONTROL!$C$37, 26.1173, 26.1157) * CHOOSE(CONTROL!$C$20, $D$12, 100%, $F$12)</f>
        <v>26.1173</v>
      </c>
      <c r="K816" s="4"/>
      <c r="L816" s="8">
        <v>30.7165</v>
      </c>
      <c r="M816" s="8">
        <v>12.063700000000001</v>
      </c>
      <c r="N816" s="8">
        <v>4.9444999999999997</v>
      </c>
      <c r="O816" s="8">
        <v>0.37409999999999999</v>
      </c>
      <c r="P816" s="8">
        <v>1.2927</v>
      </c>
      <c r="Q816" s="8">
        <v>19.688099999999999</v>
      </c>
      <c r="R816" s="8"/>
    </row>
    <row r="817" spans="1:18" ht="14.25" customHeight="1">
      <c r="A817" s="11">
        <v>65989</v>
      </c>
      <c r="B817" s="7">
        <f>CHOOSE( CONTROL!$C$37, 24.8753, 24.8737) * CHOOSE(CONTROL!$C$20, $D$12, 100%, $F$12)</f>
        <v>24.875299999999999</v>
      </c>
      <c r="C817" s="7">
        <f>CHOOSE( CONTROL!$C$37, 24.8833, 24.8817) * CHOOSE(CONTROL!$C$20, $D$12, 100%, $F$12)</f>
        <v>24.883299999999998</v>
      </c>
      <c r="D817" s="7">
        <f>CHOOSE( CONTROL!$C$37, 24.8896, 24.888) * CHOOSE( CONTROL!$C$20, $D$12, 100%, $F$12)</f>
        <v>24.889600000000002</v>
      </c>
      <c r="E817" s="10">
        <f>CHOOSE( CONTROL!$C$37, 24.8861, 24.8845) * CHOOSE( CONTROL!$C$20, $D$12, 100%, $F$12)</f>
        <v>24.886099999999999</v>
      </c>
      <c r="F817" s="4">
        <f>CHOOSE( CONTROL!$C$37, 25.6006, 25.5989) * CHOOSE(CONTROL!$C$20, $D$12, 100%, $F$12)</f>
        <v>25.6006</v>
      </c>
      <c r="G817" s="7">
        <f>CHOOSE( CONTROL!$C$37, 24.5727, 24.5711) * CHOOSE( CONTROL!$C$20, $D$12, 100%, $F$12)</f>
        <v>24.572700000000001</v>
      </c>
      <c r="H817" s="4">
        <f>CHOOSE( CONTROL!$C$37, 25.5173, 25.5157) * CHOOSE(CONTROL!$C$20, $D$12, 100%, $F$12)</f>
        <v>25.517299999999999</v>
      </c>
      <c r="I817" s="7">
        <f>CHOOSE( CONTROL!$C$37, 24.238, 24.2364) * CHOOSE(CONTROL!$C$20, $D$12, 100%, $F$12)</f>
        <v>24.238</v>
      </c>
      <c r="J817" s="4">
        <f>CHOOSE( CONTROL!$C$37, 24.1014, 24.0998) * CHOOSE(CONTROL!$C$20, $D$12, 100%, $F$12)</f>
        <v>24.101400000000002</v>
      </c>
      <c r="K817" s="4"/>
      <c r="L817" s="8">
        <v>30.7165</v>
      </c>
      <c r="M817" s="8">
        <v>12.063700000000001</v>
      </c>
      <c r="N817" s="8">
        <v>4.9444999999999997</v>
      </c>
      <c r="O817" s="8">
        <v>0.37409999999999999</v>
      </c>
      <c r="P817" s="8">
        <v>1.2927</v>
      </c>
      <c r="Q817" s="8">
        <v>19.688099999999999</v>
      </c>
      <c r="R817" s="8"/>
    </row>
    <row r="818" spans="1:18" ht="14.25" customHeight="1">
      <c r="A818" s="11">
        <v>66019</v>
      </c>
      <c r="B818" s="7">
        <f>CHOOSE( CONTROL!$C$37, 24.354, 24.3523) * CHOOSE(CONTROL!$C$20, $D$12, 100%, $F$12)</f>
        <v>24.353999999999999</v>
      </c>
      <c r="C818" s="7">
        <f>CHOOSE( CONTROL!$C$37, 24.362, 24.3603) * CHOOSE(CONTROL!$C$20, $D$12, 100%, $F$12)</f>
        <v>24.361999999999998</v>
      </c>
      <c r="D818" s="7">
        <f>CHOOSE( CONTROL!$C$37, 24.3682, 24.3665) * CHOOSE( CONTROL!$C$20, $D$12, 100%, $F$12)</f>
        <v>24.368200000000002</v>
      </c>
      <c r="E818" s="10">
        <f>CHOOSE( CONTROL!$C$37, 24.3647, 24.363) * CHOOSE( CONTROL!$C$20, $D$12, 100%, $F$12)</f>
        <v>24.364699999999999</v>
      </c>
      <c r="F818" s="4">
        <f>CHOOSE( CONTROL!$C$37, 25.0793, 25.0776) * CHOOSE(CONTROL!$C$20, $D$12, 100%, $F$12)</f>
        <v>25.0793</v>
      </c>
      <c r="G818" s="7">
        <f>CHOOSE( CONTROL!$C$37, 24.0586, 24.0569) * CHOOSE( CONTROL!$C$20, $D$12, 100%, $F$12)</f>
        <v>24.058599999999998</v>
      </c>
      <c r="H818" s="4">
        <f>CHOOSE( CONTROL!$C$37, 25.0032, 25.0016) * CHOOSE(CONTROL!$C$20, $D$12, 100%, $F$12)</f>
        <v>25.0032</v>
      </c>
      <c r="I818" s="7">
        <f>CHOOSE( CONTROL!$C$37, 23.7326, 23.731) * CHOOSE(CONTROL!$C$20, $D$12, 100%, $F$12)</f>
        <v>23.732600000000001</v>
      </c>
      <c r="J818" s="4">
        <f>CHOOSE( CONTROL!$C$37, 23.5966, 23.5949) * CHOOSE(CONTROL!$C$20, $D$12, 100%, $F$12)</f>
        <v>23.596599999999999</v>
      </c>
      <c r="K818" s="4"/>
      <c r="L818" s="8">
        <v>29.7257</v>
      </c>
      <c r="M818" s="8">
        <v>11.6745</v>
      </c>
      <c r="N818" s="8">
        <v>4.7850000000000001</v>
      </c>
      <c r="O818" s="8">
        <v>0.36199999999999999</v>
      </c>
      <c r="P818" s="8">
        <v>1.2509999999999999</v>
      </c>
      <c r="Q818" s="8">
        <v>19.053000000000001</v>
      </c>
      <c r="R818" s="8"/>
    </row>
    <row r="819" spans="1:18" ht="14.25" customHeight="1">
      <c r="A819" s="11">
        <v>66050</v>
      </c>
      <c r="B819" s="7">
        <f>CHOOSE( CONTROL!$C$37, 25.4342, 25.4331) * CHOOSE(CONTROL!$C$20, $D$12, 100%, $F$12)</f>
        <v>25.434200000000001</v>
      </c>
      <c r="C819" s="7">
        <f>CHOOSE( CONTROL!$C$37, 25.4395, 25.4384) * CHOOSE(CONTROL!$C$20, $D$12, 100%, $F$12)</f>
        <v>25.439499999999999</v>
      </c>
      <c r="D819" s="7">
        <f>CHOOSE( CONTROL!$C$37, 25.4515, 25.4504) * CHOOSE( CONTROL!$C$20, $D$12, 100%, $F$12)</f>
        <v>25.451499999999999</v>
      </c>
      <c r="E819" s="10">
        <f>CHOOSE( CONTROL!$C$37, 25.447, 25.4459) * CHOOSE( CONTROL!$C$20, $D$12, 100%, $F$12)</f>
        <v>25.446999999999999</v>
      </c>
      <c r="F819" s="4">
        <f>CHOOSE( CONTROL!$C$37, 26.1612, 26.1601) * CHOOSE(CONTROL!$C$20, $D$12, 100%, $F$12)</f>
        <v>26.161200000000001</v>
      </c>
      <c r="G819" s="7">
        <f>CHOOSE( CONTROL!$C$37, 25.1255, 25.1244) * CHOOSE( CONTROL!$C$20, $D$12, 100%, $F$12)</f>
        <v>25.125499999999999</v>
      </c>
      <c r="H819" s="4">
        <f>CHOOSE( CONTROL!$C$37, 26.07, 26.069) * CHOOSE(CONTROL!$C$20, $D$12, 100%, $F$12)</f>
        <v>26.07</v>
      </c>
      <c r="I819" s="7">
        <f>CHOOSE( CONTROL!$C$37, 24.7814, 24.7803) * CHOOSE(CONTROL!$C$20, $D$12, 100%, $F$12)</f>
        <v>24.781400000000001</v>
      </c>
      <c r="J819" s="4">
        <f>CHOOSE( CONTROL!$C$37, 24.6442, 24.6431) * CHOOSE(CONTROL!$C$20, $D$12, 100%, $F$12)</f>
        <v>24.644200000000001</v>
      </c>
      <c r="K819" s="4"/>
      <c r="L819" s="8">
        <v>31.095300000000002</v>
      </c>
      <c r="M819" s="8">
        <v>12.063700000000001</v>
      </c>
      <c r="N819" s="8">
        <v>4.9444999999999997</v>
      </c>
      <c r="O819" s="8">
        <v>0.37409999999999999</v>
      </c>
      <c r="P819" s="8">
        <v>1.2927</v>
      </c>
      <c r="Q819" s="8">
        <v>19.688099999999999</v>
      </c>
      <c r="R819" s="8"/>
    </row>
    <row r="820" spans="1:18" ht="14.25" customHeight="1">
      <c r="A820" s="11">
        <v>66080</v>
      </c>
      <c r="B820" s="7">
        <f>CHOOSE( CONTROL!$C$37, 27.4318, 27.4307) * CHOOSE(CONTROL!$C$20, $D$12, 100%, $F$12)</f>
        <v>27.431799999999999</v>
      </c>
      <c r="C820" s="7">
        <f>CHOOSE( CONTROL!$C$37, 27.4369, 27.4358) * CHOOSE(CONTROL!$C$20, $D$12, 100%, $F$12)</f>
        <v>27.436900000000001</v>
      </c>
      <c r="D820" s="7">
        <f>CHOOSE( CONTROL!$C$37, 27.4154, 27.4143) * CHOOSE( CONTROL!$C$20, $D$12, 100%, $F$12)</f>
        <v>27.415400000000002</v>
      </c>
      <c r="E820" s="10">
        <f>CHOOSE( CONTROL!$C$37, 27.4227, 27.4216) * CHOOSE( CONTROL!$C$20, $D$12, 100%, $F$12)</f>
        <v>27.422699999999999</v>
      </c>
      <c r="F820" s="4">
        <f>CHOOSE( CONTROL!$C$37, 28.0844, 28.0833) * CHOOSE(CONTROL!$C$20, $D$12, 100%, $F$12)</f>
        <v>28.084399999999999</v>
      </c>
      <c r="G820" s="7">
        <f>CHOOSE( CONTROL!$C$37, 27.0818, 27.0807) * CHOOSE( CONTROL!$C$20, $D$12, 100%, $F$12)</f>
        <v>27.081800000000001</v>
      </c>
      <c r="H820" s="4">
        <f>CHOOSE( CONTROL!$C$37, 27.9664, 27.9653) * CHOOSE(CONTROL!$C$20, $D$12, 100%, $F$12)</f>
        <v>27.9664</v>
      </c>
      <c r="I820" s="7">
        <f>CHOOSE( CONTROL!$C$37, 26.7682, 26.7672) * CHOOSE(CONTROL!$C$20, $D$12, 100%, $F$12)</f>
        <v>26.7682</v>
      </c>
      <c r="J820" s="4">
        <f>CHOOSE( CONTROL!$C$37, 26.5789, 26.5778) * CHOOSE(CONTROL!$C$20, $D$12, 100%, $F$12)</f>
        <v>26.578900000000001</v>
      </c>
      <c r="K820" s="4"/>
      <c r="L820" s="8">
        <v>28.360600000000002</v>
      </c>
      <c r="M820" s="8">
        <v>11.6745</v>
      </c>
      <c r="N820" s="8">
        <v>4.7850000000000001</v>
      </c>
      <c r="O820" s="8">
        <v>0.36199999999999999</v>
      </c>
      <c r="P820" s="8">
        <v>1.2509999999999999</v>
      </c>
      <c r="Q820" s="8">
        <v>19.053000000000001</v>
      </c>
      <c r="R820" s="8"/>
    </row>
    <row r="821" spans="1:18" ht="14.25" customHeight="1">
      <c r="A821" s="11">
        <v>66111</v>
      </c>
      <c r="B821" s="7">
        <f>CHOOSE( CONTROL!$C$37, 27.3819, 27.3808) * CHOOSE(CONTROL!$C$20, $D$12, 100%, $F$12)</f>
        <v>27.381900000000002</v>
      </c>
      <c r="C821" s="7">
        <f>CHOOSE( CONTROL!$C$37, 27.387, 27.3859) * CHOOSE(CONTROL!$C$20, $D$12, 100%, $F$12)</f>
        <v>27.387</v>
      </c>
      <c r="D821" s="7">
        <f>CHOOSE( CONTROL!$C$37, 27.367, 27.3659) * CHOOSE( CONTROL!$C$20, $D$12, 100%, $F$12)</f>
        <v>27.367000000000001</v>
      </c>
      <c r="E821" s="10">
        <f>CHOOSE( CONTROL!$C$37, 27.3738, 27.3727) * CHOOSE( CONTROL!$C$20, $D$12, 100%, $F$12)</f>
        <v>27.373799999999999</v>
      </c>
      <c r="F821" s="4">
        <f>CHOOSE( CONTROL!$C$37, 28.0344, 28.0333) * CHOOSE(CONTROL!$C$20, $D$12, 100%, $F$12)</f>
        <v>28.034400000000002</v>
      </c>
      <c r="G821" s="7">
        <f>CHOOSE( CONTROL!$C$37, 27.0337, 27.0326) * CHOOSE( CONTROL!$C$20, $D$12, 100%, $F$12)</f>
        <v>27.0337</v>
      </c>
      <c r="H821" s="4">
        <f>CHOOSE( CONTROL!$C$37, 27.9172, 27.9161) * CHOOSE(CONTROL!$C$20, $D$12, 100%, $F$12)</f>
        <v>27.917200000000001</v>
      </c>
      <c r="I821" s="7">
        <f>CHOOSE( CONTROL!$C$37, 26.7247, 26.7237) * CHOOSE(CONTROL!$C$20, $D$12, 100%, $F$12)</f>
        <v>26.724699999999999</v>
      </c>
      <c r="J821" s="4">
        <f>CHOOSE( CONTROL!$C$37, 26.5305, 26.5295) * CHOOSE(CONTROL!$C$20, $D$12, 100%, $F$12)</f>
        <v>26.5305</v>
      </c>
      <c r="K821" s="4"/>
      <c r="L821" s="8">
        <v>29.306000000000001</v>
      </c>
      <c r="M821" s="8">
        <v>12.063700000000001</v>
      </c>
      <c r="N821" s="8">
        <v>4.9444999999999997</v>
      </c>
      <c r="O821" s="8">
        <v>0.37409999999999999</v>
      </c>
      <c r="P821" s="8">
        <v>1.2927</v>
      </c>
      <c r="Q821" s="8">
        <v>19.688099999999999</v>
      </c>
      <c r="R821" s="8"/>
    </row>
    <row r="822" spans="1:18" ht="14.25" customHeight="1">
      <c r="A822" s="11">
        <v>66142</v>
      </c>
      <c r="B822" s="7">
        <f>CHOOSE( CONTROL!$C$37, 28.19, 28.189) * CHOOSE(CONTROL!$C$20, $D$12, 100%, $F$12)</f>
        <v>28.19</v>
      </c>
      <c r="C822" s="7">
        <f>CHOOSE( CONTROL!$C$37, 28.1951, 28.1941) * CHOOSE(CONTROL!$C$20, $D$12, 100%, $F$12)</f>
        <v>28.1951</v>
      </c>
      <c r="D822" s="7">
        <f>CHOOSE( CONTROL!$C$37, 28.1882, 28.1872) * CHOOSE( CONTROL!$C$20, $D$12, 100%, $F$12)</f>
        <v>28.188199999999998</v>
      </c>
      <c r="E822" s="10">
        <f>CHOOSE( CONTROL!$C$37, 28.1902, 28.1892) * CHOOSE( CONTROL!$C$20, $D$12, 100%, $F$12)</f>
        <v>28.190200000000001</v>
      </c>
      <c r="F822" s="4">
        <f>CHOOSE( CONTROL!$C$37, 28.8426, 28.8415) * CHOOSE(CONTROL!$C$20, $D$12, 100%, $F$12)</f>
        <v>28.842600000000001</v>
      </c>
      <c r="G822" s="7">
        <f>CHOOSE( CONTROL!$C$37, 27.8351, 27.834) * CHOOSE( CONTROL!$C$20, $D$12, 100%, $F$12)</f>
        <v>27.835100000000001</v>
      </c>
      <c r="H822" s="4">
        <f>CHOOSE( CONTROL!$C$37, 28.714, 28.713) * CHOOSE(CONTROL!$C$20, $D$12, 100%, $F$12)</f>
        <v>28.713999999999999</v>
      </c>
      <c r="I822" s="7">
        <f>CHOOSE( CONTROL!$C$37, 27.4789, 27.4779) * CHOOSE(CONTROL!$C$20, $D$12, 100%, $F$12)</f>
        <v>27.478899999999999</v>
      </c>
      <c r="J822" s="4">
        <f>CHOOSE( CONTROL!$C$37, 27.3131, 27.312) * CHOOSE(CONTROL!$C$20, $D$12, 100%, $F$12)</f>
        <v>27.313099999999999</v>
      </c>
      <c r="K822" s="4"/>
      <c r="L822" s="8">
        <v>29.306000000000001</v>
      </c>
      <c r="M822" s="8">
        <v>12.063700000000001</v>
      </c>
      <c r="N822" s="8">
        <v>4.9444999999999997</v>
      </c>
      <c r="O822" s="8">
        <v>0.37409999999999999</v>
      </c>
      <c r="P822" s="8">
        <v>1.2927</v>
      </c>
      <c r="Q822" s="8">
        <v>19.688099999999999</v>
      </c>
      <c r="R822" s="8"/>
    </row>
    <row r="823" spans="1:18" ht="14.25" customHeight="1">
      <c r="A823" s="11">
        <v>66170</v>
      </c>
      <c r="B823" s="7">
        <f>CHOOSE( CONTROL!$C$37, 26.3666, 26.3655) * CHOOSE(CONTROL!$C$20, $D$12, 100%, $F$12)</f>
        <v>26.366599999999998</v>
      </c>
      <c r="C823" s="7">
        <f>CHOOSE( CONTROL!$C$37, 26.3717, 26.3706) * CHOOSE(CONTROL!$C$20, $D$12, 100%, $F$12)</f>
        <v>26.371700000000001</v>
      </c>
      <c r="D823" s="7">
        <f>CHOOSE( CONTROL!$C$37, 26.3647, 26.3636) * CHOOSE( CONTROL!$C$20, $D$12, 100%, $F$12)</f>
        <v>26.364699999999999</v>
      </c>
      <c r="E823" s="10">
        <f>CHOOSE( CONTROL!$C$37, 26.3667, 26.3656) * CHOOSE( CONTROL!$C$20, $D$12, 100%, $F$12)</f>
        <v>26.366700000000002</v>
      </c>
      <c r="F823" s="4">
        <f>CHOOSE( CONTROL!$C$37, 27.0191, 27.018) * CHOOSE(CONTROL!$C$20, $D$12, 100%, $F$12)</f>
        <v>27.019100000000002</v>
      </c>
      <c r="G823" s="7">
        <f>CHOOSE( CONTROL!$C$37, 26.037, 26.0359) * CHOOSE( CONTROL!$C$20, $D$12, 100%, $F$12)</f>
        <v>26.036999999999999</v>
      </c>
      <c r="H823" s="4">
        <f>CHOOSE( CONTROL!$C$37, 26.916, 26.9149) * CHOOSE(CONTROL!$C$20, $D$12, 100%, $F$12)</f>
        <v>26.916</v>
      </c>
      <c r="I823" s="7">
        <f>CHOOSE( CONTROL!$C$37, 25.7121, 25.7111) * CHOOSE(CONTROL!$C$20, $D$12, 100%, $F$12)</f>
        <v>25.7121</v>
      </c>
      <c r="J823" s="4">
        <f>CHOOSE( CONTROL!$C$37, 25.5474, 25.5463) * CHOOSE(CONTROL!$C$20, $D$12, 100%, $F$12)</f>
        <v>25.5474</v>
      </c>
      <c r="K823" s="4"/>
      <c r="L823" s="8">
        <v>26.469899999999999</v>
      </c>
      <c r="M823" s="8">
        <v>10.8962</v>
      </c>
      <c r="N823" s="8">
        <v>4.4660000000000002</v>
      </c>
      <c r="O823" s="8">
        <v>0.33789999999999998</v>
      </c>
      <c r="P823" s="8">
        <v>1.1676</v>
      </c>
      <c r="Q823" s="8">
        <v>17.782800000000002</v>
      </c>
      <c r="R823" s="8"/>
    </row>
    <row r="824" spans="1:18" ht="14.25" customHeight="1">
      <c r="A824" s="11">
        <v>66201</v>
      </c>
      <c r="B824" s="7">
        <f>CHOOSE( CONTROL!$C$37, 25.8049, 25.8038) * CHOOSE(CONTROL!$C$20, $D$12, 100%, $F$12)</f>
        <v>25.8049</v>
      </c>
      <c r="C824" s="7">
        <f>CHOOSE( CONTROL!$C$37, 25.81, 25.8089) * CHOOSE(CONTROL!$C$20, $D$12, 100%, $F$12)</f>
        <v>25.81</v>
      </c>
      <c r="D824" s="7">
        <f>CHOOSE( CONTROL!$C$37, 25.8024, 25.8013) * CHOOSE( CONTROL!$C$20, $D$12, 100%, $F$12)</f>
        <v>25.802399999999999</v>
      </c>
      <c r="E824" s="10">
        <f>CHOOSE( CONTROL!$C$37, 25.8046, 25.8035) * CHOOSE( CONTROL!$C$20, $D$12, 100%, $F$12)</f>
        <v>25.804600000000001</v>
      </c>
      <c r="F824" s="4">
        <f>CHOOSE( CONTROL!$C$37, 26.4575, 26.4564) * CHOOSE(CONTROL!$C$20, $D$12, 100%, $F$12)</f>
        <v>26.4575</v>
      </c>
      <c r="G824" s="7">
        <f>CHOOSE( CONTROL!$C$37, 25.4827, 25.4817) * CHOOSE( CONTROL!$C$20, $D$12, 100%, $F$12)</f>
        <v>25.482700000000001</v>
      </c>
      <c r="H824" s="4">
        <f>CHOOSE( CONTROL!$C$37, 26.3622, 26.3611) * CHOOSE(CONTROL!$C$20, $D$12, 100%, $F$12)</f>
        <v>26.362200000000001</v>
      </c>
      <c r="I824" s="7">
        <f>CHOOSE( CONTROL!$C$37, 25.1661, 25.1651) * CHOOSE(CONTROL!$C$20, $D$12, 100%, $F$12)</f>
        <v>25.1661</v>
      </c>
      <c r="J824" s="4">
        <f>CHOOSE( CONTROL!$C$37, 25.0036, 25.0025) * CHOOSE(CONTROL!$C$20, $D$12, 100%, $F$12)</f>
        <v>25.003599999999999</v>
      </c>
      <c r="K824" s="4"/>
      <c r="L824" s="8">
        <v>29.306000000000001</v>
      </c>
      <c r="M824" s="8">
        <v>12.063700000000001</v>
      </c>
      <c r="N824" s="8">
        <v>4.9444999999999997</v>
      </c>
      <c r="O824" s="8">
        <v>0.37409999999999999</v>
      </c>
      <c r="P824" s="8">
        <v>1.2927</v>
      </c>
      <c r="Q824" s="8">
        <v>19.688099999999999</v>
      </c>
      <c r="R824" s="8"/>
    </row>
    <row r="825" spans="1:18" ht="14.25" customHeight="1">
      <c r="A825" s="11">
        <v>66231</v>
      </c>
      <c r="B825" s="7">
        <f>CHOOSE( CONTROL!$C$37, 26.1982, 26.1971) * CHOOSE(CONTROL!$C$20, $D$12, 100%, $F$12)</f>
        <v>26.1982</v>
      </c>
      <c r="C825" s="7">
        <f>CHOOSE( CONTROL!$C$37, 26.2027, 26.2016) * CHOOSE(CONTROL!$C$20, $D$12, 100%, $F$12)</f>
        <v>26.2027</v>
      </c>
      <c r="D825" s="7">
        <f>CHOOSE( CONTROL!$C$37, 26.2145, 26.2134) * CHOOSE( CONTROL!$C$20, $D$12, 100%, $F$12)</f>
        <v>26.214500000000001</v>
      </c>
      <c r="E825" s="10">
        <f>CHOOSE( CONTROL!$C$37, 26.2101, 26.209) * CHOOSE( CONTROL!$C$20, $D$12, 100%, $F$12)</f>
        <v>26.210100000000001</v>
      </c>
      <c r="F825" s="4">
        <f>CHOOSE( CONTROL!$C$37, 26.9248, 26.9237) * CHOOSE(CONTROL!$C$20, $D$12, 100%, $F$12)</f>
        <v>26.924800000000001</v>
      </c>
      <c r="G825" s="7">
        <f>CHOOSE( CONTROL!$C$37, 25.8779, 25.8769) * CHOOSE( CONTROL!$C$20, $D$12, 100%, $F$12)</f>
        <v>25.8779</v>
      </c>
      <c r="H825" s="4">
        <f>CHOOSE( CONTROL!$C$37, 26.823, 26.8219) * CHOOSE(CONTROL!$C$20, $D$12, 100%, $F$12)</f>
        <v>26.823</v>
      </c>
      <c r="I825" s="7">
        <f>CHOOSE( CONTROL!$C$37, 25.5189, 25.5178) * CHOOSE(CONTROL!$C$20, $D$12, 100%, $F$12)</f>
        <v>25.518899999999999</v>
      </c>
      <c r="J825" s="4">
        <f>CHOOSE( CONTROL!$C$37, 25.3836, 25.3825) * CHOOSE(CONTROL!$C$20, $D$12, 100%, $F$12)</f>
        <v>25.383600000000001</v>
      </c>
      <c r="K825" s="4"/>
      <c r="L825" s="8">
        <v>30.092199999999998</v>
      </c>
      <c r="M825" s="8">
        <v>11.6745</v>
      </c>
      <c r="N825" s="8">
        <v>4.7850000000000001</v>
      </c>
      <c r="O825" s="8">
        <v>0.36199999999999999</v>
      </c>
      <c r="P825" s="8">
        <v>1.2509999999999999</v>
      </c>
      <c r="Q825" s="8">
        <v>19.053000000000001</v>
      </c>
      <c r="R825" s="8"/>
    </row>
    <row r="826" spans="1:18" ht="14.25" customHeight="1">
      <c r="A826" s="11">
        <v>66262</v>
      </c>
      <c r="B826" s="7">
        <f>CHOOSE( CONTROL!$C$37, 26.8986, 26.8969) * CHOOSE(CONTROL!$C$20, $D$12, 100%, $F$12)</f>
        <v>26.898599999999998</v>
      </c>
      <c r="C826" s="7">
        <f>CHOOSE( CONTROL!$C$37, 26.9066, 26.9049) * CHOOSE(CONTROL!$C$20, $D$12, 100%, $F$12)</f>
        <v>26.906600000000001</v>
      </c>
      <c r="D826" s="7">
        <f>CHOOSE( CONTROL!$C$37, 26.9122, 26.9106) * CHOOSE( CONTROL!$C$20, $D$12, 100%, $F$12)</f>
        <v>26.912199999999999</v>
      </c>
      <c r="E826" s="10">
        <f>CHOOSE( CONTROL!$C$37, 26.909, 26.9073) * CHOOSE( CONTROL!$C$20, $D$12, 100%, $F$12)</f>
        <v>26.908999999999999</v>
      </c>
      <c r="F826" s="4">
        <f>CHOOSE( CONTROL!$C$37, 27.6239, 27.6222) * CHOOSE(CONTROL!$C$20, $D$12, 100%, $F$12)</f>
        <v>27.623899999999999</v>
      </c>
      <c r="G826" s="7">
        <f>CHOOSE( CONTROL!$C$37, 26.5672, 26.5656) * CHOOSE( CONTROL!$C$20, $D$12, 100%, $F$12)</f>
        <v>26.5672</v>
      </c>
      <c r="H826" s="4">
        <f>CHOOSE( CONTROL!$C$37, 27.5123, 27.5107) * CHOOSE(CONTROL!$C$20, $D$12, 100%, $F$12)</f>
        <v>27.5123</v>
      </c>
      <c r="I826" s="7">
        <f>CHOOSE( CONTROL!$C$37, 26.1958, 26.1942) * CHOOSE(CONTROL!$C$20, $D$12, 100%, $F$12)</f>
        <v>26.195799999999998</v>
      </c>
      <c r="J826" s="4">
        <f>CHOOSE( CONTROL!$C$37, 26.0605, 26.0589) * CHOOSE(CONTROL!$C$20, $D$12, 100%, $F$12)</f>
        <v>26.060500000000001</v>
      </c>
      <c r="K826" s="4"/>
      <c r="L826" s="8">
        <v>30.7165</v>
      </c>
      <c r="M826" s="8">
        <v>12.063700000000001</v>
      </c>
      <c r="N826" s="8">
        <v>4.9444999999999997</v>
      </c>
      <c r="O826" s="8">
        <v>0.37409999999999999</v>
      </c>
      <c r="P826" s="8">
        <v>1.2927</v>
      </c>
      <c r="Q826" s="8">
        <v>19.688099999999999</v>
      </c>
      <c r="R826" s="8"/>
    </row>
    <row r="827" spans="1:18" ht="14.25" customHeight="1">
      <c r="A827" s="11">
        <v>66292</v>
      </c>
      <c r="B827" s="7">
        <f>CHOOSE( CONTROL!$C$37, 26.4659, 26.4642) * CHOOSE(CONTROL!$C$20, $D$12, 100%, $F$12)</f>
        <v>26.465900000000001</v>
      </c>
      <c r="C827" s="7">
        <f>CHOOSE( CONTROL!$C$37, 26.4739, 26.4722) * CHOOSE(CONTROL!$C$20, $D$12, 100%, $F$12)</f>
        <v>26.4739</v>
      </c>
      <c r="D827" s="7">
        <f>CHOOSE( CONTROL!$C$37, 26.4798, 26.4781) * CHOOSE( CONTROL!$C$20, $D$12, 100%, $F$12)</f>
        <v>26.479800000000001</v>
      </c>
      <c r="E827" s="10">
        <f>CHOOSE( CONTROL!$C$37, 26.4764, 26.4747) * CHOOSE( CONTROL!$C$20, $D$12, 100%, $F$12)</f>
        <v>26.476400000000002</v>
      </c>
      <c r="F827" s="4">
        <f>CHOOSE( CONTROL!$C$37, 27.1912, 27.1895) * CHOOSE(CONTROL!$C$20, $D$12, 100%, $F$12)</f>
        <v>27.191199999999998</v>
      </c>
      <c r="G827" s="7">
        <f>CHOOSE( CONTROL!$C$37, 26.1408, 26.1391) * CHOOSE( CONTROL!$C$20, $D$12, 100%, $F$12)</f>
        <v>26.140799999999999</v>
      </c>
      <c r="H827" s="4">
        <f>CHOOSE( CONTROL!$C$37, 27.0857, 27.084) * CHOOSE(CONTROL!$C$20, $D$12, 100%, $F$12)</f>
        <v>27.085699999999999</v>
      </c>
      <c r="I827" s="7">
        <f>CHOOSE( CONTROL!$C$37, 25.7776, 25.776) * CHOOSE(CONTROL!$C$20, $D$12, 100%, $F$12)</f>
        <v>25.7776</v>
      </c>
      <c r="J827" s="4">
        <f>CHOOSE( CONTROL!$C$37, 25.6415, 25.6399) * CHOOSE(CONTROL!$C$20, $D$12, 100%, $F$12)</f>
        <v>25.641500000000001</v>
      </c>
      <c r="K827" s="4"/>
      <c r="L827" s="8">
        <v>29.7257</v>
      </c>
      <c r="M827" s="8">
        <v>11.6745</v>
      </c>
      <c r="N827" s="8">
        <v>4.7850000000000001</v>
      </c>
      <c r="O827" s="8">
        <v>0.36199999999999999</v>
      </c>
      <c r="P827" s="8">
        <v>1.2509999999999999</v>
      </c>
      <c r="Q827" s="8">
        <v>19.053000000000001</v>
      </c>
      <c r="R827" s="8"/>
    </row>
    <row r="828" spans="1:18" ht="14.25" customHeight="1">
      <c r="A828" s="11">
        <v>66323</v>
      </c>
      <c r="B828" s="7">
        <f>CHOOSE( CONTROL!$C$37, 27.6053, 27.6036) * CHOOSE(CONTROL!$C$20, $D$12, 100%, $F$12)</f>
        <v>27.6053</v>
      </c>
      <c r="C828" s="7">
        <f>CHOOSE( CONTROL!$C$37, 27.6133, 27.6116) * CHOOSE(CONTROL!$C$20, $D$12, 100%, $F$12)</f>
        <v>27.613299999999999</v>
      </c>
      <c r="D828" s="7">
        <f>CHOOSE( CONTROL!$C$37, 27.6195, 27.6179) * CHOOSE( CONTROL!$C$20, $D$12, 100%, $F$12)</f>
        <v>27.619499999999999</v>
      </c>
      <c r="E828" s="10">
        <f>CHOOSE( CONTROL!$C$37, 27.616, 27.6144) * CHOOSE( CONTROL!$C$20, $D$12, 100%, $F$12)</f>
        <v>27.616</v>
      </c>
      <c r="F828" s="4">
        <f>CHOOSE( CONTROL!$C$37, 28.3306, 28.3289) * CHOOSE(CONTROL!$C$20, $D$12, 100%, $F$12)</f>
        <v>28.3306</v>
      </c>
      <c r="G828" s="7">
        <f>CHOOSE( CONTROL!$C$37, 27.2645, 27.2629) * CHOOSE( CONTROL!$C$20, $D$12, 100%, $F$12)</f>
        <v>27.264500000000002</v>
      </c>
      <c r="H828" s="4">
        <f>CHOOSE( CONTROL!$C$37, 28.2092, 28.2075) * CHOOSE(CONTROL!$C$20, $D$12, 100%, $F$12)</f>
        <v>28.209199999999999</v>
      </c>
      <c r="I828" s="7">
        <f>CHOOSE( CONTROL!$C$37, 26.8825, 26.8809) * CHOOSE(CONTROL!$C$20, $D$12, 100%, $F$12)</f>
        <v>26.8825</v>
      </c>
      <c r="J828" s="4">
        <f>CHOOSE( CONTROL!$C$37, 26.7448, 26.7432) * CHOOSE(CONTROL!$C$20, $D$12, 100%, $F$12)</f>
        <v>26.744800000000001</v>
      </c>
      <c r="K828" s="4"/>
      <c r="L828" s="8">
        <v>30.7165</v>
      </c>
      <c r="M828" s="8">
        <v>12.063700000000001</v>
      </c>
      <c r="N828" s="8">
        <v>4.9444999999999997</v>
      </c>
      <c r="O828" s="8">
        <v>0.37409999999999999</v>
      </c>
      <c r="P828" s="8">
        <v>1.2927</v>
      </c>
      <c r="Q828" s="8">
        <v>19.688099999999999</v>
      </c>
      <c r="R828" s="8"/>
    </row>
    <row r="829" spans="1:18" ht="14.25" customHeight="1">
      <c r="A829" s="11">
        <v>66354</v>
      </c>
      <c r="B829" s="7">
        <f>CHOOSE( CONTROL!$C$37, 25.4733, 25.4717) * CHOOSE(CONTROL!$C$20, $D$12, 100%, $F$12)</f>
        <v>25.473299999999998</v>
      </c>
      <c r="C829" s="7">
        <f>CHOOSE( CONTROL!$C$37, 25.4813, 25.4797) * CHOOSE(CONTROL!$C$20, $D$12, 100%, $F$12)</f>
        <v>25.481300000000001</v>
      </c>
      <c r="D829" s="7">
        <f>CHOOSE( CONTROL!$C$37, 25.4876, 25.486) * CHOOSE( CONTROL!$C$20, $D$12, 100%, $F$12)</f>
        <v>25.4876</v>
      </c>
      <c r="E829" s="10">
        <f>CHOOSE( CONTROL!$C$37, 25.4841, 25.4825) * CHOOSE( CONTROL!$C$20, $D$12, 100%, $F$12)</f>
        <v>25.484100000000002</v>
      </c>
      <c r="F829" s="4">
        <f>CHOOSE( CONTROL!$C$37, 26.1986, 26.197) * CHOOSE(CONTROL!$C$20, $D$12, 100%, $F$12)</f>
        <v>26.198599999999999</v>
      </c>
      <c r="G829" s="7">
        <f>CHOOSE( CONTROL!$C$37, 25.1624, 25.1607) * CHOOSE( CONTROL!$C$20, $D$12, 100%, $F$12)</f>
        <v>25.162400000000002</v>
      </c>
      <c r="H829" s="4">
        <f>CHOOSE( CONTROL!$C$37, 26.107, 26.1053) * CHOOSE(CONTROL!$C$20, $D$12, 100%, $F$12)</f>
        <v>26.106999999999999</v>
      </c>
      <c r="I829" s="7">
        <f>CHOOSE( CONTROL!$C$37, 24.8174, 24.8158) * CHOOSE(CONTROL!$C$20, $D$12, 100%, $F$12)</f>
        <v>24.817399999999999</v>
      </c>
      <c r="J829" s="4">
        <f>CHOOSE( CONTROL!$C$37, 24.6804, 24.6788) * CHOOSE(CONTROL!$C$20, $D$12, 100%, $F$12)</f>
        <v>24.680399999999999</v>
      </c>
      <c r="K829" s="4"/>
      <c r="L829" s="8">
        <v>30.7165</v>
      </c>
      <c r="M829" s="8">
        <v>12.063700000000001</v>
      </c>
      <c r="N829" s="8">
        <v>4.9444999999999997</v>
      </c>
      <c r="O829" s="8">
        <v>0.37409999999999999</v>
      </c>
      <c r="P829" s="8">
        <v>1.2927</v>
      </c>
      <c r="Q829" s="8">
        <v>19.688099999999999</v>
      </c>
      <c r="R829" s="8"/>
    </row>
    <row r="830" spans="1:18" ht="14.25" customHeight="1">
      <c r="A830" s="11">
        <v>66384</v>
      </c>
      <c r="B830" s="7">
        <f>CHOOSE( CONTROL!$C$37, 24.9395, 24.9378) * CHOOSE(CONTROL!$C$20, $D$12, 100%, $F$12)</f>
        <v>24.939499999999999</v>
      </c>
      <c r="C830" s="7">
        <f>CHOOSE( CONTROL!$C$37, 24.9475, 24.9458) * CHOOSE(CONTROL!$C$20, $D$12, 100%, $F$12)</f>
        <v>24.947500000000002</v>
      </c>
      <c r="D830" s="7">
        <f>CHOOSE( CONTROL!$C$37, 24.9537, 24.952) * CHOOSE( CONTROL!$C$20, $D$12, 100%, $F$12)</f>
        <v>24.953700000000001</v>
      </c>
      <c r="E830" s="10">
        <f>CHOOSE( CONTROL!$C$37, 24.9502, 24.9485) * CHOOSE( CONTROL!$C$20, $D$12, 100%, $F$12)</f>
        <v>24.950199999999999</v>
      </c>
      <c r="F830" s="4">
        <f>CHOOSE( CONTROL!$C$37, 25.6648, 25.6631) * CHOOSE(CONTROL!$C$20, $D$12, 100%, $F$12)</f>
        <v>25.6648</v>
      </c>
      <c r="G830" s="7">
        <f>CHOOSE( CONTROL!$C$37, 24.6359, 24.6342) * CHOOSE( CONTROL!$C$20, $D$12, 100%, $F$12)</f>
        <v>24.635899999999999</v>
      </c>
      <c r="H830" s="4">
        <f>CHOOSE( CONTROL!$C$37, 25.5805, 25.5789) * CHOOSE(CONTROL!$C$20, $D$12, 100%, $F$12)</f>
        <v>25.580500000000001</v>
      </c>
      <c r="I830" s="7">
        <f>CHOOSE( CONTROL!$C$37, 24.2998, 24.2982) * CHOOSE(CONTROL!$C$20, $D$12, 100%, $F$12)</f>
        <v>24.299800000000001</v>
      </c>
      <c r="J830" s="4">
        <f>CHOOSE( CONTROL!$C$37, 24.1635, 24.1619) * CHOOSE(CONTROL!$C$20, $D$12, 100%, $F$12)</f>
        <v>24.163499999999999</v>
      </c>
      <c r="K830" s="4"/>
      <c r="L830" s="8">
        <v>29.7257</v>
      </c>
      <c r="M830" s="8">
        <v>11.6745</v>
      </c>
      <c r="N830" s="8">
        <v>4.7850000000000001</v>
      </c>
      <c r="O830" s="8">
        <v>0.36199999999999999</v>
      </c>
      <c r="P830" s="8">
        <v>1.2509999999999999</v>
      </c>
      <c r="Q830" s="8">
        <v>19.053000000000001</v>
      </c>
      <c r="R830" s="8"/>
    </row>
    <row r="831" spans="1:18" ht="14.25" customHeight="1">
      <c r="A831" s="11">
        <v>66415</v>
      </c>
      <c r="B831" s="7">
        <f>CHOOSE( CONTROL!$C$37, 26.0457, 26.0446) * CHOOSE(CONTROL!$C$20, $D$12, 100%, $F$12)</f>
        <v>26.0457</v>
      </c>
      <c r="C831" s="7">
        <f>CHOOSE( CONTROL!$C$37, 26.051, 26.0499) * CHOOSE(CONTROL!$C$20, $D$12, 100%, $F$12)</f>
        <v>26.050999999999998</v>
      </c>
      <c r="D831" s="7">
        <f>CHOOSE( CONTROL!$C$37, 26.063, 26.0619) * CHOOSE( CONTROL!$C$20, $D$12, 100%, $F$12)</f>
        <v>26.062999999999999</v>
      </c>
      <c r="E831" s="10">
        <f>CHOOSE( CONTROL!$C$37, 26.0585, 26.0574) * CHOOSE( CONTROL!$C$20, $D$12, 100%, $F$12)</f>
        <v>26.058499999999999</v>
      </c>
      <c r="F831" s="4">
        <f>CHOOSE( CONTROL!$C$37, 26.7727, 26.7716) * CHOOSE(CONTROL!$C$20, $D$12, 100%, $F$12)</f>
        <v>26.7727</v>
      </c>
      <c r="G831" s="7">
        <f>CHOOSE( CONTROL!$C$37, 25.7285, 25.7274) * CHOOSE( CONTROL!$C$20, $D$12, 100%, $F$12)</f>
        <v>25.7285</v>
      </c>
      <c r="H831" s="4">
        <f>CHOOSE( CONTROL!$C$37, 26.673, 26.6719) * CHOOSE(CONTROL!$C$20, $D$12, 100%, $F$12)</f>
        <v>26.672999999999998</v>
      </c>
      <c r="I831" s="7">
        <f>CHOOSE( CONTROL!$C$37, 25.3738, 25.3727) * CHOOSE(CONTROL!$C$20, $D$12, 100%, $F$12)</f>
        <v>25.373799999999999</v>
      </c>
      <c r="J831" s="4">
        <f>CHOOSE( CONTROL!$C$37, 25.2363, 25.2352) * CHOOSE(CONTROL!$C$20, $D$12, 100%, $F$12)</f>
        <v>25.2363</v>
      </c>
      <c r="K831" s="4"/>
      <c r="L831" s="8">
        <v>31.095300000000002</v>
      </c>
      <c r="M831" s="8">
        <v>12.063700000000001</v>
      </c>
      <c r="N831" s="8">
        <v>4.9444999999999997</v>
      </c>
      <c r="O831" s="8">
        <v>0.37409999999999999</v>
      </c>
      <c r="P831" s="8">
        <v>1.2927</v>
      </c>
      <c r="Q831" s="8">
        <v>19.688099999999999</v>
      </c>
      <c r="R831" s="8"/>
    </row>
    <row r="832" spans="1:18" ht="14.25" customHeight="1">
      <c r="A832" s="11">
        <v>66445</v>
      </c>
      <c r="B832" s="7">
        <f>CHOOSE( CONTROL!$C$37, 28.0913, 28.0902) * CHOOSE(CONTROL!$C$20, $D$12, 100%, $F$12)</f>
        <v>28.0913</v>
      </c>
      <c r="C832" s="7">
        <f>CHOOSE( CONTROL!$C$37, 28.0964, 28.0953) * CHOOSE(CONTROL!$C$20, $D$12, 100%, $F$12)</f>
        <v>28.096399999999999</v>
      </c>
      <c r="D832" s="7">
        <f>CHOOSE( CONTROL!$C$37, 28.0749, 28.0738) * CHOOSE( CONTROL!$C$20, $D$12, 100%, $F$12)</f>
        <v>28.0749</v>
      </c>
      <c r="E832" s="10">
        <f>CHOOSE( CONTROL!$C$37, 28.0822, 28.0811) * CHOOSE( CONTROL!$C$20, $D$12, 100%, $F$12)</f>
        <v>28.0822</v>
      </c>
      <c r="F832" s="4">
        <f>CHOOSE( CONTROL!$C$37, 28.7439, 28.7428) * CHOOSE(CONTROL!$C$20, $D$12, 100%, $F$12)</f>
        <v>28.7439</v>
      </c>
      <c r="G832" s="7">
        <f>CHOOSE( CONTROL!$C$37, 27.7321, 27.731) * CHOOSE( CONTROL!$C$20, $D$12, 100%, $F$12)</f>
        <v>27.732099999999999</v>
      </c>
      <c r="H832" s="4">
        <f>CHOOSE( CONTROL!$C$37, 28.6167, 28.6156) * CHOOSE(CONTROL!$C$20, $D$12, 100%, $F$12)</f>
        <v>28.616700000000002</v>
      </c>
      <c r="I832" s="7">
        <f>CHOOSE( CONTROL!$C$37, 27.4071, 27.4061) * CHOOSE(CONTROL!$C$20, $D$12, 100%, $F$12)</f>
        <v>27.4071</v>
      </c>
      <c r="J832" s="4">
        <f>CHOOSE( CONTROL!$C$37, 27.2175, 27.2164) * CHOOSE(CONTROL!$C$20, $D$12, 100%, $F$12)</f>
        <v>27.217500000000001</v>
      </c>
      <c r="K832" s="4"/>
      <c r="L832" s="8">
        <v>28.360600000000002</v>
      </c>
      <c r="M832" s="8">
        <v>11.6745</v>
      </c>
      <c r="N832" s="8">
        <v>4.7850000000000001</v>
      </c>
      <c r="O832" s="8">
        <v>0.36199999999999999</v>
      </c>
      <c r="P832" s="8">
        <v>1.2509999999999999</v>
      </c>
      <c r="Q832" s="8">
        <v>19.053000000000001</v>
      </c>
      <c r="R832" s="8"/>
    </row>
    <row r="833" spans="1:18" ht="14.25" customHeight="1">
      <c r="A833" s="11">
        <v>66476</v>
      </c>
      <c r="B833" s="7">
        <f>CHOOSE( CONTROL!$C$37, 28.0402, 28.0391) * CHOOSE(CONTROL!$C$20, $D$12, 100%, $F$12)</f>
        <v>28.040199999999999</v>
      </c>
      <c r="C833" s="7">
        <f>CHOOSE( CONTROL!$C$37, 28.0453, 28.0442) * CHOOSE(CONTROL!$C$20, $D$12, 100%, $F$12)</f>
        <v>28.045300000000001</v>
      </c>
      <c r="D833" s="7">
        <f>CHOOSE( CONTROL!$C$37, 28.0253, 28.0242) * CHOOSE( CONTROL!$C$20, $D$12, 100%, $F$12)</f>
        <v>28.025300000000001</v>
      </c>
      <c r="E833" s="10">
        <f>CHOOSE( CONTROL!$C$37, 28.0321, 28.031) * CHOOSE( CONTROL!$C$20, $D$12, 100%, $F$12)</f>
        <v>28.0321</v>
      </c>
      <c r="F833" s="4">
        <f>CHOOSE( CONTROL!$C$37, 28.6927, 28.6916) * CHOOSE(CONTROL!$C$20, $D$12, 100%, $F$12)</f>
        <v>28.692699999999999</v>
      </c>
      <c r="G833" s="7">
        <f>CHOOSE( CONTROL!$C$37, 27.6828, 27.6817) * CHOOSE( CONTROL!$C$20, $D$12, 100%, $F$12)</f>
        <v>27.6828</v>
      </c>
      <c r="H833" s="4">
        <f>CHOOSE( CONTROL!$C$37, 28.5663, 28.5652) * CHOOSE(CONTROL!$C$20, $D$12, 100%, $F$12)</f>
        <v>28.566299999999998</v>
      </c>
      <c r="I833" s="7">
        <f>CHOOSE( CONTROL!$C$37, 27.3625, 27.3614) * CHOOSE(CONTROL!$C$20, $D$12, 100%, $F$12)</f>
        <v>27.362500000000001</v>
      </c>
      <c r="J833" s="4">
        <f>CHOOSE( CONTROL!$C$37, 27.168, 27.1669) * CHOOSE(CONTROL!$C$20, $D$12, 100%, $F$12)</f>
        <v>27.167999999999999</v>
      </c>
      <c r="K833" s="4"/>
      <c r="L833" s="8">
        <v>29.306000000000001</v>
      </c>
      <c r="M833" s="8">
        <v>12.063700000000001</v>
      </c>
      <c r="N833" s="8">
        <v>4.9444999999999997</v>
      </c>
      <c r="O833" s="8">
        <v>0.37409999999999999</v>
      </c>
      <c r="P833" s="8">
        <v>1.2927</v>
      </c>
      <c r="Q833" s="8">
        <v>19.688099999999999</v>
      </c>
      <c r="R833" s="8"/>
    </row>
    <row r="834" spans="1:18" ht="14.25" customHeight="1">
      <c r="A834" s="11">
        <v>66507</v>
      </c>
      <c r="B834" s="7">
        <f>CHOOSE( CONTROL!$C$37, 28.8678, 28.8667) * CHOOSE(CONTROL!$C$20, $D$12, 100%, $F$12)</f>
        <v>28.867799999999999</v>
      </c>
      <c r="C834" s="7">
        <f>CHOOSE( CONTROL!$C$37, 28.8729, 28.8718) * CHOOSE(CONTROL!$C$20, $D$12, 100%, $F$12)</f>
        <v>28.872900000000001</v>
      </c>
      <c r="D834" s="7">
        <f>CHOOSE( CONTROL!$C$37, 28.866, 28.8649) * CHOOSE( CONTROL!$C$20, $D$12, 100%, $F$12)</f>
        <v>28.866</v>
      </c>
      <c r="E834" s="10">
        <f>CHOOSE( CONTROL!$C$37, 28.868, 28.8669) * CHOOSE( CONTROL!$C$20, $D$12, 100%, $F$12)</f>
        <v>28.867999999999999</v>
      </c>
      <c r="F834" s="4">
        <f>CHOOSE( CONTROL!$C$37, 29.5203, 29.5192) * CHOOSE(CONTROL!$C$20, $D$12, 100%, $F$12)</f>
        <v>29.520299999999999</v>
      </c>
      <c r="G834" s="7">
        <f>CHOOSE( CONTROL!$C$37, 28.5033, 28.5023) * CHOOSE( CONTROL!$C$20, $D$12, 100%, $F$12)</f>
        <v>28.503299999999999</v>
      </c>
      <c r="H834" s="4">
        <f>CHOOSE( CONTROL!$C$37, 29.3823, 29.3812) * CHOOSE(CONTROL!$C$20, $D$12, 100%, $F$12)</f>
        <v>29.382300000000001</v>
      </c>
      <c r="I834" s="7">
        <f>CHOOSE( CONTROL!$C$37, 28.1355, 28.1345) * CHOOSE(CONTROL!$C$20, $D$12, 100%, $F$12)</f>
        <v>28.1355</v>
      </c>
      <c r="J834" s="4">
        <f>CHOOSE( CONTROL!$C$37, 27.9693, 27.9683) * CHOOSE(CONTROL!$C$20, $D$12, 100%, $F$12)</f>
        <v>27.9693</v>
      </c>
      <c r="K834" s="4"/>
      <c r="L834" s="8">
        <v>29.306000000000001</v>
      </c>
      <c r="M834" s="8">
        <v>12.063700000000001</v>
      </c>
      <c r="N834" s="8">
        <v>4.9444999999999997</v>
      </c>
      <c r="O834" s="8">
        <v>0.37409999999999999</v>
      </c>
      <c r="P834" s="8">
        <v>1.2927</v>
      </c>
      <c r="Q834" s="8">
        <v>19.688099999999999</v>
      </c>
      <c r="R834" s="8"/>
    </row>
    <row r="835" spans="1:18" ht="14.25" customHeight="1">
      <c r="A835" s="11">
        <v>66535</v>
      </c>
      <c r="B835" s="7">
        <f>CHOOSE( CONTROL!$C$37, 27.0005, 26.9994) * CHOOSE(CONTROL!$C$20, $D$12, 100%, $F$12)</f>
        <v>27.000499999999999</v>
      </c>
      <c r="C835" s="7">
        <f>CHOOSE( CONTROL!$C$37, 27.0056, 27.0045) * CHOOSE(CONTROL!$C$20, $D$12, 100%, $F$12)</f>
        <v>27.005600000000001</v>
      </c>
      <c r="D835" s="7">
        <f>CHOOSE( CONTROL!$C$37, 26.9986, 26.9975) * CHOOSE( CONTROL!$C$20, $D$12, 100%, $F$12)</f>
        <v>26.9986</v>
      </c>
      <c r="E835" s="10">
        <f>CHOOSE( CONTROL!$C$37, 27.0006, 26.9995) * CHOOSE( CONTROL!$C$20, $D$12, 100%, $F$12)</f>
        <v>27.000599999999999</v>
      </c>
      <c r="F835" s="4">
        <f>CHOOSE( CONTROL!$C$37, 27.653, 27.6519) * CHOOSE(CONTROL!$C$20, $D$12, 100%, $F$12)</f>
        <v>27.652999999999999</v>
      </c>
      <c r="G835" s="7">
        <f>CHOOSE( CONTROL!$C$37, 26.662, 26.661) * CHOOSE( CONTROL!$C$20, $D$12, 100%, $F$12)</f>
        <v>26.661999999999999</v>
      </c>
      <c r="H835" s="4">
        <f>CHOOSE( CONTROL!$C$37, 27.5411, 27.54) * CHOOSE(CONTROL!$C$20, $D$12, 100%, $F$12)</f>
        <v>27.5411</v>
      </c>
      <c r="I835" s="7">
        <f>CHOOSE( CONTROL!$C$37, 26.3262, 26.3252) * CHOOSE(CONTROL!$C$20, $D$12, 100%, $F$12)</f>
        <v>26.3262</v>
      </c>
      <c r="J835" s="4">
        <f>CHOOSE( CONTROL!$C$37, 26.1612, 26.1602) * CHOOSE(CONTROL!$C$20, $D$12, 100%, $F$12)</f>
        <v>26.161200000000001</v>
      </c>
      <c r="K835" s="4"/>
      <c r="L835" s="8">
        <v>26.469899999999999</v>
      </c>
      <c r="M835" s="8">
        <v>10.8962</v>
      </c>
      <c r="N835" s="8">
        <v>4.4660000000000002</v>
      </c>
      <c r="O835" s="8">
        <v>0.33789999999999998</v>
      </c>
      <c r="P835" s="8">
        <v>1.1676</v>
      </c>
      <c r="Q835" s="8">
        <v>17.782800000000002</v>
      </c>
      <c r="R835" s="8"/>
    </row>
    <row r="836" spans="1:18" ht="14.25" customHeight="1">
      <c r="A836" s="11">
        <v>66566</v>
      </c>
      <c r="B836" s="7">
        <f>CHOOSE( CONTROL!$C$37, 26.4253, 26.4243) * CHOOSE(CONTROL!$C$20, $D$12, 100%, $F$12)</f>
        <v>26.4253</v>
      </c>
      <c r="C836" s="7">
        <f>CHOOSE( CONTROL!$C$37, 26.4304, 26.4294) * CHOOSE(CONTROL!$C$20, $D$12, 100%, $F$12)</f>
        <v>26.430399999999999</v>
      </c>
      <c r="D836" s="7">
        <f>CHOOSE( CONTROL!$C$37, 26.4228, 26.4218) * CHOOSE( CONTROL!$C$20, $D$12, 100%, $F$12)</f>
        <v>26.422799999999999</v>
      </c>
      <c r="E836" s="10">
        <f>CHOOSE( CONTROL!$C$37, 26.425, 26.424) * CHOOSE( CONTROL!$C$20, $D$12, 100%, $F$12)</f>
        <v>26.425000000000001</v>
      </c>
      <c r="F836" s="4">
        <f>CHOOSE( CONTROL!$C$37, 27.0779, 27.0768) * CHOOSE(CONTROL!$C$20, $D$12, 100%, $F$12)</f>
        <v>27.0779</v>
      </c>
      <c r="G836" s="7">
        <f>CHOOSE( CONTROL!$C$37, 26.0945, 26.0934) * CHOOSE( CONTROL!$C$20, $D$12, 100%, $F$12)</f>
        <v>26.0945</v>
      </c>
      <c r="H836" s="4">
        <f>CHOOSE( CONTROL!$C$37, 26.974, 26.9729) * CHOOSE(CONTROL!$C$20, $D$12, 100%, $F$12)</f>
        <v>26.974</v>
      </c>
      <c r="I836" s="7">
        <f>CHOOSE( CONTROL!$C$37, 25.7672, 25.7661) * CHOOSE(CONTROL!$C$20, $D$12, 100%, $F$12)</f>
        <v>25.767199999999999</v>
      </c>
      <c r="J836" s="4">
        <f>CHOOSE( CONTROL!$C$37, 25.6043, 25.6033) * CHOOSE(CONTROL!$C$20, $D$12, 100%, $F$12)</f>
        <v>25.604299999999999</v>
      </c>
      <c r="K836" s="4"/>
      <c r="L836" s="8">
        <v>29.306000000000001</v>
      </c>
      <c r="M836" s="8">
        <v>12.063700000000001</v>
      </c>
      <c r="N836" s="8">
        <v>4.9444999999999997</v>
      </c>
      <c r="O836" s="8">
        <v>0.37409999999999999</v>
      </c>
      <c r="P836" s="8">
        <v>1.2927</v>
      </c>
      <c r="Q836" s="8">
        <v>19.688099999999999</v>
      </c>
      <c r="R836" s="8"/>
    </row>
    <row r="837" spans="1:18" ht="14.25" customHeight="1">
      <c r="A837" s="11">
        <v>66596</v>
      </c>
      <c r="B837" s="7">
        <f>CHOOSE( CONTROL!$C$37, 26.828, 26.8269) * CHOOSE(CONTROL!$C$20, $D$12, 100%, $F$12)</f>
        <v>26.827999999999999</v>
      </c>
      <c r="C837" s="7">
        <f>CHOOSE( CONTROL!$C$37, 26.8325, 26.8314) * CHOOSE(CONTROL!$C$20, $D$12, 100%, $F$12)</f>
        <v>26.8325</v>
      </c>
      <c r="D837" s="7">
        <f>CHOOSE( CONTROL!$C$37, 26.8444, 26.8433) * CHOOSE( CONTROL!$C$20, $D$12, 100%, $F$12)</f>
        <v>26.8444</v>
      </c>
      <c r="E837" s="10">
        <f>CHOOSE( CONTROL!$C$37, 26.84, 26.8389) * CHOOSE( CONTROL!$C$20, $D$12, 100%, $F$12)</f>
        <v>26.84</v>
      </c>
      <c r="F837" s="4">
        <f>CHOOSE( CONTROL!$C$37, 27.5546, 27.5536) * CHOOSE(CONTROL!$C$20, $D$12, 100%, $F$12)</f>
        <v>27.554600000000001</v>
      </c>
      <c r="G837" s="7">
        <f>CHOOSE( CONTROL!$C$37, 26.499, 26.4979) * CHOOSE( CONTROL!$C$20, $D$12, 100%, $F$12)</f>
        <v>26.498999999999999</v>
      </c>
      <c r="H837" s="4">
        <f>CHOOSE( CONTROL!$C$37, 27.4441, 27.443) * CHOOSE(CONTROL!$C$20, $D$12, 100%, $F$12)</f>
        <v>27.444099999999999</v>
      </c>
      <c r="I837" s="7">
        <f>CHOOSE( CONTROL!$C$37, 26.1291, 26.128) * CHOOSE(CONTROL!$C$20, $D$12, 100%, $F$12)</f>
        <v>26.129100000000001</v>
      </c>
      <c r="J837" s="4">
        <f>CHOOSE( CONTROL!$C$37, 25.9935, 25.9924) * CHOOSE(CONTROL!$C$20, $D$12, 100%, $F$12)</f>
        <v>25.993500000000001</v>
      </c>
      <c r="K837" s="4"/>
      <c r="L837" s="8">
        <v>30.092199999999998</v>
      </c>
      <c r="M837" s="8">
        <v>11.6745</v>
      </c>
      <c r="N837" s="8">
        <v>4.7850000000000001</v>
      </c>
      <c r="O837" s="8">
        <v>0.36199999999999999</v>
      </c>
      <c r="P837" s="8">
        <v>1.2509999999999999</v>
      </c>
      <c r="Q837" s="8">
        <v>19.053000000000001</v>
      </c>
      <c r="R837" s="8"/>
    </row>
    <row r="838" spans="1:18" ht="14.25" customHeight="1">
      <c r="A838" s="11">
        <v>66627</v>
      </c>
      <c r="B838" s="7">
        <f>CHOOSE( CONTROL!$C$37, 27.5452, 27.5435) * CHOOSE(CONTROL!$C$20, $D$12, 100%, $F$12)</f>
        <v>27.545200000000001</v>
      </c>
      <c r="C838" s="7">
        <f>CHOOSE( CONTROL!$C$37, 27.5532, 27.5515) * CHOOSE(CONTROL!$C$20, $D$12, 100%, $F$12)</f>
        <v>27.5532</v>
      </c>
      <c r="D838" s="7">
        <f>CHOOSE( CONTROL!$C$37, 27.5588, 27.5572) * CHOOSE( CONTROL!$C$20, $D$12, 100%, $F$12)</f>
        <v>27.558800000000002</v>
      </c>
      <c r="E838" s="10">
        <f>CHOOSE( CONTROL!$C$37, 27.5556, 27.5539) * CHOOSE( CONTROL!$C$20, $D$12, 100%, $F$12)</f>
        <v>27.555599999999998</v>
      </c>
      <c r="F838" s="4">
        <f>CHOOSE( CONTROL!$C$37, 28.2705, 28.2688) * CHOOSE(CONTROL!$C$20, $D$12, 100%, $F$12)</f>
        <v>28.270499999999998</v>
      </c>
      <c r="G838" s="7">
        <f>CHOOSE( CONTROL!$C$37, 27.2048, 27.2032) * CHOOSE( CONTROL!$C$20, $D$12, 100%, $F$12)</f>
        <v>27.204799999999999</v>
      </c>
      <c r="H838" s="4">
        <f>CHOOSE( CONTROL!$C$37, 28.1499, 28.1483) * CHOOSE(CONTROL!$C$20, $D$12, 100%, $F$12)</f>
        <v>28.149899999999999</v>
      </c>
      <c r="I838" s="7">
        <f>CHOOSE( CONTROL!$C$37, 26.8223, 26.8207) * CHOOSE(CONTROL!$C$20, $D$12, 100%, $F$12)</f>
        <v>26.822299999999998</v>
      </c>
      <c r="J838" s="4">
        <f>CHOOSE( CONTROL!$C$37, 26.6866, 26.685) * CHOOSE(CONTROL!$C$20, $D$12, 100%, $F$12)</f>
        <v>26.686599999999999</v>
      </c>
      <c r="K838" s="4"/>
      <c r="L838" s="8">
        <v>30.7165</v>
      </c>
      <c r="M838" s="8">
        <v>12.063700000000001</v>
      </c>
      <c r="N838" s="8">
        <v>4.9444999999999997</v>
      </c>
      <c r="O838" s="8">
        <v>0.37409999999999999</v>
      </c>
      <c r="P838" s="8">
        <v>1.2927</v>
      </c>
      <c r="Q838" s="8">
        <v>19.688099999999999</v>
      </c>
      <c r="R838" s="8"/>
    </row>
    <row r="839" spans="1:18" ht="14.25" customHeight="1">
      <c r="A839" s="11">
        <v>66657</v>
      </c>
      <c r="B839" s="7">
        <f>CHOOSE( CONTROL!$C$37, 27.1021, 27.1005) * CHOOSE(CONTROL!$C$20, $D$12, 100%, $F$12)</f>
        <v>27.1021</v>
      </c>
      <c r="C839" s="7">
        <f>CHOOSE( CONTROL!$C$37, 27.1101, 27.1085) * CHOOSE(CONTROL!$C$20, $D$12, 100%, $F$12)</f>
        <v>27.110099999999999</v>
      </c>
      <c r="D839" s="7">
        <f>CHOOSE( CONTROL!$C$37, 27.116, 27.1144) * CHOOSE( CONTROL!$C$20, $D$12, 100%, $F$12)</f>
        <v>27.116</v>
      </c>
      <c r="E839" s="10">
        <f>CHOOSE( CONTROL!$C$37, 27.1126, 27.111) * CHOOSE( CONTROL!$C$20, $D$12, 100%, $F$12)</f>
        <v>27.1126</v>
      </c>
      <c r="F839" s="4">
        <f>CHOOSE( CONTROL!$C$37, 27.8274, 27.8257) * CHOOSE(CONTROL!$C$20, $D$12, 100%, $F$12)</f>
        <v>27.827400000000001</v>
      </c>
      <c r="G839" s="7">
        <f>CHOOSE( CONTROL!$C$37, 26.7681, 26.7665) * CHOOSE( CONTROL!$C$20, $D$12, 100%, $F$12)</f>
        <v>26.7681</v>
      </c>
      <c r="H839" s="4">
        <f>CHOOSE( CONTROL!$C$37, 27.713, 27.7114) * CHOOSE(CONTROL!$C$20, $D$12, 100%, $F$12)</f>
        <v>27.713000000000001</v>
      </c>
      <c r="I839" s="7">
        <f>CHOOSE( CONTROL!$C$37, 26.394, 26.3924) * CHOOSE(CONTROL!$C$20, $D$12, 100%, $F$12)</f>
        <v>26.393999999999998</v>
      </c>
      <c r="J839" s="4">
        <f>CHOOSE( CONTROL!$C$37, 26.2576, 26.256) * CHOOSE(CONTROL!$C$20, $D$12, 100%, $F$12)</f>
        <v>26.2576</v>
      </c>
      <c r="K839" s="4"/>
      <c r="L839" s="8">
        <v>29.7257</v>
      </c>
      <c r="M839" s="8">
        <v>11.6745</v>
      </c>
      <c r="N839" s="8">
        <v>4.7850000000000001</v>
      </c>
      <c r="O839" s="8">
        <v>0.36199999999999999</v>
      </c>
      <c r="P839" s="8">
        <v>1.2509999999999999</v>
      </c>
      <c r="Q839" s="8">
        <v>19.053000000000001</v>
      </c>
      <c r="R839" s="8"/>
    </row>
    <row r="840" spans="1:18" ht="14.25" customHeight="1">
      <c r="A840" s="11">
        <v>66688</v>
      </c>
      <c r="B840" s="7">
        <f>CHOOSE( CONTROL!$C$37, 28.2689, 28.2672) * CHOOSE(CONTROL!$C$20, $D$12, 100%, $F$12)</f>
        <v>28.268899999999999</v>
      </c>
      <c r="C840" s="7">
        <f>CHOOSE( CONTROL!$C$37, 28.2769, 28.2752) * CHOOSE(CONTROL!$C$20, $D$12, 100%, $F$12)</f>
        <v>28.276900000000001</v>
      </c>
      <c r="D840" s="7">
        <f>CHOOSE( CONTROL!$C$37, 28.2831, 28.2815) * CHOOSE( CONTROL!$C$20, $D$12, 100%, $F$12)</f>
        <v>28.283100000000001</v>
      </c>
      <c r="E840" s="10">
        <f>CHOOSE( CONTROL!$C$37, 28.2796, 28.278) * CHOOSE( CONTROL!$C$20, $D$12, 100%, $F$12)</f>
        <v>28.279599999999999</v>
      </c>
      <c r="F840" s="4">
        <f>CHOOSE( CONTROL!$C$37, 28.9942, 28.9925) * CHOOSE(CONTROL!$C$20, $D$12, 100%, $F$12)</f>
        <v>28.994199999999999</v>
      </c>
      <c r="G840" s="7">
        <f>CHOOSE( CONTROL!$C$37, 27.9189, 27.9172) * CHOOSE( CONTROL!$C$20, $D$12, 100%, $F$12)</f>
        <v>27.918900000000001</v>
      </c>
      <c r="H840" s="4">
        <f>CHOOSE( CONTROL!$C$37, 28.8635, 28.8619) * CHOOSE(CONTROL!$C$20, $D$12, 100%, $F$12)</f>
        <v>28.863499999999998</v>
      </c>
      <c r="I840" s="7">
        <f>CHOOSE( CONTROL!$C$37, 27.5254, 27.5238) * CHOOSE(CONTROL!$C$20, $D$12, 100%, $F$12)</f>
        <v>27.525400000000001</v>
      </c>
      <c r="J840" s="4">
        <f>CHOOSE( CONTROL!$C$37, 27.3874, 27.3858) * CHOOSE(CONTROL!$C$20, $D$12, 100%, $F$12)</f>
        <v>27.3874</v>
      </c>
      <c r="K840" s="4"/>
      <c r="L840" s="8">
        <v>30.7165</v>
      </c>
      <c r="M840" s="8">
        <v>12.063700000000001</v>
      </c>
      <c r="N840" s="8">
        <v>4.9444999999999997</v>
      </c>
      <c r="O840" s="8">
        <v>0.37409999999999999</v>
      </c>
      <c r="P840" s="8">
        <v>1.2927</v>
      </c>
      <c r="Q840" s="8">
        <v>19.688099999999999</v>
      </c>
      <c r="R840" s="8"/>
    </row>
    <row r="841" spans="1:18" ht="14.25" customHeight="1">
      <c r="A841" s="11">
        <v>66719</v>
      </c>
      <c r="B841" s="7">
        <f>CHOOSE( CONTROL!$C$37, 26.0857, 26.0841) * CHOOSE(CONTROL!$C$20, $D$12, 100%, $F$12)</f>
        <v>26.085699999999999</v>
      </c>
      <c r="C841" s="7">
        <f>CHOOSE( CONTROL!$C$37, 26.0937, 26.0921) * CHOOSE(CONTROL!$C$20, $D$12, 100%, $F$12)</f>
        <v>26.093699999999998</v>
      </c>
      <c r="D841" s="7">
        <f>CHOOSE( CONTROL!$C$37, 26.1, 26.0984) * CHOOSE( CONTROL!$C$20, $D$12, 100%, $F$12)</f>
        <v>26.1</v>
      </c>
      <c r="E841" s="10">
        <f>CHOOSE( CONTROL!$C$37, 26.0965, 26.0949) * CHOOSE( CONTROL!$C$20, $D$12, 100%, $F$12)</f>
        <v>26.096499999999999</v>
      </c>
      <c r="F841" s="4">
        <f>CHOOSE( CONTROL!$C$37, 26.811, 26.8093) * CHOOSE(CONTROL!$C$20, $D$12, 100%, $F$12)</f>
        <v>26.811</v>
      </c>
      <c r="G841" s="7">
        <f>CHOOSE( CONTROL!$C$37, 25.7662, 25.7646) * CHOOSE( CONTROL!$C$20, $D$12, 100%, $F$12)</f>
        <v>25.766200000000001</v>
      </c>
      <c r="H841" s="4">
        <f>CHOOSE( CONTROL!$C$37, 26.7108, 26.7092) * CHOOSE(CONTROL!$C$20, $D$12, 100%, $F$12)</f>
        <v>26.710799999999999</v>
      </c>
      <c r="I841" s="7">
        <f>CHOOSE( CONTROL!$C$37, 25.4106, 25.409) * CHOOSE(CONTROL!$C$20, $D$12, 100%, $F$12)</f>
        <v>25.410599999999999</v>
      </c>
      <c r="J841" s="4">
        <f>CHOOSE( CONTROL!$C$37, 25.2734, 25.2718) * CHOOSE(CONTROL!$C$20, $D$12, 100%, $F$12)</f>
        <v>25.273399999999999</v>
      </c>
      <c r="K841" s="4"/>
      <c r="L841" s="8">
        <v>30.7165</v>
      </c>
      <c r="M841" s="8">
        <v>12.063700000000001</v>
      </c>
      <c r="N841" s="8">
        <v>4.9444999999999997</v>
      </c>
      <c r="O841" s="8">
        <v>0.37409999999999999</v>
      </c>
      <c r="P841" s="8">
        <v>1.2927</v>
      </c>
      <c r="Q841" s="8">
        <v>19.688099999999999</v>
      </c>
      <c r="R841" s="8"/>
    </row>
    <row r="842" spans="1:18" ht="14.25" customHeight="1">
      <c r="A842" s="11">
        <v>66749</v>
      </c>
      <c r="B842" s="7">
        <f>CHOOSE( CONTROL!$C$37, 25.539, 25.5374) * CHOOSE(CONTROL!$C$20, $D$12, 100%, $F$12)</f>
        <v>25.539000000000001</v>
      </c>
      <c r="C842" s="7">
        <f>CHOOSE( CONTROL!$C$37, 25.547, 25.5454) * CHOOSE(CONTROL!$C$20, $D$12, 100%, $F$12)</f>
        <v>25.547000000000001</v>
      </c>
      <c r="D842" s="7">
        <f>CHOOSE( CONTROL!$C$37, 25.5532, 25.5516) * CHOOSE( CONTROL!$C$20, $D$12, 100%, $F$12)</f>
        <v>25.5532</v>
      </c>
      <c r="E842" s="10">
        <f>CHOOSE( CONTROL!$C$37, 25.5497, 25.5481) * CHOOSE( CONTROL!$C$20, $D$12, 100%, $F$12)</f>
        <v>25.549700000000001</v>
      </c>
      <c r="F842" s="4">
        <f>CHOOSE( CONTROL!$C$37, 26.2643, 26.2626) * CHOOSE(CONTROL!$C$20, $D$12, 100%, $F$12)</f>
        <v>26.264299999999999</v>
      </c>
      <c r="G842" s="7">
        <f>CHOOSE( CONTROL!$C$37, 25.2271, 25.2254) * CHOOSE( CONTROL!$C$20, $D$12, 100%, $F$12)</f>
        <v>25.2271</v>
      </c>
      <c r="H842" s="4">
        <f>CHOOSE( CONTROL!$C$37, 26.1717, 26.1701) * CHOOSE(CONTROL!$C$20, $D$12, 100%, $F$12)</f>
        <v>26.171700000000001</v>
      </c>
      <c r="I842" s="7">
        <f>CHOOSE( CONTROL!$C$37, 24.8806, 24.879) * CHOOSE(CONTROL!$C$20, $D$12, 100%, $F$12)</f>
        <v>24.880600000000001</v>
      </c>
      <c r="J842" s="4">
        <f>CHOOSE( CONTROL!$C$37, 24.744, 24.7424) * CHOOSE(CONTROL!$C$20, $D$12, 100%, $F$12)</f>
        <v>24.744</v>
      </c>
      <c r="K842" s="4"/>
      <c r="L842" s="8">
        <v>29.7257</v>
      </c>
      <c r="M842" s="8">
        <v>11.6745</v>
      </c>
      <c r="N842" s="8">
        <v>4.7850000000000001</v>
      </c>
      <c r="O842" s="8">
        <v>0.36199999999999999</v>
      </c>
      <c r="P842" s="8">
        <v>1.2509999999999999</v>
      </c>
      <c r="Q842" s="8">
        <v>19.053000000000001</v>
      </c>
      <c r="R842" s="8"/>
    </row>
    <row r="843" spans="1:18" ht="14.25" customHeight="1">
      <c r="A843" s="11">
        <v>66780</v>
      </c>
      <c r="B843" s="7">
        <f>CHOOSE( CONTROL!$C$37, 26.6719, 26.6708) * CHOOSE(CONTROL!$C$20, $D$12, 100%, $F$12)</f>
        <v>26.671900000000001</v>
      </c>
      <c r="C843" s="7">
        <f>CHOOSE( CONTROL!$C$37, 26.6772, 26.6761) * CHOOSE(CONTROL!$C$20, $D$12, 100%, $F$12)</f>
        <v>26.677199999999999</v>
      </c>
      <c r="D843" s="7">
        <f>CHOOSE( CONTROL!$C$37, 26.6892, 26.6881) * CHOOSE( CONTROL!$C$20, $D$12, 100%, $F$12)</f>
        <v>26.6892</v>
      </c>
      <c r="E843" s="10">
        <f>CHOOSE( CONTROL!$C$37, 26.6847, 26.6836) * CHOOSE( CONTROL!$C$20, $D$12, 100%, $F$12)</f>
        <v>26.684699999999999</v>
      </c>
      <c r="F843" s="4">
        <f>CHOOSE( CONTROL!$C$37, 27.3989, 27.3978) * CHOOSE(CONTROL!$C$20, $D$12, 100%, $F$12)</f>
        <v>27.398900000000001</v>
      </c>
      <c r="G843" s="7">
        <f>CHOOSE( CONTROL!$C$37, 26.3459, 26.3448) * CHOOSE( CONTROL!$C$20, $D$12, 100%, $F$12)</f>
        <v>26.3459</v>
      </c>
      <c r="H843" s="4">
        <f>CHOOSE( CONTROL!$C$37, 27.2905, 27.2894) * CHOOSE(CONTROL!$C$20, $D$12, 100%, $F$12)</f>
        <v>27.290500000000002</v>
      </c>
      <c r="I843" s="7">
        <f>CHOOSE( CONTROL!$C$37, 25.9804, 25.9794) * CHOOSE(CONTROL!$C$20, $D$12, 100%, $F$12)</f>
        <v>25.980399999999999</v>
      </c>
      <c r="J843" s="4">
        <f>CHOOSE( CONTROL!$C$37, 25.8426, 25.8416) * CHOOSE(CONTROL!$C$20, $D$12, 100%, $F$12)</f>
        <v>25.842600000000001</v>
      </c>
      <c r="K843" s="4"/>
      <c r="L843" s="8">
        <v>31.095300000000002</v>
      </c>
      <c r="M843" s="8">
        <v>12.063700000000001</v>
      </c>
      <c r="N843" s="8">
        <v>4.9444999999999997</v>
      </c>
      <c r="O843" s="8">
        <v>0.37409999999999999</v>
      </c>
      <c r="P843" s="8">
        <v>1.2927</v>
      </c>
      <c r="Q843" s="8">
        <v>19.688099999999999</v>
      </c>
      <c r="R843" s="8"/>
    </row>
    <row r="844" spans="1:18" ht="14.25" customHeight="1">
      <c r="A844" s="11">
        <v>66810</v>
      </c>
      <c r="B844" s="7">
        <f>CHOOSE( CONTROL!$C$37, 28.7667, 28.7656) * CHOOSE(CONTROL!$C$20, $D$12, 100%, $F$12)</f>
        <v>28.7667</v>
      </c>
      <c r="C844" s="7">
        <f>CHOOSE( CONTROL!$C$37, 28.7718, 28.7707) * CHOOSE(CONTROL!$C$20, $D$12, 100%, $F$12)</f>
        <v>28.771799999999999</v>
      </c>
      <c r="D844" s="7">
        <f>CHOOSE( CONTROL!$C$37, 28.7502, 28.7491) * CHOOSE( CONTROL!$C$20, $D$12, 100%, $F$12)</f>
        <v>28.7502</v>
      </c>
      <c r="E844" s="10">
        <f>CHOOSE( CONTROL!$C$37, 28.7576, 28.7565) * CHOOSE( CONTROL!$C$20, $D$12, 100%, $F$12)</f>
        <v>28.7576</v>
      </c>
      <c r="F844" s="4">
        <f>CHOOSE( CONTROL!$C$37, 29.4192, 29.4181) * CHOOSE(CONTROL!$C$20, $D$12, 100%, $F$12)</f>
        <v>29.4192</v>
      </c>
      <c r="G844" s="7">
        <f>CHOOSE( CONTROL!$C$37, 28.398, 28.3969) * CHOOSE( CONTROL!$C$20, $D$12, 100%, $F$12)</f>
        <v>28.398</v>
      </c>
      <c r="H844" s="4">
        <f>CHOOSE( CONTROL!$C$37, 29.2826, 29.2815) * CHOOSE(CONTROL!$C$20, $D$12, 100%, $F$12)</f>
        <v>29.282599999999999</v>
      </c>
      <c r="I844" s="7">
        <f>CHOOSE( CONTROL!$C$37, 28.0614, 28.0604) * CHOOSE(CONTROL!$C$20, $D$12, 100%, $F$12)</f>
        <v>28.061399999999999</v>
      </c>
      <c r="J844" s="4">
        <f>CHOOSE( CONTROL!$C$37, 27.8714, 27.8704) * CHOOSE(CONTROL!$C$20, $D$12, 100%, $F$12)</f>
        <v>27.871400000000001</v>
      </c>
      <c r="K844" s="4"/>
      <c r="L844" s="8">
        <v>28.360600000000002</v>
      </c>
      <c r="M844" s="8">
        <v>11.6745</v>
      </c>
      <c r="N844" s="8">
        <v>4.7850000000000001</v>
      </c>
      <c r="O844" s="8">
        <v>0.36199999999999999</v>
      </c>
      <c r="P844" s="8">
        <v>1.2509999999999999</v>
      </c>
      <c r="Q844" s="8">
        <v>19.053000000000001</v>
      </c>
      <c r="R844" s="8"/>
    </row>
    <row r="845" spans="1:18" ht="14.25" customHeight="1">
      <c r="A845" s="11">
        <v>66841</v>
      </c>
      <c r="B845" s="7">
        <f>CHOOSE( CONTROL!$C$37, 28.7143, 28.7132) * CHOOSE(CONTROL!$C$20, $D$12, 100%, $F$12)</f>
        <v>28.714300000000001</v>
      </c>
      <c r="C845" s="7">
        <f>CHOOSE( CONTROL!$C$37, 28.7194, 28.7183) * CHOOSE(CONTROL!$C$20, $D$12, 100%, $F$12)</f>
        <v>28.7194</v>
      </c>
      <c r="D845" s="7">
        <f>CHOOSE( CONTROL!$C$37, 28.6994, 28.6984) * CHOOSE( CONTROL!$C$20, $D$12, 100%, $F$12)</f>
        <v>28.699400000000001</v>
      </c>
      <c r="E845" s="10">
        <f>CHOOSE( CONTROL!$C$37, 28.7062, 28.7051) * CHOOSE( CONTROL!$C$20, $D$12, 100%, $F$12)</f>
        <v>28.706199999999999</v>
      </c>
      <c r="F845" s="4">
        <f>CHOOSE( CONTROL!$C$37, 29.3669, 29.3658) * CHOOSE(CONTROL!$C$20, $D$12, 100%, $F$12)</f>
        <v>29.366900000000001</v>
      </c>
      <c r="G845" s="7">
        <f>CHOOSE( CONTROL!$C$37, 28.3475, 28.3464) * CHOOSE( CONTROL!$C$20, $D$12, 100%, $F$12)</f>
        <v>28.3475</v>
      </c>
      <c r="H845" s="4">
        <f>CHOOSE( CONTROL!$C$37, 29.231, 29.2299) * CHOOSE(CONTROL!$C$20, $D$12, 100%, $F$12)</f>
        <v>29.231000000000002</v>
      </c>
      <c r="I845" s="7">
        <f>CHOOSE( CONTROL!$C$37, 28.0156, 28.0145) * CHOOSE(CONTROL!$C$20, $D$12, 100%, $F$12)</f>
        <v>28.015599999999999</v>
      </c>
      <c r="J845" s="4">
        <f>CHOOSE( CONTROL!$C$37, 27.8207, 27.8197) * CHOOSE(CONTROL!$C$20, $D$12, 100%, $F$12)</f>
        <v>27.820699999999999</v>
      </c>
      <c r="K845" s="4"/>
      <c r="L845" s="8">
        <v>29.306000000000001</v>
      </c>
      <c r="M845" s="8">
        <v>12.063700000000001</v>
      </c>
      <c r="N845" s="8">
        <v>4.9444999999999997</v>
      </c>
      <c r="O845" s="8">
        <v>0.37409999999999999</v>
      </c>
      <c r="P845" s="8">
        <v>1.2927</v>
      </c>
      <c r="Q845" s="8">
        <v>19.688099999999999</v>
      </c>
      <c r="R845" s="8"/>
    </row>
    <row r="846" spans="1:18" ht="14.25" customHeight="1">
      <c r="A846" s="11">
        <v>66872</v>
      </c>
      <c r="B846" s="7">
        <f>CHOOSE( CONTROL!$C$37, 29.5618, 29.5607) * CHOOSE(CONTROL!$C$20, $D$12, 100%, $F$12)</f>
        <v>29.561800000000002</v>
      </c>
      <c r="C846" s="7">
        <f>CHOOSE( CONTROL!$C$37, 29.5669, 29.5658) * CHOOSE(CONTROL!$C$20, $D$12, 100%, $F$12)</f>
        <v>29.5669</v>
      </c>
      <c r="D846" s="7">
        <f>CHOOSE( CONTROL!$C$37, 29.56, 29.5589) * CHOOSE( CONTROL!$C$20, $D$12, 100%, $F$12)</f>
        <v>29.56</v>
      </c>
      <c r="E846" s="10">
        <f>CHOOSE( CONTROL!$C$37, 29.562, 29.5609) * CHOOSE( CONTROL!$C$20, $D$12, 100%, $F$12)</f>
        <v>29.562000000000001</v>
      </c>
      <c r="F846" s="4">
        <f>CHOOSE( CONTROL!$C$37, 30.2143, 30.2132) * CHOOSE(CONTROL!$C$20, $D$12, 100%, $F$12)</f>
        <v>30.214300000000001</v>
      </c>
      <c r="G846" s="7">
        <f>CHOOSE( CONTROL!$C$37, 29.1877, 29.1866) * CHOOSE( CONTROL!$C$20, $D$12, 100%, $F$12)</f>
        <v>29.1877</v>
      </c>
      <c r="H846" s="4">
        <f>CHOOSE( CONTROL!$C$37, 30.0666, 30.0656) * CHOOSE(CONTROL!$C$20, $D$12, 100%, $F$12)</f>
        <v>30.066600000000001</v>
      </c>
      <c r="I846" s="7">
        <f>CHOOSE( CONTROL!$C$37, 28.8079, 28.8068) * CHOOSE(CONTROL!$C$20, $D$12, 100%, $F$12)</f>
        <v>28.8079</v>
      </c>
      <c r="J846" s="4">
        <f>CHOOSE( CONTROL!$C$37, 28.6413, 28.6403) * CHOOSE(CONTROL!$C$20, $D$12, 100%, $F$12)</f>
        <v>28.641300000000001</v>
      </c>
      <c r="K846" s="4"/>
      <c r="L846" s="8">
        <v>29.306000000000001</v>
      </c>
      <c r="M846" s="8">
        <v>12.063700000000001</v>
      </c>
      <c r="N846" s="8">
        <v>4.9444999999999997</v>
      </c>
      <c r="O846" s="8">
        <v>0.37409999999999999</v>
      </c>
      <c r="P846" s="8">
        <v>1.2927</v>
      </c>
      <c r="Q846" s="8">
        <v>19.688099999999999</v>
      </c>
      <c r="R846" s="8"/>
    </row>
    <row r="847" spans="1:18" ht="14.25" customHeight="1">
      <c r="A847" s="11">
        <v>66900</v>
      </c>
      <c r="B847" s="7">
        <f>CHOOSE( CONTROL!$C$37, 27.6496, 27.6485) * CHOOSE(CONTROL!$C$20, $D$12, 100%, $F$12)</f>
        <v>27.6496</v>
      </c>
      <c r="C847" s="7">
        <f>CHOOSE( CONTROL!$C$37, 27.6547, 27.6536) * CHOOSE(CONTROL!$C$20, $D$12, 100%, $F$12)</f>
        <v>27.654699999999998</v>
      </c>
      <c r="D847" s="7">
        <f>CHOOSE( CONTROL!$C$37, 27.6477, 27.6466) * CHOOSE( CONTROL!$C$20, $D$12, 100%, $F$12)</f>
        <v>27.6477</v>
      </c>
      <c r="E847" s="10">
        <f>CHOOSE( CONTROL!$C$37, 27.6497, 27.6486) * CHOOSE( CONTROL!$C$20, $D$12, 100%, $F$12)</f>
        <v>27.649699999999999</v>
      </c>
      <c r="F847" s="4">
        <f>CHOOSE( CONTROL!$C$37, 28.3021, 28.3011) * CHOOSE(CONTROL!$C$20, $D$12, 100%, $F$12)</f>
        <v>28.302099999999999</v>
      </c>
      <c r="G847" s="7">
        <f>CHOOSE( CONTROL!$C$37, 27.3021, 27.301) * CHOOSE( CONTROL!$C$20, $D$12, 100%, $F$12)</f>
        <v>27.302099999999999</v>
      </c>
      <c r="H847" s="4">
        <f>CHOOSE( CONTROL!$C$37, 28.1811, 28.1801) * CHOOSE(CONTROL!$C$20, $D$12, 100%, $F$12)</f>
        <v>28.181100000000001</v>
      </c>
      <c r="I847" s="7">
        <f>CHOOSE( CONTROL!$C$37, 26.9551, 26.9541) * CHOOSE(CONTROL!$C$20, $D$12, 100%, $F$12)</f>
        <v>26.955100000000002</v>
      </c>
      <c r="J847" s="4">
        <f>CHOOSE( CONTROL!$C$37, 26.7898, 26.7887) * CHOOSE(CONTROL!$C$20, $D$12, 100%, $F$12)</f>
        <v>26.7898</v>
      </c>
      <c r="K847" s="4"/>
      <c r="L847" s="8">
        <v>26.469899999999999</v>
      </c>
      <c r="M847" s="8">
        <v>10.8962</v>
      </c>
      <c r="N847" s="8">
        <v>4.4660000000000002</v>
      </c>
      <c r="O847" s="8">
        <v>0.33789999999999998</v>
      </c>
      <c r="P847" s="8">
        <v>1.1676</v>
      </c>
      <c r="Q847" s="8">
        <v>17.782800000000002</v>
      </c>
      <c r="R847" s="8"/>
    </row>
    <row r="848" spans="1:18" ht="14.25" customHeight="1">
      <c r="A848" s="11">
        <v>66931</v>
      </c>
      <c r="B848" s="7">
        <f>CHOOSE( CONTROL!$C$37, 27.0607, 27.0596) * CHOOSE(CONTROL!$C$20, $D$12, 100%, $F$12)</f>
        <v>27.060700000000001</v>
      </c>
      <c r="C848" s="7">
        <f>CHOOSE( CONTROL!$C$37, 27.0658, 27.0647) * CHOOSE(CONTROL!$C$20, $D$12, 100%, $F$12)</f>
        <v>27.065799999999999</v>
      </c>
      <c r="D848" s="7">
        <f>CHOOSE( CONTROL!$C$37, 27.0582, 27.0571) * CHOOSE( CONTROL!$C$20, $D$12, 100%, $F$12)</f>
        <v>27.058199999999999</v>
      </c>
      <c r="E848" s="10">
        <f>CHOOSE( CONTROL!$C$37, 27.0604, 27.0593) * CHOOSE( CONTROL!$C$20, $D$12, 100%, $F$12)</f>
        <v>27.060400000000001</v>
      </c>
      <c r="F848" s="4">
        <f>CHOOSE( CONTROL!$C$37, 27.7132, 27.7121) * CHOOSE(CONTROL!$C$20, $D$12, 100%, $F$12)</f>
        <v>27.713200000000001</v>
      </c>
      <c r="G848" s="7">
        <f>CHOOSE( CONTROL!$C$37, 26.7209, 26.7199) * CHOOSE( CONTROL!$C$20, $D$12, 100%, $F$12)</f>
        <v>26.7209</v>
      </c>
      <c r="H848" s="4">
        <f>CHOOSE( CONTROL!$C$37, 27.6004, 27.5994) * CHOOSE(CONTROL!$C$20, $D$12, 100%, $F$12)</f>
        <v>27.6004</v>
      </c>
      <c r="I848" s="7">
        <f>CHOOSE( CONTROL!$C$37, 26.3826, 26.3816) * CHOOSE(CONTROL!$C$20, $D$12, 100%, $F$12)</f>
        <v>26.3826</v>
      </c>
      <c r="J848" s="4">
        <f>CHOOSE( CONTROL!$C$37, 26.2195, 26.2185) * CHOOSE(CONTROL!$C$20, $D$12, 100%, $F$12)</f>
        <v>26.2195</v>
      </c>
      <c r="K848" s="4"/>
      <c r="L848" s="8">
        <v>29.306000000000001</v>
      </c>
      <c r="M848" s="8">
        <v>12.063700000000001</v>
      </c>
      <c r="N848" s="8">
        <v>4.9444999999999997</v>
      </c>
      <c r="O848" s="8">
        <v>0.37409999999999999</v>
      </c>
      <c r="P848" s="8">
        <v>1.2927</v>
      </c>
      <c r="Q848" s="8">
        <v>19.688099999999999</v>
      </c>
      <c r="R848" s="8"/>
    </row>
    <row r="849" spans="1:18" ht="14.25" customHeight="1">
      <c r="A849" s="11">
        <v>66961</v>
      </c>
      <c r="B849" s="7">
        <f>CHOOSE( CONTROL!$C$37, 27.473, 27.4719) * CHOOSE(CONTROL!$C$20, $D$12, 100%, $F$12)</f>
        <v>27.472999999999999</v>
      </c>
      <c r="C849" s="7">
        <f>CHOOSE( CONTROL!$C$37, 27.4775, 27.4764) * CHOOSE(CONTROL!$C$20, $D$12, 100%, $F$12)</f>
        <v>27.477499999999999</v>
      </c>
      <c r="D849" s="7">
        <f>CHOOSE( CONTROL!$C$37, 27.4893, 27.4882) * CHOOSE( CONTROL!$C$20, $D$12, 100%, $F$12)</f>
        <v>27.4893</v>
      </c>
      <c r="E849" s="10">
        <f>CHOOSE( CONTROL!$C$37, 27.4849, 27.4838) * CHOOSE( CONTROL!$C$20, $D$12, 100%, $F$12)</f>
        <v>27.4849</v>
      </c>
      <c r="F849" s="4">
        <f>CHOOSE( CONTROL!$C$37, 28.1996, 28.1985) * CHOOSE(CONTROL!$C$20, $D$12, 100%, $F$12)</f>
        <v>28.1996</v>
      </c>
      <c r="G849" s="7">
        <f>CHOOSE( CONTROL!$C$37, 27.135, 27.1339) * CHOOSE( CONTROL!$C$20, $D$12, 100%, $F$12)</f>
        <v>27.135000000000002</v>
      </c>
      <c r="H849" s="4">
        <f>CHOOSE( CONTROL!$C$37, 28.0801, 28.079) * CHOOSE(CONTROL!$C$20, $D$12, 100%, $F$12)</f>
        <v>28.080100000000002</v>
      </c>
      <c r="I849" s="7">
        <f>CHOOSE( CONTROL!$C$37, 26.7539, 26.7529) * CHOOSE(CONTROL!$C$20, $D$12, 100%, $F$12)</f>
        <v>26.753900000000002</v>
      </c>
      <c r="J849" s="4">
        <f>CHOOSE( CONTROL!$C$37, 26.618, 26.6169) * CHOOSE(CONTROL!$C$20, $D$12, 100%, $F$12)</f>
        <v>26.617999999999999</v>
      </c>
      <c r="K849" s="4"/>
      <c r="L849" s="8">
        <v>30.092199999999998</v>
      </c>
      <c r="M849" s="8">
        <v>11.6745</v>
      </c>
      <c r="N849" s="8">
        <v>4.7850000000000001</v>
      </c>
      <c r="O849" s="8">
        <v>0.36199999999999999</v>
      </c>
      <c r="P849" s="8">
        <v>1.2509999999999999</v>
      </c>
      <c r="Q849" s="8">
        <v>19.053000000000001</v>
      </c>
      <c r="R849" s="8"/>
    </row>
    <row r="850" spans="1:18" ht="14.25" customHeight="1">
      <c r="A850" s="11">
        <v>66992</v>
      </c>
      <c r="B850" s="7">
        <f>CHOOSE( CONTROL!$C$37, 28.2074, 28.2057) * CHOOSE(CONTROL!$C$20, $D$12, 100%, $F$12)</f>
        <v>28.2074</v>
      </c>
      <c r="C850" s="7">
        <f>CHOOSE( CONTROL!$C$37, 28.2154, 28.2137) * CHOOSE(CONTROL!$C$20, $D$12, 100%, $F$12)</f>
        <v>28.215399999999999</v>
      </c>
      <c r="D850" s="7">
        <f>CHOOSE( CONTROL!$C$37, 28.221, 28.2193) * CHOOSE( CONTROL!$C$20, $D$12, 100%, $F$12)</f>
        <v>28.221</v>
      </c>
      <c r="E850" s="10">
        <f>CHOOSE( CONTROL!$C$37, 28.2178, 28.2161) * CHOOSE( CONTROL!$C$20, $D$12, 100%, $F$12)</f>
        <v>28.2178</v>
      </c>
      <c r="F850" s="4">
        <f>CHOOSE( CONTROL!$C$37, 28.9326, 28.931) * CHOOSE(CONTROL!$C$20, $D$12, 100%, $F$12)</f>
        <v>28.932600000000001</v>
      </c>
      <c r="G850" s="7">
        <f>CHOOSE( CONTROL!$C$37, 27.8577, 27.8561) * CHOOSE( CONTROL!$C$20, $D$12, 100%, $F$12)</f>
        <v>27.857700000000001</v>
      </c>
      <c r="H850" s="4">
        <f>CHOOSE( CONTROL!$C$37, 28.8028, 28.8012) * CHOOSE(CONTROL!$C$20, $D$12, 100%, $F$12)</f>
        <v>28.802800000000001</v>
      </c>
      <c r="I850" s="7">
        <f>CHOOSE( CONTROL!$C$37, 27.4638, 27.4622) * CHOOSE(CONTROL!$C$20, $D$12, 100%, $F$12)</f>
        <v>27.463799999999999</v>
      </c>
      <c r="J850" s="4">
        <f>CHOOSE( CONTROL!$C$37, 27.3278, 27.3262) * CHOOSE(CONTROL!$C$20, $D$12, 100%, $F$12)</f>
        <v>27.3278</v>
      </c>
      <c r="K850" s="4"/>
      <c r="L850" s="8">
        <v>30.7165</v>
      </c>
      <c r="M850" s="8">
        <v>12.063700000000001</v>
      </c>
      <c r="N850" s="8">
        <v>4.9444999999999997</v>
      </c>
      <c r="O850" s="8">
        <v>0.37409999999999999</v>
      </c>
      <c r="P850" s="8">
        <v>1.2927</v>
      </c>
      <c r="Q850" s="8">
        <v>19.688099999999999</v>
      </c>
      <c r="R850" s="8"/>
    </row>
    <row r="851" spans="1:18" ht="14.25" customHeight="1">
      <c r="A851" s="11">
        <v>67022</v>
      </c>
      <c r="B851" s="7">
        <f>CHOOSE( CONTROL!$C$37, 27.7536, 27.752) * CHOOSE(CONTROL!$C$20, $D$12, 100%, $F$12)</f>
        <v>27.753599999999999</v>
      </c>
      <c r="C851" s="7">
        <f>CHOOSE( CONTROL!$C$37, 27.7616, 27.76) * CHOOSE(CONTROL!$C$20, $D$12, 100%, $F$12)</f>
        <v>27.761600000000001</v>
      </c>
      <c r="D851" s="7">
        <f>CHOOSE( CONTROL!$C$37, 27.7676, 27.7659) * CHOOSE( CONTROL!$C$20, $D$12, 100%, $F$12)</f>
        <v>27.767600000000002</v>
      </c>
      <c r="E851" s="10">
        <f>CHOOSE( CONTROL!$C$37, 27.7642, 27.7625) * CHOOSE( CONTROL!$C$20, $D$12, 100%, $F$12)</f>
        <v>27.764199999999999</v>
      </c>
      <c r="F851" s="4">
        <f>CHOOSE( CONTROL!$C$37, 28.4789, 28.4773) * CHOOSE(CONTROL!$C$20, $D$12, 100%, $F$12)</f>
        <v>28.478899999999999</v>
      </c>
      <c r="G851" s="7">
        <f>CHOOSE( CONTROL!$C$37, 27.4106, 27.4089) * CHOOSE( CONTROL!$C$20, $D$12, 100%, $F$12)</f>
        <v>27.410599999999999</v>
      </c>
      <c r="H851" s="4">
        <f>CHOOSE( CONTROL!$C$37, 28.3554, 28.3538) * CHOOSE(CONTROL!$C$20, $D$12, 100%, $F$12)</f>
        <v>28.355399999999999</v>
      </c>
      <c r="I851" s="7">
        <f>CHOOSE( CONTROL!$C$37, 27.0252, 27.0235) * CHOOSE(CONTROL!$C$20, $D$12, 100%, $F$12)</f>
        <v>27.025200000000002</v>
      </c>
      <c r="J851" s="4">
        <f>CHOOSE( CONTROL!$C$37, 26.8884, 26.8868) * CHOOSE(CONTROL!$C$20, $D$12, 100%, $F$12)</f>
        <v>26.888400000000001</v>
      </c>
      <c r="K851" s="4"/>
      <c r="L851" s="8">
        <v>29.7257</v>
      </c>
      <c r="M851" s="8">
        <v>11.6745</v>
      </c>
      <c r="N851" s="8">
        <v>4.7850000000000001</v>
      </c>
      <c r="O851" s="8">
        <v>0.36199999999999999</v>
      </c>
      <c r="P851" s="8">
        <v>1.2509999999999999</v>
      </c>
      <c r="Q851" s="8">
        <v>19.053000000000001</v>
      </c>
      <c r="R851" s="8"/>
    </row>
    <row r="852" spans="1:18" ht="14.25" customHeight="1">
      <c r="A852" s="11">
        <v>67053</v>
      </c>
      <c r="B852" s="7">
        <f>CHOOSE( CONTROL!$C$37, 28.9485, 28.9468) * CHOOSE(CONTROL!$C$20, $D$12, 100%, $F$12)</f>
        <v>28.948499999999999</v>
      </c>
      <c r="C852" s="7">
        <f>CHOOSE( CONTROL!$C$37, 28.9565, 28.9548) * CHOOSE(CONTROL!$C$20, $D$12, 100%, $F$12)</f>
        <v>28.956499999999998</v>
      </c>
      <c r="D852" s="7">
        <f>CHOOSE( CONTROL!$C$37, 28.9627, 28.961) * CHOOSE( CONTROL!$C$20, $D$12, 100%, $F$12)</f>
        <v>28.962700000000002</v>
      </c>
      <c r="E852" s="10">
        <f>CHOOSE( CONTROL!$C$37, 28.9592, 28.9575) * CHOOSE( CONTROL!$C$20, $D$12, 100%, $F$12)</f>
        <v>28.959199999999999</v>
      </c>
      <c r="F852" s="4">
        <f>CHOOSE( CONTROL!$C$37, 29.6737, 29.6721) * CHOOSE(CONTROL!$C$20, $D$12, 100%, $F$12)</f>
        <v>29.6737</v>
      </c>
      <c r="G852" s="7">
        <f>CHOOSE( CONTROL!$C$37, 28.589, 28.5873) * CHOOSE( CONTROL!$C$20, $D$12, 100%, $F$12)</f>
        <v>28.588999999999999</v>
      </c>
      <c r="H852" s="4">
        <f>CHOOSE( CONTROL!$C$37, 29.5336, 29.532) * CHOOSE(CONTROL!$C$20, $D$12, 100%, $F$12)</f>
        <v>29.5336</v>
      </c>
      <c r="I852" s="7">
        <f>CHOOSE( CONTROL!$C$37, 28.1837, 28.1821) * CHOOSE(CONTROL!$C$20, $D$12, 100%, $F$12)</f>
        <v>28.183700000000002</v>
      </c>
      <c r="J852" s="4">
        <f>CHOOSE( CONTROL!$C$37, 28.0454, 28.0438) * CHOOSE(CONTROL!$C$20, $D$12, 100%, $F$12)</f>
        <v>28.045400000000001</v>
      </c>
      <c r="K852" s="4"/>
      <c r="L852" s="8">
        <v>30.7165</v>
      </c>
      <c r="M852" s="8">
        <v>12.063700000000001</v>
      </c>
      <c r="N852" s="8">
        <v>4.9444999999999997</v>
      </c>
      <c r="O852" s="8">
        <v>0.37409999999999999</v>
      </c>
      <c r="P852" s="8">
        <v>1.2927</v>
      </c>
      <c r="Q852" s="8">
        <v>19.688099999999999</v>
      </c>
      <c r="R852" s="8"/>
    </row>
    <row r="853" spans="1:18" ht="14.25" customHeight="1">
      <c r="A853" s="11">
        <v>67084</v>
      </c>
      <c r="B853" s="7">
        <f>CHOOSE( CONTROL!$C$37, 26.7128, 26.7112) * CHOOSE(CONTROL!$C$20, $D$12, 100%, $F$12)</f>
        <v>26.712800000000001</v>
      </c>
      <c r="C853" s="7">
        <f>CHOOSE( CONTROL!$C$37, 26.7208, 26.7191) * CHOOSE(CONTROL!$C$20, $D$12, 100%, $F$12)</f>
        <v>26.720800000000001</v>
      </c>
      <c r="D853" s="7">
        <f>CHOOSE( CONTROL!$C$37, 26.7271, 26.7255) * CHOOSE( CONTROL!$C$20, $D$12, 100%, $F$12)</f>
        <v>26.7271</v>
      </c>
      <c r="E853" s="10">
        <f>CHOOSE( CONTROL!$C$37, 26.7236, 26.722) * CHOOSE( CONTROL!$C$20, $D$12, 100%, $F$12)</f>
        <v>26.723600000000001</v>
      </c>
      <c r="F853" s="4">
        <f>CHOOSE( CONTROL!$C$37, 27.4381, 27.4364) * CHOOSE(CONTROL!$C$20, $D$12, 100%, $F$12)</f>
        <v>27.438099999999999</v>
      </c>
      <c r="G853" s="7">
        <f>CHOOSE( CONTROL!$C$37, 26.3846, 26.3829) * CHOOSE( CONTROL!$C$20, $D$12, 100%, $F$12)</f>
        <v>26.384599999999999</v>
      </c>
      <c r="H853" s="4">
        <f>CHOOSE( CONTROL!$C$37, 27.3291, 27.3275) * CHOOSE(CONTROL!$C$20, $D$12, 100%, $F$12)</f>
        <v>27.3291</v>
      </c>
      <c r="I853" s="7">
        <f>CHOOSE( CONTROL!$C$37, 26.0181, 26.0165) * CHOOSE(CONTROL!$C$20, $D$12, 100%, $F$12)</f>
        <v>26.0181</v>
      </c>
      <c r="J853" s="4">
        <f>CHOOSE( CONTROL!$C$37, 25.8806, 25.879) * CHOOSE(CONTROL!$C$20, $D$12, 100%, $F$12)</f>
        <v>25.880600000000001</v>
      </c>
      <c r="K853" s="4"/>
      <c r="L853" s="8">
        <v>30.7165</v>
      </c>
      <c r="M853" s="8">
        <v>12.063700000000001</v>
      </c>
      <c r="N853" s="8">
        <v>4.9444999999999997</v>
      </c>
      <c r="O853" s="8">
        <v>0.37409999999999999</v>
      </c>
      <c r="P853" s="8">
        <v>1.2927</v>
      </c>
      <c r="Q853" s="8">
        <v>19.688099999999999</v>
      </c>
      <c r="R853" s="8"/>
    </row>
    <row r="854" spans="1:18" ht="14.25" customHeight="1">
      <c r="A854" s="11">
        <v>67114</v>
      </c>
      <c r="B854" s="7">
        <f>CHOOSE( CONTROL!$C$37, 26.153, 26.1513) * CHOOSE(CONTROL!$C$20, $D$12, 100%, $F$12)</f>
        <v>26.152999999999999</v>
      </c>
      <c r="C854" s="7">
        <f>CHOOSE( CONTROL!$C$37, 26.161, 26.1593) * CHOOSE(CONTROL!$C$20, $D$12, 100%, $F$12)</f>
        <v>26.161000000000001</v>
      </c>
      <c r="D854" s="7">
        <f>CHOOSE( CONTROL!$C$37, 26.1672, 26.1655) * CHOOSE( CONTROL!$C$20, $D$12, 100%, $F$12)</f>
        <v>26.167200000000001</v>
      </c>
      <c r="E854" s="10">
        <f>CHOOSE( CONTROL!$C$37, 26.1637, 26.162) * CHOOSE( CONTROL!$C$20, $D$12, 100%, $F$12)</f>
        <v>26.163699999999999</v>
      </c>
      <c r="F854" s="4">
        <f>CHOOSE( CONTROL!$C$37, 26.8783, 26.8766) * CHOOSE(CONTROL!$C$20, $D$12, 100%, $F$12)</f>
        <v>26.878299999999999</v>
      </c>
      <c r="G854" s="7">
        <f>CHOOSE( CONTROL!$C$37, 25.8325, 25.8308) * CHOOSE( CONTROL!$C$20, $D$12, 100%, $F$12)</f>
        <v>25.8325</v>
      </c>
      <c r="H854" s="4">
        <f>CHOOSE( CONTROL!$C$37, 26.7771, 26.7755) * CHOOSE(CONTROL!$C$20, $D$12, 100%, $F$12)</f>
        <v>26.777100000000001</v>
      </c>
      <c r="I854" s="7">
        <f>CHOOSE( CONTROL!$C$37, 25.4754, 25.4738) * CHOOSE(CONTROL!$C$20, $D$12, 100%, $F$12)</f>
        <v>25.4754</v>
      </c>
      <c r="J854" s="4">
        <f>CHOOSE( CONTROL!$C$37, 25.3385, 25.3369) * CHOOSE(CONTROL!$C$20, $D$12, 100%, $F$12)</f>
        <v>25.3385</v>
      </c>
      <c r="K854" s="4"/>
      <c r="L854" s="8">
        <v>29.7257</v>
      </c>
      <c r="M854" s="8">
        <v>11.6745</v>
      </c>
      <c r="N854" s="8">
        <v>4.7850000000000001</v>
      </c>
      <c r="O854" s="8">
        <v>0.36199999999999999</v>
      </c>
      <c r="P854" s="8">
        <v>1.2509999999999999</v>
      </c>
      <c r="Q854" s="8">
        <v>19.053000000000001</v>
      </c>
      <c r="R854" s="8"/>
    </row>
    <row r="855" spans="1:18" ht="14.25" customHeight="1">
      <c r="A855" s="11">
        <v>67145</v>
      </c>
      <c r="B855" s="7">
        <f>CHOOSE( CONTROL!$C$37, 27.3131, 27.312) * CHOOSE(CONTROL!$C$20, $D$12, 100%, $F$12)</f>
        <v>27.313099999999999</v>
      </c>
      <c r="C855" s="7">
        <f>CHOOSE( CONTROL!$C$37, 27.3184, 27.3173) * CHOOSE(CONTROL!$C$20, $D$12, 100%, $F$12)</f>
        <v>27.3184</v>
      </c>
      <c r="D855" s="7">
        <f>CHOOSE( CONTROL!$C$37, 27.3304, 27.3294) * CHOOSE( CONTROL!$C$20, $D$12, 100%, $F$12)</f>
        <v>27.330400000000001</v>
      </c>
      <c r="E855" s="10">
        <f>CHOOSE( CONTROL!$C$37, 27.3259, 27.3248) * CHOOSE( CONTROL!$C$20, $D$12, 100%, $F$12)</f>
        <v>27.325900000000001</v>
      </c>
      <c r="F855" s="4">
        <f>CHOOSE( CONTROL!$C$37, 28.0401, 28.039) * CHOOSE(CONTROL!$C$20, $D$12, 100%, $F$12)</f>
        <v>28.040099999999999</v>
      </c>
      <c r="G855" s="7">
        <f>CHOOSE( CONTROL!$C$37, 26.9782, 26.9771) * CHOOSE( CONTROL!$C$20, $D$12, 100%, $F$12)</f>
        <v>26.978200000000001</v>
      </c>
      <c r="H855" s="4">
        <f>CHOOSE( CONTROL!$C$37, 27.9227, 27.9217) * CHOOSE(CONTROL!$C$20, $D$12, 100%, $F$12)</f>
        <v>27.922699999999999</v>
      </c>
      <c r="I855" s="7">
        <f>CHOOSE( CONTROL!$C$37, 26.6016, 26.6006) * CHOOSE(CONTROL!$C$20, $D$12, 100%, $F$12)</f>
        <v>26.601600000000001</v>
      </c>
      <c r="J855" s="4">
        <f>CHOOSE( CONTROL!$C$37, 26.4635, 26.4625) * CHOOSE(CONTROL!$C$20, $D$12, 100%, $F$12)</f>
        <v>26.4635</v>
      </c>
      <c r="K855" s="4"/>
      <c r="L855" s="8">
        <v>31.095300000000002</v>
      </c>
      <c r="M855" s="8">
        <v>12.063700000000001</v>
      </c>
      <c r="N855" s="8">
        <v>4.9444999999999997</v>
      </c>
      <c r="O855" s="8">
        <v>0.37409999999999999</v>
      </c>
      <c r="P855" s="8">
        <v>1.2927</v>
      </c>
      <c r="Q855" s="8">
        <v>19.688099999999999</v>
      </c>
      <c r="R855" s="8"/>
    </row>
    <row r="856" spans="1:18" ht="14.25" customHeight="1">
      <c r="A856" s="11">
        <v>67175</v>
      </c>
      <c r="B856" s="7">
        <f>CHOOSE( CONTROL!$C$37, 29.4582, 29.4572) * CHOOSE(CONTROL!$C$20, $D$12, 100%, $F$12)</f>
        <v>29.458200000000001</v>
      </c>
      <c r="C856" s="7">
        <f>CHOOSE( CONTROL!$C$37, 29.4633, 29.4623) * CHOOSE(CONTROL!$C$20, $D$12, 100%, $F$12)</f>
        <v>29.4633</v>
      </c>
      <c r="D856" s="7">
        <f>CHOOSE( CONTROL!$C$37, 29.4418, 29.4407) * CHOOSE( CONTROL!$C$20, $D$12, 100%, $F$12)</f>
        <v>29.441800000000001</v>
      </c>
      <c r="E856" s="10">
        <f>CHOOSE( CONTROL!$C$37, 29.4491, 29.4481) * CHOOSE( CONTROL!$C$20, $D$12, 100%, $F$12)</f>
        <v>29.449100000000001</v>
      </c>
      <c r="F856" s="4">
        <f>CHOOSE( CONTROL!$C$37, 30.1108, 30.1097) * CHOOSE(CONTROL!$C$20, $D$12, 100%, $F$12)</f>
        <v>30.110800000000001</v>
      </c>
      <c r="G856" s="7">
        <f>CHOOSE( CONTROL!$C$37, 29.0799, 29.0789) * CHOOSE( CONTROL!$C$20, $D$12, 100%, $F$12)</f>
        <v>29.079899999999999</v>
      </c>
      <c r="H856" s="4">
        <f>CHOOSE( CONTROL!$C$37, 29.9645, 29.9635) * CHOOSE(CONTROL!$C$20, $D$12, 100%, $F$12)</f>
        <v>29.964500000000001</v>
      </c>
      <c r="I856" s="7">
        <f>CHOOSE( CONTROL!$C$37, 28.7314, 28.7303) * CHOOSE(CONTROL!$C$20, $D$12, 100%, $F$12)</f>
        <v>28.731400000000001</v>
      </c>
      <c r="J856" s="4">
        <f>CHOOSE( CONTROL!$C$37, 28.5411, 28.54) * CHOOSE(CONTROL!$C$20, $D$12, 100%, $F$12)</f>
        <v>28.5411</v>
      </c>
      <c r="K856" s="4"/>
      <c r="L856" s="8">
        <v>28.360600000000002</v>
      </c>
      <c r="M856" s="8">
        <v>11.6745</v>
      </c>
      <c r="N856" s="8">
        <v>4.7850000000000001</v>
      </c>
      <c r="O856" s="8">
        <v>0.36199999999999999</v>
      </c>
      <c r="P856" s="8">
        <v>1.2509999999999999</v>
      </c>
      <c r="Q856" s="8">
        <v>19.053000000000001</v>
      </c>
      <c r="R856" s="8"/>
    </row>
    <row r="857" spans="1:18" ht="14.25" customHeight="1">
      <c r="A857" s="11">
        <v>67206</v>
      </c>
      <c r="B857" s="7">
        <f>CHOOSE( CONTROL!$C$37, 29.4046, 29.4035) * CHOOSE(CONTROL!$C$20, $D$12, 100%, $F$12)</f>
        <v>29.404599999999999</v>
      </c>
      <c r="C857" s="7">
        <f>CHOOSE( CONTROL!$C$37, 29.4097, 29.4086) * CHOOSE(CONTROL!$C$20, $D$12, 100%, $F$12)</f>
        <v>29.409700000000001</v>
      </c>
      <c r="D857" s="7">
        <f>CHOOSE( CONTROL!$C$37, 29.3898, 29.3887) * CHOOSE( CONTROL!$C$20, $D$12, 100%, $F$12)</f>
        <v>29.389800000000001</v>
      </c>
      <c r="E857" s="10">
        <f>CHOOSE( CONTROL!$C$37, 29.3965, 29.3954) * CHOOSE( CONTROL!$C$20, $D$12, 100%, $F$12)</f>
        <v>29.3965</v>
      </c>
      <c r="F857" s="4">
        <f>CHOOSE( CONTROL!$C$37, 30.0572, 30.0561) * CHOOSE(CONTROL!$C$20, $D$12, 100%, $F$12)</f>
        <v>30.057200000000002</v>
      </c>
      <c r="G857" s="7">
        <f>CHOOSE( CONTROL!$C$37, 29.0282, 29.0271) * CHOOSE( CONTROL!$C$20, $D$12, 100%, $F$12)</f>
        <v>29.028199999999998</v>
      </c>
      <c r="H857" s="4">
        <f>CHOOSE( CONTROL!$C$37, 29.9117, 29.9106) * CHOOSE(CONTROL!$C$20, $D$12, 100%, $F$12)</f>
        <v>29.9117</v>
      </c>
      <c r="I857" s="7">
        <f>CHOOSE( CONTROL!$C$37, 28.6843, 28.6833) * CHOOSE(CONTROL!$C$20, $D$12, 100%, $F$12)</f>
        <v>28.6843</v>
      </c>
      <c r="J857" s="4">
        <f>CHOOSE( CONTROL!$C$37, 28.4892, 28.4881) * CHOOSE(CONTROL!$C$20, $D$12, 100%, $F$12)</f>
        <v>28.4892</v>
      </c>
      <c r="K857" s="4"/>
      <c r="L857" s="8">
        <v>29.306000000000001</v>
      </c>
      <c r="M857" s="8">
        <v>12.063700000000001</v>
      </c>
      <c r="N857" s="8">
        <v>4.9444999999999997</v>
      </c>
      <c r="O857" s="8">
        <v>0.37409999999999999</v>
      </c>
      <c r="P857" s="8">
        <v>1.2927</v>
      </c>
      <c r="Q857" s="8">
        <v>19.688099999999999</v>
      </c>
      <c r="R857" s="8"/>
    </row>
    <row r="858" spans="1:18" ht="14.25" customHeight="1">
      <c r="A858" s="11">
        <v>67237</v>
      </c>
      <c r="B858" s="7">
        <f>CHOOSE( CONTROL!$C$37, 30.2725, 30.2714) * CHOOSE(CONTROL!$C$20, $D$12, 100%, $F$12)</f>
        <v>30.272500000000001</v>
      </c>
      <c r="C858" s="7">
        <f>CHOOSE( CONTROL!$C$37, 30.2775, 30.2765) * CHOOSE(CONTROL!$C$20, $D$12, 100%, $F$12)</f>
        <v>30.2775</v>
      </c>
      <c r="D858" s="7">
        <f>CHOOSE( CONTROL!$C$37, 30.2707, 30.2696) * CHOOSE( CONTROL!$C$20, $D$12, 100%, $F$12)</f>
        <v>30.270700000000001</v>
      </c>
      <c r="E858" s="10">
        <f>CHOOSE( CONTROL!$C$37, 30.2727, 30.2716) * CHOOSE( CONTROL!$C$20, $D$12, 100%, $F$12)</f>
        <v>30.2727</v>
      </c>
      <c r="F858" s="4">
        <f>CHOOSE( CONTROL!$C$37, 30.925, 30.9239) * CHOOSE(CONTROL!$C$20, $D$12, 100%, $F$12)</f>
        <v>30.925000000000001</v>
      </c>
      <c r="G858" s="7">
        <f>CHOOSE( CONTROL!$C$37, 29.8884, 29.8873) * CHOOSE( CONTROL!$C$20, $D$12, 100%, $F$12)</f>
        <v>29.888400000000001</v>
      </c>
      <c r="H858" s="4">
        <f>CHOOSE( CONTROL!$C$37, 30.7674, 30.7663) * CHOOSE(CONTROL!$C$20, $D$12, 100%, $F$12)</f>
        <v>30.767399999999999</v>
      </c>
      <c r="I858" s="7">
        <f>CHOOSE( CONTROL!$C$37, 29.4964, 29.4953) * CHOOSE(CONTROL!$C$20, $D$12, 100%, $F$12)</f>
        <v>29.496400000000001</v>
      </c>
      <c r="J858" s="4">
        <f>CHOOSE( CONTROL!$C$37, 29.3295, 29.3284) * CHOOSE(CONTROL!$C$20, $D$12, 100%, $F$12)</f>
        <v>29.329499999999999</v>
      </c>
      <c r="K858" s="4"/>
      <c r="L858" s="8">
        <v>29.306000000000001</v>
      </c>
      <c r="M858" s="8">
        <v>12.063700000000001</v>
      </c>
      <c r="N858" s="8">
        <v>4.9444999999999997</v>
      </c>
      <c r="O858" s="8">
        <v>0.37409999999999999</v>
      </c>
      <c r="P858" s="8">
        <v>1.2927</v>
      </c>
      <c r="Q858" s="8">
        <v>19.688099999999999</v>
      </c>
      <c r="R858" s="8"/>
    </row>
    <row r="859" spans="1:18" ht="14.25" customHeight="1">
      <c r="A859" s="11">
        <v>67266</v>
      </c>
      <c r="B859" s="7">
        <f>CHOOSE( CONTROL!$C$37, 28.3143, 28.3133) * CHOOSE(CONTROL!$C$20, $D$12, 100%, $F$12)</f>
        <v>28.314299999999999</v>
      </c>
      <c r="C859" s="7">
        <f>CHOOSE( CONTROL!$C$37, 28.3194, 28.3184) * CHOOSE(CONTROL!$C$20, $D$12, 100%, $F$12)</f>
        <v>28.319400000000002</v>
      </c>
      <c r="D859" s="7">
        <f>CHOOSE( CONTROL!$C$37, 28.3125, 28.3114) * CHOOSE( CONTROL!$C$20, $D$12, 100%, $F$12)</f>
        <v>28.3125</v>
      </c>
      <c r="E859" s="10">
        <f>CHOOSE( CONTROL!$C$37, 28.3145, 28.3134) * CHOOSE( CONTROL!$C$20, $D$12, 100%, $F$12)</f>
        <v>28.314499999999999</v>
      </c>
      <c r="F859" s="4">
        <f>CHOOSE( CONTROL!$C$37, 28.9669, 28.9658) * CHOOSE(CONTROL!$C$20, $D$12, 100%, $F$12)</f>
        <v>28.966899999999999</v>
      </c>
      <c r="G859" s="7">
        <f>CHOOSE( CONTROL!$C$37, 27.9576, 27.9565) * CHOOSE( CONTROL!$C$20, $D$12, 100%, $F$12)</f>
        <v>27.957599999999999</v>
      </c>
      <c r="H859" s="4">
        <f>CHOOSE( CONTROL!$C$37, 28.8366, 28.8355) * CHOOSE(CONTROL!$C$20, $D$12, 100%, $F$12)</f>
        <v>28.836600000000001</v>
      </c>
      <c r="I859" s="7">
        <f>CHOOSE( CONTROL!$C$37, 27.5991, 27.5981) * CHOOSE(CONTROL!$C$20, $D$12, 100%, $F$12)</f>
        <v>27.5991</v>
      </c>
      <c r="J859" s="4">
        <f>CHOOSE( CONTROL!$C$37, 27.4334, 27.4324) * CHOOSE(CONTROL!$C$20, $D$12, 100%, $F$12)</f>
        <v>27.433399999999999</v>
      </c>
      <c r="K859" s="4"/>
      <c r="L859" s="8">
        <v>27.415299999999998</v>
      </c>
      <c r="M859" s="8">
        <v>11.285299999999999</v>
      </c>
      <c r="N859" s="8">
        <v>4.6254999999999997</v>
      </c>
      <c r="O859" s="8">
        <v>0.34989999999999999</v>
      </c>
      <c r="P859" s="8">
        <v>1.2093</v>
      </c>
      <c r="Q859" s="8">
        <v>18.417899999999999</v>
      </c>
      <c r="R859" s="8"/>
    </row>
    <row r="860" spans="1:18" ht="14.25" customHeight="1">
      <c r="A860" s="11">
        <v>67297</v>
      </c>
      <c r="B860" s="7">
        <f>CHOOSE( CONTROL!$C$37, 27.7113, 27.7102) * CHOOSE(CONTROL!$C$20, $D$12, 100%, $F$12)</f>
        <v>27.711300000000001</v>
      </c>
      <c r="C860" s="7">
        <f>CHOOSE( CONTROL!$C$37, 27.7164, 27.7153) * CHOOSE(CONTROL!$C$20, $D$12, 100%, $F$12)</f>
        <v>27.7164</v>
      </c>
      <c r="D860" s="7">
        <f>CHOOSE( CONTROL!$C$37, 27.7088, 27.7077) * CHOOSE( CONTROL!$C$20, $D$12, 100%, $F$12)</f>
        <v>27.7088</v>
      </c>
      <c r="E860" s="10">
        <f>CHOOSE( CONTROL!$C$37, 27.711, 27.7099) * CHOOSE( CONTROL!$C$20, $D$12, 100%, $F$12)</f>
        <v>27.710999999999999</v>
      </c>
      <c r="F860" s="4">
        <f>CHOOSE( CONTROL!$C$37, 28.3638, 28.3627) * CHOOSE(CONTROL!$C$20, $D$12, 100%, $F$12)</f>
        <v>28.363800000000001</v>
      </c>
      <c r="G860" s="7">
        <f>CHOOSE( CONTROL!$C$37, 27.3625, 27.3614) * CHOOSE( CONTROL!$C$20, $D$12, 100%, $F$12)</f>
        <v>27.362500000000001</v>
      </c>
      <c r="H860" s="4">
        <f>CHOOSE( CONTROL!$C$37, 28.2419, 28.2409) * CHOOSE(CONTROL!$C$20, $D$12, 100%, $F$12)</f>
        <v>28.241900000000001</v>
      </c>
      <c r="I860" s="7">
        <f>CHOOSE( CONTROL!$C$37, 27.0129, 27.0119) * CHOOSE(CONTROL!$C$20, $D$12, 100%, $F$12)</f>
        <v>27.012899999999998</v>
      </c>
      <c r="J860" s="4">
        <f>CHOOSE( CONTROL!$C$37, 26.8495, 26.8484) * CHOOSE(CONTROL!$C$20, $D$12, 100%, $F$12)</f>
        <v>26.849499999999999</v>
      </c>
      <c r="K860" s="4"/>
      <c r="L860" s="8">
        <v>29.306000000000001</v>
      </c>
      <c r="M860" s="8">
        <v>12.063700000000001</v>
      </c>
      <c r="N860" s="8">
        <v>4.9444999999999997</v>
      </c>
      <c r="O860" s="8">
        <v>0.37409999999999999</v>
      </c>
      <c r="P860" s="8">
        <v>1.2927</v>
      </c>
      <c r="Q860" s="8">
        <v>19.688099999999999</v>
      </c>
      <c r="R860" s="8"/>
    </row>
    <row r="861" spans="1:18" ht="14.25" customHeight="1">
      <c r="A861" s="11">
        <v>67327</v>
      </c>
      <c r="B861" s="7">
        <f>CHOOSE( CONTROL!$C$37, 28.1334, 28.1324) * CHOOSE(CONTROL!$C$20, $D$12, 100%, $F$12)</f>
        <v>28.133400000000002</v>
      </c>
      <c r="C861" s="7">
        <f>CHOOSE( CONTROL!$C$37, 28.138, 28.1369) * CHOOSE(CONTROL!$C$20, $D$12, 100%, $F$12)</f>
        <v>28.138000000000002</v>
      </c>
      <c r="D861" s="7">
        <f>CHOOSE( CONTROL!$C$37, 28.1498, 28.1487) * CHOOSE( CONTROL!$C$20, $D$12, 100%, $F$12)</f>
        <v>28.149799999999999</v>
      </c>
      <c r="E861" s="10">
        <f>CHOOSE( CONTROL!$C$37, 28.1454, 28.1443) * CHOOSE( CONTROL!$C$20, $D$12, 100%, $F$12)</f>
        <v>28.145399999999999</v>
      </c>
      <c r="F861" s="4">
        <f>CHOOSE( CONTROL!$C$37, 28.8601, 28.859) * CHOOSE(CONTROL!$C$20, $D$12, 100%, $F$12)</f>
        <v>28.860099999999999</v>
      </c>
      <c r="G861" s="7">
        <f>CHOOSE( CONTROL!$C$37, 27.7862, 27.7852) * CHOOSE( CONTROL!$C$20, $D$12, 100%, $F$12)</f>
        <v>27.786200000000001</v>
      </c>
      <c r="H861" s="4">
        <f>CHOOSE( CONTROL!$C$37, 28.7313, 28.7302) * CHOOSE(CONTROL!$C$20, $D$12, 100%, $F$12)</f>
        <v>28.731300000000001</v>
      </c>
      <c r="I861" s="7">
        <f>CHOOSE( CONTROL!$C$37, 27.3938, 27.3927) * CHOOSE(CONTROL!$C$20, $D$12, 100%, $F$12)</f>
        <v>27.393799999999999</v>
      </c>
      <c r="J861" s="4">
        <f>CHOOSE( CONTROL!$C$37, 27.2575, 27.2565) * CHOOSE(CONTROL!$C$20, $D$12, 100%, $F$12)</f>
        <v>27.2575</v>
      </c>
      <c r="K861" s="4"/>
      <c r="L861" s="8">
        <v>30.092199999999998</v>
      </c>
      <c r="M861" s="8">
        <v>11.6745</v>
      </c>
      <c r="N861" s="8">
        <v>4.7850000000000001</v>
      </c>
      <c r="O861" s="8">
        <v>0.36199999999999999</v>
      </c>
      <c r="P861" s="8">
        <v>1.2509999999999999</v>
      </c>
      <c r="Q861" s="8">
        <v>19.053000000000001</v>
      </c>
      <c r="R861" s="8"/>
    </row>
    <row r="862" spans="1:18" ht="14.25" customHeight="1">
      <c r="A862" s="11">
        <v>67358</v>
      </c>
      <c r="B862" s="7">
        <f>CHOOSE( CONTROL!$C$37, 28.8854, 28.8838) * CHOOSE(CONTROL!$C$20, $D$12, 100%, $F$12)</f>
        <v>28.885400000000001</v>
      </c>
      <c r="C862" s="7">
        <f>CHOOSE( CONTROL!$C$37, 28.8934, 28.8918) * CHOOSE(CONTROL!$C$20, $D$12, 100%, $F$12)</f>
        <v>28.8934</v>
      </c>
      <c r="D862" s="7">
        <f>CHOOSE( CONTROL!$C$37, 28.8991, 28.8974) * CHOOSE( CONTROL!$C$20, $D$12, 100%, $F$12)</f>
        <v>28.899100000000001</v>
      </c>
      <c r="E862" s="10">
        <f>CHOOSE( CONTROL!$C$37, 28.8958, 28.8942) * CHOOSE( CONTROL!$C$20, $D$12, 100%, $F$12)</f>
        <v>28.895800000000001</v>
      </c>
      <c r="F862" s="4">
        <f>CHOOSE( CONTROL!$C$37, 29.6107, 29.6091) * CHOOSE(CONTROL!$C$20, $D$12, 100%, $F$12)</f>
        <v>29.610700000000001</v>
      </c>
      <c r="G862" s="7">
        <f>CHOOSE( CONTROL!$C$37, 28.5263, 28.5247) * CHOOSE( CONTROL!$C$20, $D$12, 100%, $F$12)</f>
        <v>28.526299999999999</v>
      </c>
      <c r="H862" s="4">
        <f>CHOOSE( CONTROL!$C$37, 29.4715, 29.4698) * CHOOSE(CONTROL!$C$20, $D$12, 100%, $F$12)</f>
        <v>29.471499999999999</v>
      </c>
      <c r="I862" s="7">
        <f>CHOOSE( CONTROL!$C$37, 28.1207, 28.1191) * CHOOSE(CONTROL!$C$20, $D$12, 100%, $F$12)</f>
        <v>28.120699999999999</v>
      </c>
      <c r="J862" s="4">
        <f>CHOOSE( CONTROL!$C$37, 27.9844, 27.9827) * CHOOSE(CONTROL!$C$20, $D$12, 100%, $F$12)</f>
        <v>27.984400000000001</v>
      </c>
      <c r="K862" s="4"/>
      <c r="L862" s="8">
        <v>30.7165</v>
      </c>
      <c r="M862" s="8">
        <v>12.063700000000001</v>
      </c>
      <c r="N862" s="8">
        <v>4.9444999999999997</v>
      </c>
      <c r="O862" s="8">
        <v>0.37409999999999999</v>
      </c>
      <c r="P862" s="8">
        <v>1.2927</v>
      </c>
      <c r="Q862" s="8">
        <v>19.688099999999999</v>
      </c>
      <c r="R862" s="8"/>
    </row>
    <row r="863" spans="1:18" ht="14.25" customHeight="1">
      <c r="A863" s="11">
        <v>67388</v>
      </c>
      <c r="B863" s="7">
        <f>CHOOSE( CONTROL!$C$37, 28.4208, 28.4191) * CHOOSE(CONTROL!$C$20, $D$12, 100%, $F$12)</f>
        <v>28.4208</v>
      </c>
      <c r="C863" s="7">
        <f>CHOOSE( CONTROL!$C$37, 28.4288, 28.4271) * CHOOSE(CONTROL!$C$20, $D$12, 100%, $F$12)</f>
        <v>28.428799999999999</v>
      </c>
      <c r="D863" s="7">
        <f>CHOOSE( CONTROL!$C$37, 28.4347, 28.4331) * CHOOSE( CONTROL!$C$20, $D$12, 100%, $F$12)</f>
        <v>28.434699999999999</v>
      </c>
      <c r="E863" s="10">
        <f>CHOOSE( CONTROL!$C$37, 28.4313, 28.4297) * CHOOSE( CONTROL!$C$20, $D$12, 100%, $F$12)</f>
        <v>28.4313</v>
      </c>
      <c r="F863" s="4">
        <f>CHOOSE( CONTROL!$C$37, 29.1461, 29.1444) * CHOOSE(CONTROL!$C$20, $D$12, 100%, $F$12)</f>
        <v>29.146100000000001</v>
      </c>
      <c r="G863" s="7">
        <f>CHOOSE( CONTROL!$C$37, 28.0684, 28.0668) * CHOOSE( CONTROL!$C$20, $D$12, 100%, $F$12)</f>
        <v>28.0684</v>
      </c>
      <c r="H863" s="4">
        <f>CHOOSE( CONTROL!$C$37, 29.0133, 29.0117) * CHOOSE(CONTROL!$C$20, $D$12, 100%, $F$12)</f>
        <v>29.013300000000001</v>
      </c>
      <c r="I863" s="7">
        <f>CHOOSE( CONTROL!$C$37, 27.6715, 27.6699) * CHOOSE(CONTROL!$C$20, $D$12, 100%, $F$12)</f>
        <v>27.671500000000002</v>
      </c>
      <c r="J863" s="4">
        <f>CHOOSE( CONTROL!$C$37, 27.5345, 27.5329) * CHOOSE(CONTROL!$C$20, $D$12, 100%, $F$12)</f>
        <v>27.534500000000001</v>
      </c>
      <c r="K863" s="4"/>
      <c r="L863" s="8">
        <v>29.7257</v>
      </c>
      <c r="M863" s="8">
        <v>11.6745</v>
      </c>
      <c r="N863" s="8">
        <v>4.7850000000000001</v>
      </c>
      <c r="O863" s="8">
        <v>0.36199999999999999</v>
      </c>
      <c r="P863" s="8">
        <v>1.2509999999999999</v>
      </c>
      <c r="Q863" s="8">
        <v>19.053000000000001</v>
      </c>
      <c r="R863" s="8"/>
    </row>
    <row r="864" spans="1:18" ht="14.25" customHeight="1">
      <c r="A864" s="11">
        <v>67419</v>
      </c>
      <c r="B864" s="7">
        <f>CHOOSE( CONTROL!$C$37, 29.6443, 29.6427) * CHOOSE(CONTROL!$C$20, $D$12, 100%, $F$12)</f>
        <v>29.644300000000001</v>
      </c>
      <c r="C864" s="7">
        <f>CHOOSE( CONTROL!$C$37, 29.6523, 29.6507) * CHOOSE(CONTROL!$C$20, $D$12, 100%, $F$12)</f>
        <v>29.6523</v>
      </c>
      <c r="D864" s="7">
        <f>CHOOSE( CONTROL!$C$37, 29.6586, 29.6569) * CHOOSE( CONTROL!$C$20, $D$12, 100%, $F$12)</f>
        <v>29.6586</v>
      </c>
      <c r="E864" s="10">
        <f>CHOOSE( CONTROL!$C$37, 29.6551, 29.6534) * CHOOSE( CONTROL!$C$20, $D$12, 100%, $F$12)</f>
        <v>29.655100000000001</v>
      </c>
      <c r="F864" s="4">
        <f>CHOOSE( CONTROL!$C$37, 30.3696, 30.368) * CHOOSE(CONTROL!$C$20, $D$12, 100%, $F$12)</f>
        <v>30.369599999999998</v>
      </c>
      <c r="G864" s="7">
        <f>CHOOSE( CONTROL!$C$37, 29.2751, 29.2735) * CHOOSE( CONTROL!$C$20, $D$12, 100%, $F$12)</f>
        <v>29.275099999999998</v>
      </c>
      <c r="H864" s="4">
        <f>CHOOSE( CONTROL!$C$37, 30.2198, 30.2181) * CHOOSE(CONTROL!$C$20, $D$12, 100%, $F$12)</f>
        <v>30.219799999999999</v>
      </c>
      <c r="I864" s="7">
        <f>CHOOSE( CONTROL!$C$37, 28.8579, 28.8563) * CHOOSE(CONTROL!$C$20, $D$12, 100%, $F$12)</f>
        <v>28.857900000000001</v>
      </c>
      <c r="J864" s="4">
        <f>CHOOSE( CONTROL!$C$37, 28.7192, 28.7176) * CHOOSE(CONTROL!$C$20, $D$12, 100%, $F$12)</f>
        <v>28.719200000000001</v>
      </c>
      <c r="K864" s="4"/>
      <c r="L864" s="8">
        <v>30.7165</v>
      </c>
      <c r="M864" s="8">
        <v>12.063700000000001</v>
      </c>
      <c r="N864" s="8">
        <v>4.9444999999999997</v>
      </c>
      <c r="O864" s="8">
        <v>0.37409999999999999</v>
      </c>
      <c r="P864" s="8">
        <v>1.2927</v>
      </c>
      <c r="Q864" s="8">
        <v>19.688099999999999</v>
      </c>
      <c r="R864" s="8"/>
    </row>
    <row r="865" spans="1:18" ht="14.25" customHeight="1">
      <c r="A865" s="11">
        <v>67450</v>
      </c>
      <c r="B865" s="7">
        <f>CHOOSE( CONTROL!$C$37, 27.355, 27.3533) * CHOOSE(CONTROL!$C$20, $D$12, 100%, $F$12)</f>
        <v>27.355</v>
      </c>
      <c r="C865" s="7">
        <f>CHOOSE( CONTROL!$C$37, 27.363, 27.3613) * CHOOSE(CONTROL!$C$20, $D$12, 100%, $F$12)</f>
        <v>27.363</v>
      </c>
      <c r="D865" s="7">
        <f>CHOOSE( CONTROL!$C$37, 27.3693, 27.3676) * CHOOSE( CONTROL!$C$20, $D$12, 100%, $F$12)</f>
        <v>27.369299999999999</v>
      </c>
      <c r="E865" s="10">
        <f>CHOOSE( CONTROL!$C$37, 27.3658, 27.3641) * CHOOSE( CONTROL!$C$20, $D$12, 100%, $F$12)</f>
        <v>27.3658</v>
      </c>
      <c r="F865" s="4">
        <f>CHOOSE( CONTROL!$C$37, 28.0803, 28.0786) * CHOOSE(CONTROL!$C$20, $D$12, 100%, $F$12)</f>
        <v>28.080300000000001</v>
      </c>
      <c r="G865" s="7">
        <f>CHOOSE( CONTROL!$C$37, 27.0178, 27.0161) * CHOOSE( CONTROL!$C$20, $D$12, 100%, $F$12)</f>
        <v>27.017800000000001</v>
      </c>
      <c r="H865" s="4">
        <f>CHOOSE( CONTROL!$C$37, 27.9624, 27.9607) * CHOOSE(CONTROL!$C$20, $D$12, 100%, $F$12)</f>
        <v>27.962399999999999</v>
      </c>
      <c r="I865" s="7">
        <f>CHOOSE( CONTROL!$C$37, 26.6403, 26.6387) * CHOOSE(CONTROL!$C$20, $D$12, 100%, $F$12)</f>
        <v>26.6403</v>
      </c>
      <c r="J865" s="4">
        <f>CHOOSE( CONTROL!$C$37, 26.5024, 26.5008) * CHOOSE(CONTROL!$C$20, $D$12, 100%, $F$12)</f>
        <v>26.502400000000002</v>
      </c>
      <c r="K865" s="4"/>
      <c r="L865" s="8">
        <v>30.7165</v>
      </c>
      <c r="M865" s="8">
        <v>12.063700000000001</v>
      </c>
      <c r="N865" s="8">
        <v>4.9444999999999997</v>
      </c>
      <c r="O865" s="8">
        <v>0.37409999999999999</v>
      </c>
      <c r="P865" s="8">
        <v>1.2927</v>
      </c>
      <c r="Q865" s="8">
        <v>19.688099999999999</v>
      </c>
      <c r="R865" s="8"/>
    </row>
    <row r="866" spans="1:18" ht="14.25" customHeight="1">
      <c r="A866" s="11">
        <v>67480</v>
      </c>
      <c r="B866" s="7">
        <f>CHOOSE( CONTROL!$C$37, 26.7817, 26.78) * CHOOSE(CONTROL!$C$20, $D$12, 100%, $F$12)</f>
        <v>26.781700000000001</v>
      </c>
      <c r="C866" s="7">
        <f>CHOOSE( CONTROL!$C$37, 26.7897, 26.788) * CHOOSE(CONTROL!$C$20, $D$12, 100%, $F$12)</f>
        <v>26.7897</v>
      </c>
      <c r="D866" s="7">
        <f>CHOOSE( CONTROL!$C$37, 26.7959, 26.7942) * CHOOSE( CONTROL!$C$20, $D$12, 100%, $F$12)</f>
        <v>26.7959</v>
      </c>
      <c r="E866" s="10">
        <f>CHOOSE( CONTROL!$C$37, 26.7924, 26.7907) * CHOOSE( CONTROL!$C$20, $D$12, 100%, $F$12)</f>
        <v>26.792400000000001</v>
      </c>
      <c r="F866" s="4">
        <f>CHOOSE( CONTROL!$C$37, 27.507, 27.5053) * CHOOSE(CONTROL!$C$20, $D$12, 100%, $F$12)</f>
        <v>27.507000000000001</v>
      </c>
      <c r="G866" s="7">
        <f>CHOOSE( CONTROL!$C$37, 26.4524, 26.4508) * CHOOSE( CONTROL!$C$20, $D$12, 100%, $F$12)</f>
        <v>26.452400000000001</v>
      </c>
      <c r="H866" s="4">
        <f>CHOOSE( CONTROL!$C$37, 27.3971, 27.3954) * CHOOSE(CONTROL!$C$20, $D$12, 100%, $F$12)</f>
        <v>27.397099999999998</v>
      </c>
      <c r="I866" s="7">
        <f>CHOOSE( CONTROL!$C$37, 26.0845, 26.0829) * CHOOSE(CONTROL!$C$20, $D$12, 100%, $F$12)</f>
        <v>26.084499999999998</v>
      </c>
      <c r="J866" s="4">
        <f>CHOOSE( CONTROL!$C$37, 25.9473, 25.9457) * CHOOSE(CONTROL!$C$20, $D$12, 100%, $F$12)</f>
        <v>25.947299999999998</v>
      </c>
      <c r="K866" s="4"/>
      <c r="L866" s="8">
        <v>29.7257</v>
      </c>
      <c r="M866" s="8">
        <v>11.6745</v>
      </c>
      <c r="N866" s="8">
        <v>4.7850000000000001</v>
      </c>
      <c r="O866" s="8">
        <v>0.36199999999999999</v>
      </c>
      <c r="P866" s="8">
        <v>1.2509999999999999</v>
      </c>
      <c r="Q866" s="8">
        <v>19.053000000000001</v>
      </c>
      <c r="R866" s="8"/>
    </row>
    <row r="867" spans="1:18" ht="14.25" customHeight="1">
      <c r="A867" s="11">
        <v>67511</v>
      </c>
      <c r="B867" s="7">
        <f>CHOOSE( CONTROL!$C$37, 27.9697, 27.9686) * CHOOSE(CONTROL!$C$20, $D$12, 100%, $F$12)</f>
        <v>27.9697</v>
      </c>
      <c r="C867" s="7">
        <f>CHOOSE( CONTROL!$C$37, 27.9751, 27.974) * CHOOSE(CONTROL!$C$20, $D$12, 100%, $F$12)</f>
        <v>27.975100000000001</v>
      </c>
      <c r="D867" s="7">
        <f>CHOOSE( CONTROL!$C$37, 27.9871, 27.986) * CHOOSE( CONTROL!$C$20, $D$12, 100%, $F$12)</f>
        <v>27.987100000000002</v>
      </c>
      <c r="E867" s="10">
        <f>CHOOSE( CONTROL!$C$37, 27.9826, 27.9815) * CHOOSE( CONTROL!$C$20, $D$12, 100%, $F$12)</f>
        <v>27.982600000000001</v>
      </c>
      <c r="F867" s="4">
        <f>CHOOSE( CONTROL!$C$37, 28.6967, 28.6956) * CHOOSE(CONTROL!$C$20, $D$12, 100%, $F$12)</f>
        <v>28.6967</v>
      </c>
      <c r="G867" s="7">
        <f>CHOOSE( CONTROL!$C$37, 27.6257, 27.6246) * CHOOSE( CONTROL!$C$20, $D$12, 100%, $F$12)</f>
        <v>27.625699999999998</v>
      </c>
      <c r="H867" s="4">
        <f>CHOOSE( CONTROL!$C$37, 28.5702, 28.5692) * CHOOSE(CONTROL!$C$20, $D$12, 100%, $F$12)</f>
        <v>28.5702</v>
      </c>
      <c r="I867" s="7">
        <f>CHOOSE( CONTROL!$C$37, 27.2378, 27.2367) * CHOOSE(CONTROL!$C$20, $D$12, 100%, $F$12)</f>
        <v>27.2378</v>
      </c>
      <c r="J867" s="4">
        <f>CHOOSE( CONTROL!$C$37, 27.0994, 27.0983) * CHOOSE(CONTROL!$C$20, $D$12, 100%, $F$12)</f>
        <v>27.099399999999999</v>
      </c>
      <c r="K867" s="4"/>
      <c r="L867" s="8">
        <v>31.095300000000002</v>
      </c>
      <c r="M867" s="8">
        <v>12.063700000000001</v>
      </c>
      <c r="N867" s="8">
        <v>4.9444999999999997</v>
      </c>
      <c r="O867" s="8">
        <v>0.37409999999999999</v>
      </c>
      <c r="P867" s="8">
        <v>1.2927</v>
      </c>
      <c r="Q867" s="8">
        <v>19.688099999999999</v>
      </c>
      <c r="R867" s="8"/>
    </row>
    <row r="868" spans="1:18" ht="14.25" customHeight="1">
      <c r="A868" s="11">
        <v>67541</v>
      </c>
      <c r="B868" s="7">
        <f>CHOOSE( CONTROL!$C$37, 30.1664, 30.1653) * CHOOSE(CONTROL!$C$20, $D$12, 100%, $F$12)</f>
        <v>30.166399999999999</v>
      </c>
      <c r="C868" s="7">
        <f>CHOOSE( CONTROL!$C$37, 30.1715, 30.1704) * CHOOSE(CONTROL!$C$20, $D$12, 100%, $F$12)</f>
        <v>30.171500000000002</v>
      </c>
      <c r="D868" s="7">
        <f>CHOOSE( CONTROL!$C$37, 30.15, 30.1489) * CHOOSE( CONTROL!$C$20, $D$12, 100%, $F$12)</f>
        <v>30.15</v>
      </c>
      <c r="E868" s="10">
        <f>CHOOSE( CONTROL!$C$37, 30.1573, 30.1562) * CHOOSE( CONTROL!$C$20, $D$12, 100%, $F$12)</f>
        <v>30.157299999999999</v>
      </c>
      <c r="F868" s="4">
        <f>CHOOSE( CONTROL!$C$37, 30.819, 30.8179) * CHOOSE(CONTROL!$C$20, $D$12, 100%, $F$12)</f>
        <v>30.818999999999999</v>
      </c>
      <c r="G868" s="7">
        <f>CHOOSE( CONTROL!$C$37, 29.7782, 29.7772) * CHOOSE( CONTROL!$C$20, $D$12, 100%, $F$12)</f>
        <v>29.778199999999998</v>
      </c>
      <c r="H868" s="4">
        <f>CHOOSE( CONTROL!$C$37, 30.6629, 30.6618) * CHOOSE(CONTROL!$C$20, $D$12, 100%, $F$12)</f>
        <v>30.6629</v>
      </c>
      <c r="I868" s="7">
        <f>CHOOSE( CONTROL!$C$37, 29.4175, 29.4164) * CHOOSE(CONTROL!$C$20, $D$12, 100%, $F$12)</f>
        <v>29.4175</v>
      </c>
      <c r="J868" s="4">
        <f>CHOOSE( CONTROL!$C$37, 29.2268, 29.2258) * CHOOSE(CONTROL!$C$20, $D$12, 100%, $F$12)</f>
        <v>29.226800000000001</v>
      </c>
      <c r="K868" s="4"/>
      <c r="L868" s="8">
        <v>28.360600000000002</v>
      </c>
      <c r="M868" s="8">
        <v>11.6745</v>
      </c>
      <c r="N868" s="8">
        <v>4.7850000000000001</v>
      </c>
      <c r="O868" s="8">
        <v>0.36199999999999999</v>
      </c>
      <c r="P868" s="8">
        <v>1.2509999999999999</v>
      </c>
      <c r="Q868" s="8">
        <v>19.053000000000001</v>
      </c>
      <c r="R868" s="8"/>
    </row>
    <row r="869" spans="1:18" ht="14.25" customHeight="1">
      <c r="A869" s="11">
        <v>67572</v>
      </c>
      <c r="B869" s="7">
        <f>CHOOSE( CONTROL!$C$37, 30.1115, 30.1105) * CHOOSE(CONTROL!$C$20, $D$12, 100%, $F$12)</f>
        <v>30.111499999999999</v>
      </c>
      <c r="C869" s="7">
        <f>CHOOSE( CONTROL!$C$37, 30.1166, 30.1156) * CHOOSE(CONTROL!$C$20, $D$12, 100%, $F$12)</f>
        <v>30.116599999999998</v>
      </c>
      <c r="D869" s="7">
        <f>CHOOSE( CONTROL!$C$37, 30.0967, 30.0956) * CHOOSE( CONTROL!$C$20, $D$12, 100%, $F$12)</f>
        <v>30.096699999999998</v>
      </c>
      <c r="E869" s="10">
        <f>CHOOSE( CONTROL!$C$37, 30.1034, 30.1024) * CHOOSE( CONTROL!$C$20, $D$12, 100%, $F$12)</f>
        <v>30.103400000000001</v>
      </c>
      <c r="F869" s="4">
        <f>CHOOSE( CONTROL!$C$37, 30.7641, 30.763) * CHOOSE(CONTROL!$C$20, $D$12, 100%, $F$12)</f>
        <v>30.764099999999999</v>
      </c>
      <c r="G869" s="7">
        <f>CHOOSE( CONTROL!$C$37, 29.7252, 29.7242) * CHOOSE( CONTROL!$C$20, $D$12, 100%, $F$12)</f>
        <v>29.725200000000001</v>
      </c>
      <c r="H869" s="4">
        <f>CHOOSE( CONTROL!$C$37, 30.6087, 30.6077) * CHOOSE(CONTROL!$C$20, $D$12, 100%, $F$12)</f>
        <v>30.608699999999999</v>
      </c>
      <c r="I869" s="7">
        <f>CHOOSE( CONTROL!$C$37, 29.3692, 29.3681) * CHOOSE(CONTROL!$C$20, $D$12, 100%, $F$12)</f>
        <v>29.369199999999999</v>
      </c>
      <c r="J869" s="4">
        <f>CHOOSE( CONTROL!$C$37, 29.1737, 29.1726) * CHOOSE(CONTROL!$C$20, $D$12, 100%, $F$12)</f>
        <v>29.1737</v>
      </c>
      <c r="K869" s="4"/>
      <c r="L869" s="8">
        <v>29.306000000000001</v>
      </c>
      <c r="M869" s="8">
        <v>12.063700000000001</v>
      </c>
      <c r="N869" s="8">
        <v>4.9444999999999997</v>
      </c>
      <c r="O869" s="8">
        <v>0.37409999999999999</v>
      </c>
      <c r="P869" s="8">
        <v>1.2927</v>
      </c>
      <c r="Q869" s="8">
        <v>19.688099999999999</v>
      </c>
      <c r="R869" s="8"/>
    </row>
    <row r="870" spans="1:18" ht="14.25" customHeight="1">
      <c r="A870" s="11">
        <v>67603</v>
      </c>
      <c r="B870" s="7">
        <f>CHOOSE( CONTROL!$C$37, 31.0002, 30.9991) * CHOOSE(CONTROL!$C$20, $D$12, 100%, $F$12)</f>
        <v>31.0002</v>
      </c>
      <c r="C870" s="7">
        <f>CHOOSE( CONTROL!$C$37, 31.0053, 31.0042) * CHOOSE(CONTROL!$C$20, $D$12, 100%, $F$12)</f>
        <v>31.005299999999998</v>
      </c>
      <c r="D870" s="7">
        <f>CHOOSE( CONTROL!$C$37, 30.9984, 30.9973) * CHOOSE( CONTROL!$C$20, $D$12, 100%, $F$12)</f>
        <v>30.9984</v>
      </c>
      <c r="E870" s="10">
        <f>CHOOSE( CONTROL!$C$37, 31.0004, 30.9993) * CHOOSE( CONTROL!$C$20, $D$12, 100%, $F$12)</f>
        <v>31.000399999999999</v>
      </c>
      <c r="F870" s="4">
        <f>CHOOSE( CONTROL!$C$37, 31.6527, 31.6517) * CHOOSE(CONTROL!$C$20, $D$12, 100%, $F$12)</f>
        <v>31.652699999999999</v>
      </c>
      <c r="G870" s="7">
        <f>CHOOSE( CONTROL!$C$37, 30.606, 30.605) * CHOOSE( CONTROL!$C$20, $D$12, 100%, $F$12)</f>
        <v>30.606000000000002</v>
      </c>
      <c r="H870" s="4">
        <f>CHOOSE( CONTROL!$C$37, 31.485, 31.4839) * CHOOSE(CONTROL!$C$20, $D$12, 100%, $F$12)</f>
        <v>31.484999999999999</v>
      </c>
      <c r="I870" s="7">
        <f>CHOOSE( CONTROL!$C$37, 30.2014, 30.2003) * CHOOSE(CONTROL!$C$20, $D$12, 100%, $F$12)</f>
        <v>30.2014</v>
      </c>
      <c r="J870" s="4">
        <f>CHOOSE( CONTROL!$C$37, 30.0342, 30.0331) * CHOOSE(CONTROL!$C$20, $D$12, 100%, $F$12)</f>
        <v>30.034199999999998</v>
      </c>
      <c r="K870" s="4"/>
      <c r="L870" s="8">
        <v>29.306000000000001</v>
      </c>
      <c r="M870" s="8">
        <v>12.063700000000001</v>
      </c>
      <c r="N870" s="8">
        <v>4.9444999999999997</v>
      </c>
      <c r="O870" s="8">
        <v>0.37409999999999999</v>
      </c>
      <c r="P870" s="8">
        <v>1.2927</v>
      </c>
      <c r="Q870" s="8">
        <v>19.688099999999999</v>
      </c>
      <c r="R870" s="8"/>
    </row>
    <row r="871" spans="1:18" ht="14.25" customHeight="1">
      <c r="A871" s="11">
        <v>67631</v>
      </c>
      <c r="B871" s="7">
        <f>CHOOSE( CONTROL!$C$37, 28.9951, 28.994) * CHOOSE(CONTROL!$C$20, $D$12, 100%, $F$12)</f>
        <v>28.995100000000001</v>
      </c>
      <c r="C871" s="7">
        <f>CHOOSE( CONTROL!$C$37, 29.0002, 28.9991) * CHOOSE(CONTROL!$C$20, $D$12, 100%, $F$12)</f>
        <v>29.0002</v>
      </c>
      <c r="D871" s="7">
        <f>CHOOSE( CONTROL!$C$37, 28.9932, 28.9921) * CHOOSE( CONTROL!$C$20, $D$12, 100%, $F$12)</f>
        <v>28.993200000000002</v>
      </c>
      <c r="E871" s="10">
        <f>CHOOSE( CONTROL!$C$37, 28.9952, 28.9941) * CHOOSE( CONTROL!$C$20, $D$12, 100%, $F$12)</f>
        <v>28.995200000000001</v>
      </c>
      <c r="F871" s="4">
        <f>CHOOSE( CONTROL!$C$37, 29.6476, 29.6465) * CHOOSE(CONTROL!$C$20, $D$12, 100%, $F$12)</f>
        <v>29.647600000000001</v>
      </c>
      <c r="G871" s="7">
        <f>CHOOSE( CONTROL!$C$37, 28.6288, 28.6277) * CHOOSE( CONTROL!$C$20, $D$12, 100%, $F$12)</f>
        <v>28.628799999999998</v>
      </c>
      <c r="H871" s="4">
        <f>CHOOSE( CONTROL!$C$37, 29.5078, 29.5068) * CHOOSE(CONTROL!$C$20, $D$12, 100%, $F$12)</f>
        <v>29.5078</v>
      </c>
      <c r="I871" s="7">
        <f>CHOOSE( CONTROL!$C$37, 28.2586, 28.2575) * CHOOSE(CONTROL!$C$20, $D$12, 100%, $F$12)</f>
        <v>28.258600000000001</v>
      </c>
      <c r="J871" s="4">
        <f>CHOOSE( CONTROL!$C$37, 28.0926, 28.0915) * CHOOSE(CONTROL!$C$20, $D$12, 100%, $F$12)</f>
        <v>28.092600000000001</v>
      </c>
      <c r="K871" s="4"/>
      <c r="L871" s="8">
        <v>26.469899999999999</v>
      </c>
      <c r="M871" s="8">
        <v>10.8962</v>
      </c>
      <c r="N871" s="8">
        <v>4.4660000000000002</v>
      </c>
      <c r="O871" s="8">
        <v>0.33789999999999998</v>
      </c>
      <c r="P871" s="8">
        <v>1.1676</v>
      </c>
      <c r="Q871" s="8">
        <v>17.782800000000002</v>
      </c>
      <c r="R871" s="8"/>
    </row>
    <row r="872" spans="1:18" ht="14.25" customHeight="1">
      <c r="A872" s="11">
        <v>67662</v>
      </c>
      <c r="B872" s="7">
        <f>CHOOSE( CONTROL!$C$37, 28.3775, 28.3764) * CHOOSE(CONTROL!$C$20, $D$12, 100%, $F$12)</f>
        <v>28.377500000000001</v>
      </c>
      <c r="C872" s="7">
        <f>CHOOSE( CONTROL!$C$37, 28.3826, 28.3815) * CHOOSE(CONTROL!$C$20, $D$12, 100%, $F$12)</f>
        <v>28.3826</v>
      </c>
      <c r="D872" s="7">
        <f>CHOOSE( CONTROL!$C$37, 28.375, 28.3739) * CHOOSE( CONTROL!$C$20, $D$12, 100%, $F$12)</f>
        <v>28.375</v>
      </c>
      <c r="E872" s="10">
        <f>CHOOSE( CONTROL!$C$37, 28.3772, 28.3761) * CHOOSE( CONTROL!$C$20, $D$12, 100%, $F$12)</f>
        <v>28.377199999999998</v>
      </c>
      <c r="F872" s="4">
        <f>CHOOSE( CONTROL!$C$37, 29.03, 29.0289) * CHOOSE(CONTROL!$C$20, $D$12, 100%, $F$12)</f>
        <v>29.03</v>
      </c>
      <c r="G872" s="7">
        <f>CHOOSE( CONTROL!$C$37, 28.0194, 28.0183) * CHOOSE( CONTROL!$C$20, $D$12, 100%, $F$12)</f>
        <v>28.019400000000001</v>
      </c>
      <c r="H872" s="4">
        <f>CHOOSE( CONTROL!$C$37, 28.8989, 28.8978) * CHOOSE(CONTROL!$C$20, $D$12, 100%, $F$12)</f>
        <v>28.898900000000001</v>
      </c>
      <c r="I872" s="7">
        <f>CHOOSE( CONTROL!$C$37, 27.6583, 27.6573) * CHOOSE(CONTROL!$C$20, $D$12, 100%, $F$12)</f>
        <v>27.658300000000001</v>
      </c>
      <c r="J872" s="4">
        <f>CHOOSE( CONTROL!$C$37, 27.4946, 27.4935) * CHOOSE(CONTROL!$C$20, $D$12, 100%, $F$12)</f>
        <v>27.494599999999998</v>
      </c>
      <c r="K872" s="4"/>
      <c r="L872" s="8">
        <v>29.306000000000001</v>
      </c>
      <c r="M872" s="8">
        <v>12.063700000000001</v>
      </c>
      <c r="N872" s="8">
        <v>4.9444999999999997</v>
      </c>
      <c r="O872" s="8">
        <v>0.37409999999999999</v>
      </c>
      <c r="P872" s="8">
        <v>1.2927</v>
      </c>
      <c r="Q872" s="8">
        <v>19.688099999999999</v>
      </c>
      <c r="R872" s="8"/>
    </row>
    <row r="873" spans="1:18" ht="14.25" customHeight="1">
      <c r="A873" s="11">
        <v>67692</v>
      </c>
      <c r="B873" s="7">
        <f>CHOOSE( CONTROL!$C$37, 28.8098, 28.8087) * CHOOSE(CONTROL!$C$20, $D$12, 100%, $F$12)</f>
        <v>28.809799999999999</v>
      </c>
      <c r="C873" s="7">
        <f>CHOOSE( CONTROL!$C$37, 28.8143, 28.8132) * CHOOSE(CONTROL!$C$20, $D$12, 100%, $F$12)</f>
        <v>28.814299999999999</v>
      </c>
      <c r="D873" s="7">
        <f>CHOOSE( CONTROL!$C$37, 28.8262, 28.8251) * CHOOSE( CONTROL!$C$20, $D$12, 100%, $F$12)</f>
        <v>28.8262</v>
      </c>
      <c r="E873" s="10">
        <f>CHOOSE( CONTROL!$C$37, 28.8218, 28.8207) * CHOOSE( CONTROL!$C$20, $D$12, 100%, $F$12)</f>
        <v>28.8218</v>
      </c>
      <c r="F873" s="4">
        <f>CHOOSE( CONTROL!$C$37, 29.5364, 29.5354) * CHOOSE(CONTROL!$C$20, $D$12, 100%, $F$12)</f>
        <v>29.5364</v>
      </c>
      <c r="G873" s="7">
        <f>CHOOSE( CONTROL!$C$37, 28.4531, 28.4521) * CHOOSE( CONTROL!$C$20, $D$12, 100%, $F$12)</f>
        <v>28.453099999999999</v>
      </c>
      <c r="H873" s="4">
        <f>CHOOSE( CONTROL!$C$37, 29.3982, 29.3971) * CHOOSE(CONTROL!$C$20, $D$12, 100%, $F$12)</f>
        <v>29.398199999999999</v>
      </c>
      <c r="I873" s="7">
        <f>CHOOSE( CONTROL!$C$37, 28.049, 28.048) * CHOOSE(CONTROL!$C$20, $D$12, 100%, $F$12)</f>
        <v>28.048999999999999</v>
      </c>
      <c r="J873" s="4">
        <f>CHOOSE( CONTROL!$C$37, 27.9124, 27.9114) * CHOOSE(CONTROL!$C$20, $D$12, 100%, $F$12)</f>
        <v>27.912400000000002</v>
      </c>
      <c r="K873" s="4"/>
      <c r="L873" s="8">
        <v>30.092199999999998</v>
      </c>
      <c r="M873" s="8">
        <v>11.6745</v>
      </c>
      <c r="N873" s="8">
        <v>4.7850000000000001</v>
      </c>
      <c r="O873" s="8">
        <v>0.36199999999999999</v>
      </c>
      <c r="P873" s="8">
        <v>1.2509999999999999</v>
      </c>
      <c r="Q873" s="8">
        <v>19.053000000000001</v>
      </c>
      <c r="R873" s="8"/>
    </row>
    <row r="874" spans="1:18" ht="14.25" customHeight="1">
      <c r="A874" s="11">
        <v>67723</v>
      </c>
      <c r="B874" s="7">
        <f>CHOOSE( CONTROL!$C$37, 29.5798, 29.5781) * CHOOSE(CONTROL!$C$20, $D$12, 100%, $F$12)</f>
        <v>29.579799999999999</v>
      </c>
      <c r="C874" s="7">
        <f>CHOOSE( CONTROL!$C$37, 29.5878, 29.5861) * CHOOSE(CONTROL!$C$20, $D$12, 100%, $F$12)</f>
        <v>29.587800000000001</v>
      </c>
      <c r="D874" s="7">
        <f>CHOOSE( CONTROL!$C$37, 29.5934, 29.5918) * CHOOSE( CONTROL!$C$20, $D$12, 100%, $F$12)</f>
        <v>29.593399999999999</v>
      </c>
      <c r="E874" s="10">
        <f>CHOOSE( CONTROL!$C$37, 29.5902, 29.5885) * CHOOSE( CONTROL!$C$20, $D$12, 100%, $F$12)</f>
        <v>29.590199999999999</v>
      </c>
      <c r="F874" s="4">
        <f>CHOOSE( CONTROL!$C$37, 30.3051, 30.3034) * CHOOSE(CONTROL!$C$20, $D$12, 100%, $F$12)</f>
        <v>30.305099999999999</v>
      </c>
      <c r="G874" s="7">
        <f>CHOOSE( CONTROL!$C$37, 29.211, 29.2094) * CHOOSE( CONTROL!$C$20, $D$12, 100%, $F$12)</f>
        <v>29.210999999999999</v>
      </c>
      <c r="H874" s="4">
        <f>CHOOSE( CONTROL!$C$37, 30.1561, 30.1545) * CHOOSE(CONTROL!$C$20, $D$12, 100%, $F$12)</f>
        <v>30.156099999999999</v>
      </c>
      <c r="I874" s="7">
        <f>CHOOSE( CONTROL!$C$37, 28.7934, 28.7918) * CHOOSE(CONTROL!$C$20, $D$12, 100%, $F$12)</f>
        <v>28.793399999999998</v>
      </c>
      <c r="J874" s="4">
        <f>CHOOSE( CONTROL!$C$37, 28.6567, 28.6551) * CHOOSE(CONTROL!$C$20, $D$12, 100%, $F$12)</f>
        <v>28.656700000000001</v>
      </c>
      <c r="K874" s="4"/>
      <c r="L874" s="8">
        <v>30.7165</v>
      </c>
      <c r="M874" s="8">
        <v>12.063700000000001</v>
      </c>
      <c r="N874" s="8">
        <v>4.9444999999999997</v>
      </c>
      <c r="O874" s="8">
        <v>0.37409999999999999</v>
      </c>
      <c r="P874" s="8">
        <v>1.2927</v>
      </c>
      <c r="Q874" s="8">
        <v>19.688099999999999</v>
      </c>
      <c r="R874" s="8"/>
    </row>
    <row r="875" spans="1:18" ht="14.25" customHeight="1">
      <c r="A875" s="11">
        <v>67753</v>
      </c>
      <c r="B875" s="7">
        <f>CHOOSE( CONTROL!$C$37, 29.104, 29.1023) * CHOOSE(CONTROL!$C$20, $D$12, 100%, $F$12)</f>
        <v>29.103999999999999</v>
      </c>
      <c r="C875" s="7">
        <f>CHOOSE( CONTROL!$C$37, 29.112, 29.1103) * CHOOSE(CONTROL!$C$20, $D$12, 100%, $F$12)</f>
        <v>29.111999999999998</v>
      </c>
      <c r="D875" s="7">
        <f>CHOOSE( CONTROL!$C$37, 29.1179, 29.1163) * CHOOSE( CONTROL!$C$20, $D$12, 100%, $F$12)</f>
        <v>29.117899999999999</v>
      </c>
      <c r="E875" s="10">
        <f>CHOOSE( CONTROL!$C$37, 29.1145, 29.1129) * CHOOSE( CONTROL!$C$20, $D$12, 100%, $F$12)</f>
        <v>29.1145</v>
      </c>
      <c r="F875" s="4">
        <f>CHOOSE( CONTROL!$C$37, 29.8293, 29.8276) * CHOOSE(CONTROL!$C$20, $D$12, 100%, $F$12)</f>
        <v>29.8293</v>
      </c>
      <c r="G875" s="7">
        <f>CHOOSE( CONTROL!$C$37, 28.7421, 28.7405) * CHOOSE( CONTROL!$C$20, $D$12, 100%, $F$12)</f>
        <v>28.742100000000001</v>
      </c>
      <c r="H875" s="4">
        <f>CHOOSE( CONTROL!$C$37, 29.687, 29.6853) * CHOOSE(CONTROL!$C$20, $D$12, 100%, $F$12)</f>
        <v>29.687000000000001</v>
      </c>
      <c r="I875" s="7">
        <f>CHOOSE( CONTROL!$C$37, 28.3334, 28.3318) * CHOOSE(CONTROL!$C$20, $D$12, 100%, $F$12)</f>
        <v>28.333400000000001</v>
      </c>
      <c r="J875" s="4">
        <f>CHOOSE( CONTROL!$C$37, 28.196, 28.1944) * CHOOSE(CONTROL!$C$20, $D$12, 100%, $F$12)</f>
        <v>28.196000000000002</v>
      </c>
      <c r="K875" s="4"/>
      <c r="L875" s="8">
        <v>29.7257</v>
      </c>
      <c r="M875" s="8">
        <v>11.6745</v>
      </c>
      <c r="N875" s="8">
        <v>4.7850000000000001</v>
      </c>
      <c r="O875" s="8">
        <v>0.36199999999999999</v>
      </c>
      <c r="P875" s="8">
        <v>1.2509999999999999</v>
      </c>
      <c r="Q875" s="8">
        <v>19.053000000000001</v>
      </c>
      <c r="R875" s="8"/>
    </row>
    <row r="876" spans="1:18" ht="14.25" customHeight="1">
      <c r="A876" s="11">
        <v>67784</v>
      </c>
      <c r="B876" s="7">
        <f>CHOOSE( CONTROL!$C$37, 30.3569, 30.3553) * CHOOSE(CONTROL!$C$20, $D$12, 100%, $F$12)</f>
        <v>30.3569</v>
      </c>
      <c r="C876" s="7">
        <f>CHOOSE( CONTROL!$C$37, 30.3649, 30.3633) * CHOOSE(CONTROL!$C$20, $D$12, 100%, $F$12)</f>
        <v>30.364899999999999</v>
      </c>
      <c r="D876" s="7">
        <f>CHOOSE( CONTROL!$C$37, 30.3712, 30.3695) * CHOOSE( CONTROL!$C$20, $D$12, 100%, $F$12)</f>
        <v>30.371200000000002</v>
      </c>
      <c r="E876" s="10">
        <f>CHOOSE( CONTROL!$C$37, 30.3677, 30.366) * CHOOSE( CONTROL!$C$20, $D$12, 100%, $F$12)</f>
        <v>30.367699999999999</v>
      </c>
      <c r="F876" s="4">
        <f>CHOOSE( CONTROL!$C$37, 31.0822, 31.0806) * CHOOSE(CONTROL!$C$20, $D$12, 100%, $F$12)</f>
        <v>31.0822</v>
      </c>
      <c r="G876" s="7">
        <f>CHOOSE( CONTROL!$C$37, 29.9778, 29.9761) * CHOOSE( CONTROL!$C$20, $D$12, 100%, $F$12)</f>
        <v>29.977799999999998</v>
      </c>
      <c r="H876" s="4">
        <f>CHOOSE( CONTROL!$C$37, 30.9224, 30.9208) * CHOOSE(CONTROL!$C$20, $D$12, 100%, $F$12)</f>
        <v>30.9224</v>
      </c>
      <c r="I876" s="7">
        <f>CHOOSE( CONTROL!$C$37, 29.5482, 29.5466) * CHOOSE(CONTROL!$C$20, $D$12, 100%, $F$12)</f>
        <v>29.548200000000001</v>
      </c>
      <c r="J876" s="4">
        <f>CHOOSE( CONTROL!$C$37, 29.4092, 29.4076) * CHOOSE(CONTROL!$C$20, $D$12, 100%, $F$12)</f>
        <v>29.409199999999998</v>
      </c>
      <c r="K876" s="4"/>
      <c r="L876" s="8">
        <v>30.7165</v>
      </c>
      <c r="M876" s="8">
        <v>12.063700000000001</v>
      </c>
      <c r="N876" s="8">
        <v>4.9444999999999997</v>
      </c>
      <c r="O876" s="8">
        <v>0.37409999999999999</v>
      </c>
      <c r="P876" s="8">
        <v>1.2927</v>
      </c>
      <c r="Q876" s="8">
        <v>19.688099999999999</v>
      </c>
      <c r="R876" s="8"/>
    </row>
    <row r="877" spans="1:18" ht="14.25" customHeight="1">
      <c r="A877" s="11">
        <v>67815</v>
      </c>
      <c r="B877" s="7">
        <f>CHOOSE( CONTROL!$C$37, 28.0126, 28.0109) * CHOOSE(CONTROL!$C$20, $D$12, 100%, $F$12)</f>
        <v>28.012599999999999</v>
      </c>
      <c r="C877" s="7">
        <f>CHOOSE( CONTROL!$C$37, 28.0206, 28.0189) * CHOOSE(CONTROL!$C$20, $D$12, 100%, $F$12)</f>
        <v>28.020600000000002</v>
      </c>
      <c r="D877" s="7">
        <f>CHOOSE( CONTROL!$C$37, 28.0269, 28.0252) * CHOOSE( CONTROL!$C$20, $D$12, 100%, $F$12)</f>
        <v>28.026900000000001</v>
      </c>
      <c r="E877" s="10">
        <f>CHOOSE( CONTROL!$C$37, 28.0234, 28.0217) * CHOOSE( CONTROL!$C$20, $D$12, 100%, $F$12)</f>
        <v>28.023399999999999</v>
      </c>
      <c r="F877" s="4">
        <f>CHOOSE( CONTROL!$C$37, 28.7379, 28.7362) * CHOOSE(CONTROL!$C$20, $D$12, 100%, $F$12)</f>
        <v>28.7379</v>
      </c>
      <c r="G877" s="7">
        <f>CHOOSE( CONTROL!$C$37, 27.6662, 27.6646) * CHOOSE( CONTROL!$C$20, $D$12, 100%, $F$12)</f>
        <v>27.6662</v>
      </c>
      <c r="H877" s="4">
        <f>CHOOSE( CONTROL!$C$37, 28.6108, 28.6091) * CHOOSE(CONTROL!$C$20, $D$12, 100%, $F$12)</f>
        <v>28.610800000000001</v>
      </c>
      <c r="I877" s="7">
        <f>CHOOSE( CONTROL!$C$37, 27.2773, 27.2757) * CHOOSE(CONTROL!$C$20, $D$12, 100%, $F$12)</f>
        <v>27.2773</v>
      </c>
      <c r="J877" s="4">
        <f>CHOOSE( CONTROL!$C$37, 27.1392, 27.1376) * CHOOSE(CONTROL!$C$20, $D$12, 100%, $F$12)</f>
        <v>27.139199999999999</v>
      </c>
      <c r="K877" s="4"/>
      <c r="L877" s="8">
        <v>30.7165</v>
      </c>
      <c r="M877" s="8">
        <v>12.063700000000001</v>
      </c>
      <c r="N877" s="8">
        <v>4.9444999999999997</v>
      </c>
      <c r="O877" s="8">
        <v>0.37409999999999999</v>
      </c>
      <c r="P877" s="8">
        <v>1.2927</v>
      </c>
      <c r="Q877" s="8">
        <v>19.688099999999999</v>
      </c>
      <c r="R877" s="8"/>
    </row>
    <row r="878" spans="1:18" ht="14.25" customHeight="1">
      <c r="A878" s="11">
        <v>67845</v>
      </c>
      <c r="B878" s="7">
        <f>CHOOSE( CONTROL!$C$37, 27.4255, 27.4238) * CHOOSE(CONTROL!$C$20, $D$12, 100%, $F$12)</f>
        <v>27.4255</v>
      </c>
      <c r="C878" s="7">
        <f>CHOOSE( CONTROL!$C$37, 27.4335, 27.4318) * CHOOSE(CONTROL!$C$20, $D$12, 100%, $F$12)</f>
        <v>27.433499999999999</v>
      </c>
      <c r="D878" s="7">
        <f>CHOOSE( CONTROL!$C$37, 27.4397, 27.4381) * CHOOSE( CONTROL!$C$20, $D$12, 100%, $F$12)</f>
        <v>27.439699999999998</v>
      </c>
      <c r="E878" s="10">
        <f>CHOOSE( CONTROL!$C$37, 27.4362, 27.4346) * CHOOSE( CONTROL!$C$20, $D$12, 100%, $F$12)</f>
        <v>27.436199999999999</v>
      </c>
      <c r="F878" s="4">
        <f>CHOOSE( CONTROL!$C$37, 28.1508, 28.1491) * CHOOSE(CONTROL!$C$20, $D$12, 100%, $F$12)</f>
        <v>28.1508</v>
      </c>
      <c r="G878" s="7">
        <f>CHOOSE( CONTROL!$C$37, 27.0872, 27.0856) * CHOOSE( CONTROL!$C$20, $D$12, 100%, $F$12)</f>
        <v>27.087199999999999</v>
      </c>
      <c r="H878" s="4">
        <f>CHOOSE( CONTROL!$C$37, 28.0319, 28.0303) * CHOOSE(CONTROL!$C$20, $D$12, 100%, $F$12)</f>
        <v>28.0319</v>
      </c>
      <c r="I878" s="7">
        <f>CHOOSE( CONTROL!$C$37, 26.7082, 26.7066) * CHOOSE(CONTROL!$C$20, $D$12, 100%, $F$12)</f>
        <v>26.708200000000001</v>
      </c>
      <c r="J878" s="4">
        <f>CHOOSE( CONTROL!$C$37, 26.5707, 26.5691) * CHOOSE(CONTROL!$C$20, $D$12, 100%, $F$12)</f>
        <v>26.570699999999999</v>
      </c>
      <c r="K878" s="4"/>
      <c r="L878" s="8">
        <v>29.7257</v>
      </c>
      <c r="M878" s="8">
        <v>11.6745</v>
      </c>
      <c r="N878" s="8">
        <v>4.7850000000000001</v>
      </c>
      <c r="O878" s="8">
        <v>0.36199999999999999</v>
      </c>
      <c r="P878" s="8">
        <v>1.2509999999999999</v>
      </c>
      <c r="Q878" s="8">
        <v>19.053000000000001</v>
      </c>
      <c r="R878" s="8"/>
    </row>
    <row r="879" spans="1:18" ht="14.25" customHeight="1">
      <c r="A879" s="11">
        <v>67876</v>
      </c>
      <c r="B879" s="7">
        <f>CHOOSE( CONTROL!$C$37, 28.6421, 28.6411) * CHOOSE(CONTROL!$C$20, $D$12, 100%, $F$12)</f>
        <v>28.642099999999999</v>
      </c>
      <c r="C879" s="7">
        <f>CHOOSE( CONTROL!$C$37, 28.6475, 28.6464) * CHOOSE(CONTROL!$C$20, $D$12, 100%, $F$12)</f>
        <v>28.647500000000001</v>
      </c>
      <c r="D879" s="7">
        <f>CHOOSE( CONTROL!$C$37, 28.6595, 28.6584) * CHOOSE( CONTROL!$C$20, $D$12, 100%, $F$12)</f>
        <v>28.659500000000001</v>
      </c>
      <c r="E879" s="10">
        <f>CHOOSE( CONTROL!$C$37, 28.655, 28.6539) * CHOOSE( CONTROL!$C$20, $D$12, 100%, $F$12)</f>
        <v>28.655000000000001</v>
      </c>
      <c r="F879" s="4">
        <f>CHOOSE( CONTROL!$C$37, 29.3692, 29.3681) * CHOOSE(CONTROL!$C$20, $D$12, 100%, $F$12)</f>
        <v>29.369199999999999</v>
      </c>
      <c r="G879" s="7">
        <f>CHOOSE( CONTROL!$C$37, 28.2887, 28.2876) * CHOOSE( CONTROL!$C$20, $D$12, 100%, $F$12)</f>
        <v>28.288699999999999</v>
      </c>
      <c r="H879" s="4">
        <f>CHOOSE( CONTROL!$C$37, 29.2333, 29.2322) * CHOOSE(CONTROL!$C$20, $D$12, 100%, $F$12)</f>
        <v>29.2333</v>
      </c>
      <c r="I879" s="7">
        <f>CHOOSE( CONTROL!$C$37, 27.8892, 27.8882) * CHOOSE(CONTROL!$C$20, $D$12, 100%, $F$12)</f>
        <v>27.889199999999999</v>
      </c>
      <c r="J879" s="4">
        <f>CHOOSE( CONTROL!$C$37, 27.7505, 27.7494) * CHOOSE(CONTROL!$C$20, $D$12, 100%, $F$12)</f>
        <v>27.750499999999999</v>
      </c>
      <c r="K879" s="4"/>
      <c r="L879" s="8">
        <v>31.095300000000002</v>
      </c>
      <c r="M879" s="8">
        <v>12.063700000000001</v>
      </c>
      <c r="N879" s="8">
        <v>4.9444999999999997</v>
      </c>
      <c r="O879" s="8">
        <v>0.37409999999999999</v>
      </c>
      <c r="P879" s="8">
        <v>1.2927</v>
      </c>
      <c r="Q879" s="8">
        <v>19.688099999999999</v>
      </c>
      <c r="R879" s="8"/>
    </row>
    <row r="880" spans="1:18" ht="14.25" customHeight="1">
      <c r="A880" s="11">
        <v>67906</v>
      </c>
      <c r="B880" s="7">
        <f>CHOOSE( CONTROL!$C$37, 30.8916, 30.8906) * CHOOSE(CONTROL!$C$20, $D$12, 100%, $F$12)</f>
        <v>30.8916</v>
      </c>
      <c r="C880" s="7">
        <f>CHOOSE( CONTROL!$C$37, 30.8967, 30.8957) * CHOOSE(CONTROL!$C$20, $D$12, 100%, $F$12)</f>
        <v>30.896699999999999</v>
      </c>
      <c r="D880" s="7">
        <f>CHOOSE( CONTROL!$C$37, 30.8752, 30.8741) * CHOOSE( CONTROL!$C$20, $D$12, 100%, $F$12)</f>
        <v>30.8752</v>
      </c>
      <c r="E880" s="10">
        <f>CHOOSE( CONTROL!$C$37, 30.8825, 30.8815) * CHOOSE( CONTROL!$C$20, $D$12, 100%, $F$12)</f>
        <v>30.8825</v>
      </c>
      <c r="F880" s="4">
        <f>CHOOSE( CONTROL!$C$37, 31.5442, 31.5431) * CHOOSE(CONTROL!$C$20, $D$12, 100%, $F$12)</f>
        <v>31.5442</v>
      </c>
      <c r="G880" s="7">
        <f>CHOOSE( CONTROL!$C$37, 30.4933, 30.4923) * CHOOSE( CONTROL!$C$20, $D$12, 100%, $F$12)</f>
        <v>30.493300000000001</v>
      </c>
      <c r="H880" s="4">
        <f>CHOOSE( CONTROL!$C$37, 31.378, 31.3769) * CHOOSE(CONTROL!$C$20, $D$12, 100%, $F$12)</f>
        <v>31.378</v>
      </c>
      <c r="I880" s="7">
        <f>CHOOSE( CONTROL!$C$37, 30.1201, 30.119) * CHOOSE(CONTROL!$C$20, $D$12, 100%, $F$12)</f>
        <v>30.120100000000001</v>
      </c>
      <c r="J880" s="4">
        <f>CHOOSE( CONTROL!$C$37, 29.929, 29.928) * CHOOSE(CONTROL!$C$20, $D$12, 100%, $F$12)</f>
        <v>29.928999999999998</v>
      </c>
      <c r="K880" s="4"/>
      <c r="L880" s="8">
        <v>28.360600000000002</v>
      </c>
      <c r="M880" s="8">
        <v>11.6745</v>
      </c>
      <c r="N880" s="8">
        <v>4.7850000000000001</v>
      </c>
      <c r="O880" s="8">
        <v>0.36199999999999999</v>
      </c>
      <c r="P880" s="8">
        <v>1.2509999999999999</v>
      </c>
      <c r="Q880" s="8">
        <v>19.053000000000001</v>
      </c>
      <c r="R880" s="8"/>
    </row>
    <row r="881" spans="1:18" ht="14.25" customHeight="1">
      <c r="A881" s="11">
        <v>67937</v>
      </c>
      <c r="B881" s="7">
        <f>CHOOSE( CONTROL!$C$37, 30.8354, 30.8343) * CHOOSE(CONTROL!$C$20, $D$12, 100%, $F$12)</f>
        <v>30.8354</v>
      </c>
      <c r="C881" s="7">
        <f>CHOOSE( CONTROL!$C$37, 30.8405, 30.8394) * CHOOSE(CONTROL!$C$20, $D$12, 100%, $F$12)</f>
        <v>30.840499999999999</v>
      </c>
      <c r="D881" s="7">
        <f>CHOOSE( CONTROL!$C$37, 30.8206, 30.8195) * CHOOSE( CONTROL!$C$20, $D$12, 100%, $F$12)</f>
        <v>30.820599999999999</v>
      </c>
      <c r="E881" s="10">
        <f>CHOOSE( CONTROL!$C$37, 30.8273, 30.8262) * CHOOSE( CONTROL!$C$20, $D$12, 100%, $F$12)</f>
        <v>30.827300000000001</v>
      </c>
      <c r="F881" s="4">
        <f>CHOOSE( CONTROL!$C$37, 31.488, 31.4869) * CHOOSE(CONTROL!$C$20, $D$12, 100%, $F$12)</f>
        <v>31.488</v>
      </c>
      <c r="G881" s="7">
        <f>CHOOSE( CONTROL!$C$37, 30.439, 30.438) * CHOOSE( CONTROL!$C$20, $D$12, 100%, $F$12)</f>
        <v>30.439</v>
      </c>
      <c r="H881" s="4">
        <f>CHOOSE( CONTROL!$C$37, 31.3225, 31.3215) * CHOOSE(CONTROL!$C$20, $D$12, 100%, $F$12)</f>
        <v>31.322500000000002</v>
      </c>
      <c r="I881" s="7">
        <f>CHOOSE( CONTROL!$C$37, 30.0705, 30.0694) * CHOOSE(CONTROL!$C$20, $D$12, 100%, $F$12)</f>
        <v>30.070499999999999</v>
      </c>
      <c r="J881" s="4">
        <f>CHOOSE( CONTROL!$C$37, 29.8746, 29.8736) * CHOOSE(CONTROL!$C$20, $D$12, 100%, $F$12)</f>
        <v>29.874600000000001</v>
      </c>
      <c r="K881" s="4"/>
      <c r="L881" s="8">
        <v>29.306000000000001</v>
      </c>
      <c r="M881" s="8">
        <v>12.063700000000001</v>
      </c>
      <c r="N881" s="8">
        <v>4.9444999999999997</v>
      </c>
      <c r="O881" s="8">
        <v>0.37409999999999999</v>
      </c>
      <c r="P881" s="8">
        <v>1.2927</v>
      </c>
      <c r="Q881" s="8">
        <v>19.688099999999999</v>
      </c>
      <c r="R881" s="8"/>
    </row>
    <row r="882" spans="1:18" ht="14.25" customHeight="1">
      <c r="A882" s="11">
        <v>67968</v>
      </c>
      <c r="B882" s="7">
        <f>CHOOSE( CONTROL!$C$37, 31.7455, 31.7444) * CHOOSE(CONTROL!$C$20, $D$12, 100%, $F$12)</f>
        <v>31.7455</v>
      </c>
      <c r="C882" s="7">
        <f>CHOOSE( CONTROL!$C$37, 31.7506, 31.7495) * CHOOSE(CONTROL!$C$20, $D$12, 100%, $F$12)</f>
        <v>31.750599999999999</v>
      </c>
      <c r="D882" s="7">
        <f>CHOOSE( CONTROL!$C$37, 31.7437, 31.7426) * CHOOSE( CONTROL!$C$20, $D$12, 100%, $F$12)</f>
        <v>31.7437</v>
      </c>
      <c r="E882" s="10">
        <f>CHOOSE( CONTROL!$C$37, 31.7457, 31.7446) * CHOOSE( CONTROL!$C$20, $D$12, 100%, $F$12)</f>
        <v>31.745699999999999</v>
      </c>
      <c r="F882" s="4">
        <f>CHOOSE( CONTROL!$C$37, 32.398, 32.3969) * CHOOSE(CONTROL!$C$20, $D$12, 100%, $F$12)</f>
        <v>32.398000000000003</v>
      </c>
      <c r="G882" s="7">
        <f>CHOOSE( CONTROL!$C$37, 31.3409, 31.3398) * CHOOSE( CONTROL!$C$20, $D$12, 100%, $F$12)</f>
        <v>31.340900000000001</v>
      </c>
      <c r="H882" s="4">
        <f>CHOOSE( CONTROL!$C$37, 32.2198, 32.2188) * CHOOSE(CONTROL!$C$20, $D$12, 100%, $F$12)</f>
        <v>32.219799999999999</v>
      </c>
      <c r="I882" s="7">
        <f>CHOOSE( CONTROL!$C$37, 30.9234, 30.9223) * CHOOSE(CONTROL!$C$20, $D$12, 100%, $F$12)</f>
        <v>30.923400000000001</v>
      </c>
      <c r="J882" s="4">
        <f>CHOOSE( CONTROL!$C$37, 30.7558, 30.7547) * CHOOSE(CONTROL!$C$20, $D$12, 100%, $F$12)</f>
        <v>30.755800000000001</v>
      </c>
      <c r="K882" s="4"/>
      <c r="L882" s="8">
        <v>29.306000000000001</v>
      </c>
      <c r="M882" s="8">
        <v>12.063700000000001</v>
      </c>
      <c r="N882" s="8">
        <v>4.9444999999999997</v>
      </c>
      <c r="O882" s="8">
        <v>0.37409999999999999</v>
      </c>
      <c r="P882" s="8">
        <v>1.2927</v>
      </c>
      <c r="Q882" s="8">
        <v>19.688099999999999</v>
      </c>
      <c r="R882" s="8"/>
    </row>
    <row r="883" spans="1:18" ht="14.25" customHeight="1">
      <c r="A883" s="11">
        <v>67996</v>
      </c>
      <c r="B883" s="7">
        <f>CHOOSE( CONTROL!$C$37, 29.6921, 29.691) * CHOOSE(CONTROL!$C$20, $D$12, 100%, $F$12)</f>
        <v>29.6921</v>
      </c>
      <c r="C883" s="7">
        <f>CHOOSE( CONTROL!$C$37, 29.6972, 29.6961) * CHOOSE(CONTROL!$C$20, $D$12, 100%, $F$12)</f>
        <v>29.697199999999999</v>
      </c>
      <c r="D883" s="7">
        <f>CHOOSE( CONTROL!$C$37, 29.6902, 29.6892) * CHOOSE( CONTROL!$C$20, $D$12, 100%, $F$12)</f>
        <v>29.690200000000001</v>
      </c>
      <c r="E883" s="10">
        <f>CHOOSE( CONTROL!$C$37, 29.6922, 29.6912) * CHOOSE( CONTROL!$C$20, $D$12, 100%, $F$12)</f>
        <v>29.6922</v>
      </c>
      <c r="F883" s="4">
        <f>CHOOSE( CONTROL!$C$37, 30.3447, 30.3436) * CHOOSE(CONTROL!$C$20, $D$12, 100%, $F$12)</f>
        <v>30.3447</v>
      </c>
      <c r="G883" s="7">
        <f>CHOOSE( CONTROL!$C$37, 29.3161, 29.3151) * CHOOSE( CONTROL!$C$20, $D$12, 100%, $F$12)</f>
        <v>29.316099999999999</v>
      </c>
      <c r="H883" s="4">
        <f>CHOOSE( CONTROL!$C$37, 30.1952, 30.1941) * CHOOSE(CONTROL!$C$20, $D$12, 100%, $F$12)</f>
        <v>30.1952</v>
      </c>
      <c r="I883" s="7">
        <f>CHOOSE( CONTROL!$C$37, 28.9339, 28.9328) * CHOOSE(CONTROL!$C$20, $D$12, 100%, $F$12)</f>
        <v>28.933900000000001</v>
      </c>
      <c r="J883" s="4">
        <f>CHOOSE( CONTROL!$C$37, 28.7675, 28.7665) * CHOOSE(CONTROL!$C$20, $D$12, 100%, $F$12)</f>
        <v>28.767499999999998</v>
      </c>
      <c r="K883" s="4"/>
      <c r="L883" s="8">
        <v>26.469899999999999</v>
      </c>
      <c r="M883" s="8">
        <v>10.8962</v>
      </c>
      <c r="N883" s="8">
        <v>4.4660000000000002</v>
      </c>
      <c r="O883" s="8">
        <v>0.33789999999999998</v>
      </c>
      <c r="P883" s="8">
        <v>1.1676</v>
      </c>
      <c r="Q883" s="8">
        <v>17.782800000000002</v>
      </c>
      <c r="R883" s="8"/>
    </row>
    <row r="884" spans="1:18" ht="14.25" customHeight="1">
      <c r="A884" s="11">
        <v>68027</v>
      </c>
      <c r="B884" s="7">
        <f>CHOOSE( CONTROL!$C$37, 29.0597, 29.0586) * CHOOSE(CONTROL!$C$20, $D$12, 100%, $F$12)</f>
        <v>29.059699999999999</v>
      </c>
      <c r="C884" s="7">
        <f>CHOOSE( CONTROL!$C$37, 29.0648, 29.0637) * CHOOSE(CONTROL!$C$20, $D$12, 100%, $F$12)</f>
        <v>29.064800000000002</v>
      </c>
      <c r="D884" s="7">
        <f>CHOOSE( CONTROL!$C$37, 29.0572, 29.0561) * CHOOSE( CONTROL!$C$20, $D$12, 100%, $F$12)</f>
        <v>29.057200000000002</v>
      </c>
      <c r="E884" s="10">
        <f>CHOOSE( CONTROL!$C$37, 29.0594, 29.0583) * CHOOSE( CONTROL!$C$20, $D$12, 100%, $F$12)</f>
        <v>29.0594</v>
      </c>
      <c r="F884" s="4">
        <f>CHOOSE( CONTROL!$C$37, 29.7122, 29.7112) * CHOOSE(CONTROL!$C$20, $D$12, 100%, $F$12)</f>
        <v>29.712199999999999</v>
      </c>
      <c r="G884" s="7">
        <f>CHOOSE( CONTROL!$C$37, 28.6921, 28.691) * CHOOSE( CONTROL!$C$20, $D$12, 100%, $F$12)</f>
        <v>28.6921</v>
      </c>
      <c r="H884" s="4">
        <f>CHOOSE( CONTROL!$C$37, 29.5716, 29.5705) * CHOOSE(CONTROL!$C$20, $D$12, 100%, $F$12)</f>
        <v>29.5716</v>
      </c>
      <c r="I884" s="7">
        <f>CHOOSE( CONTROL!$C$37, 28.3193, 28.3182) * CHOOSE(CONTROL!$C$20, $D$12, 100%, $F$12)</f>
        <v>28.319299999999998</v>
      </c>
      <c r="J884" s="4">
        <f>CHOOSE( CONTROL!$C$37, 28.1552, 28.1541) * CHOOSE(CONTROL!$C$20, $D$12, 100%, $F$12)</f>
        <v>28.155200000000001</v>
      </c>
      <c r="K884" s="4"/>
      <c r="L884" s="8">
        <v>29.306000000000001</v>
      </c>
      <c r="M884" s="8">
        <v>12.063700000000001</v>
      </c>
      <c r="N884" s="8">
        <v>4.9444999999999997</v>
      </c>
      <c r="O884" s="8">
        <v>0.37409999999999999</v>
      </c>
      <c r="P884" s="8">
        <v>1.2927</v>
      </c>
      <c r="Q884" s="8">
        <v>19.688099999999999</v>
      </c>
      <c r="R884" s="8"/>
    </row>
    <row r="885" spans="1:18" ht="14.25" customHeight="1">
      <c r="A885" s="11">
        <v>68057</v>
      </c>
      <c r="B885" s="7">
        <f>CHOOSE( CONTROL!$C$37, 29.5024, 29.5013) * CHOOSE(CONTROL!$C$20, $D$12, 100%, $F$12)</f>
        <v>29.502400000000002</v>
      </c>
      <c r="C885" s="7">
        <f>CHOOSE( CONTROL!$C$37, 29.5069, 29.5058) * CHOOSE(CONTROL!$C$20, $D$12, 100%, $F$12)</f>
        <v>29.506900000000002</v>
      </c>
      <c r="D885" s="7">
        <f>CHOOSE( CONTROL!$C$37, 29.5187, 29.5177) * CHOOSE( CONTROL!$C$20, $D$12, 100%, $F$12)</f>
        <v>29.518699999999999</v>
      </c>
      <c r="E885" s="10">
        <f>CHOOSE( CONTROL!$C$37, 29.5143, 29.5133) * CHOOSE( CONTROL!$C$20, $D$12, 100%, $F$12)</f>
        <v>29.514299999999999</v>
      </c>
      <c r="F885" s="4">
        <f>CHOOSE( CONTROL!$C$37, 30.229, 30.228) * CHOOSE(CONTROL!$C$20, $D$12, 100%, $F$12)</f>
        <v>30.228999999999999</v>
      </c>
      <c r="G885" s="7">
        <f>CHOOSE( CONTROL!$C$37, 29.1361, 29.135) * CHOOSE( CONTROL!$C$20, $D$12, 100%, $F$12)</f>
        <v>29.136099999999999</v>
      </c>
      <c r="H885" s="4">
        <f>CHOOSE( CONTROL!$C$37, 30.0812, 30.0801) * CHOOSE(CONTROL!$C$20, $D$12, 100%, $F$12)</f>
        <v>30.081199999999999</v>
      </c>
      <c r="I885" s="7">
        <f>CHOOSE( CONTROL!$C$37, 28.72, 28.7189) * CHOOSE(CONTROL!$C$20, $D$12, 100%, $F$12)</f>
        <v>28.72</v>
      </c>
      <c r="J885" s="4">
        <f>CHOOSE( CONTROL!$C$37, 28.5831, 28.582) * CHOOSE(CONTROL!$C$20, $D$12, 100%, $F$12)</f>
        <v>28.583100000000002</v>
      </c>
      <c r="K885" s="4"/>
      <c r="L885" s="8">
        <v>30.092199999999998</v>
      </c>
      <c r="M885" s="8">
        <v>11.6745</v>
      </c>
      <c r="N885" s="8">
        <v>4.7850000000000001</v>
      </c>
      <c r="O885" s="8">
        <v>0.36199999999999999</v>
      </c>
      <c r="P885" s="8">
        <v>1.2509999999999999</v>
      </c>
      <c r="Q885" s="8">
        <v>19.053000000000001</v>
      </c>
      <c r="R885" s="8"/>
    </row>
    <row r="886" spans="1:18" ht="14.25" customHeight="1">
      <c r="A886" s="11">
        <v>68088</v>
      </c>
      <c r="B886" s="7">
        <f>CHOOSE( CONTROL!$C$37, 30.2908, 30.2892) * CHOOSE(CONTROL!$C$20, $D$12, 100%, $F$12)</f>
        <v>30.290800000000001</v>
      </c>
      <c r="C886" s="7">
        <f>CHOOSE( CONTROL!$C$37, 30.2988, 30.2972) * CHOOSE(CONTROL!$C$20, $D$12, 100%, $F$12)</f>
        <v>30.2988</v>
      </c>
      <c r="D886" s="7">
        <f>CHOOSE( CONTROL!$C$37, 30.3045, 30.3028) * CHOOSE( CONTROL!$C$20, $D$12, 100%, $F$12)</f>
        <v>30.304500000000001</v>
      </c>
      <c r="E886" s="10">
        <f>CHOOSE( CONTROL!$C$37, 30.3012, 30.2996) * CHOOSE( CONTROL!$C$20, $D$12, 100%, $F$12)</f>
        <v>30.301200000000001</v>
      </c>
      <c r="F886" s="4">
        <f>CHOOSE( CONTROL!$C$37, 31.0161, 31.0145) * CHOOSE(CONTROL!$C$20, $D$12, 100%, $F$12)</f>
        <v>31.016100000000002</v>
      </c>
      <c r="G886" s="7">
        <f>CHOOSE( CONTROL!$C$37, 29.9122, 29.9105) * CHOOSE( CONTROL!$C$20, $D$12, 100%, $F$12)</f>
        <v>29.912199999999999</v>
      </c>
      <c r="H886" s="4">
        <f>CHOOSE( CONTROL!$C$37, 30.8573, 30.8556) * CHOOSE(CONTROL!$C$20, $D$12, 100%, $F$12)</f>
        <v>30.857299999999999</v>
      </c>
      <c r="I886" s="7">
        <f>CHOOSE( CONTROL!$C$37, 29.4822, 29.4806) * CHOOSE(CONTROL!$C$20, $D$12, 100%, $F$12)</f>
        <v>29.482199999999999</v>
      </c>
      <c r="J886" s="4">
        <f>CHOOSE( CONTROL!$C$37, 29.3452, 29.3436) * CHOOSE(CONTROL!$C$20, $D$12, 100%, $F$12)</f>
        <v>29.345199999999998</v>
      </c>
      <c r="K886" s="4"/>
      <c r="L886" s="8">
        <v>30.7165</v>
      </c>
      <c r="M886" s="8">
        <v>12.063700000000001</v>
      </c>
      <c r="N886" s="8">
        <v>4.9444999999999997</v>
      </c>
      <c r="O886" s="8">
        <v>0.37409999999999999</v>
      </c>
      <c r="P886" s="8">
        <v>1.2927</v>
      </c>
      <c r="Q886" s="8">
        <v>19.688099999999999</v>
      </c>
      <c r="R886" s="8"/>
    </row>
    <row r="887" spans="1:18" ht="14.25" customHeight="1">
      <c r="A887" s="11">
        <v>68118</v>
      </c>
      <c r="B887" s="7">
        <f>CHOOSE( CONTROL!$C$37, 29.8036, 29.802) * CHOOSE(CONTROL!$C$20, $D$12, 100%, $F$12)</f>
        <v>29.803599999999999</v>
      </c>
      <c r="C887" s="7">
        <f>CHOOSE( CONTROL!$C$37, 29.8116, 29.81) * CHOOSE(CONTROL!$C$20, $D$12, 100%, $F$12)</f>
        <v>29.811599999999999</v>
      </c>
      <c r="D887" s="7">
        <f>CHOOSE( CONTROL!$C$37, 29.8175, 29.8159) * CHOOSE( CONTROL!$C$20, $D$12, 100%, $F$12)</f>
        <v>29.817499999999999</v>
      </c>
      <c r="E887" s="10">
        <f>CHOOSE( CONTROL!$C$37, 29.8141, 29.8125) * CHOOSE( CONTROL!$C$20, $D$12, 100%, $F$12)</f>
        <v>29.8141</v>
      </c>
      <c r="F887" s="4">
        <f>CHOOSE( CONTROL!$C$37, 30.5289, 30.5272) * CHOOSE(CONTROL!$C$20, $D$12, 100%, $F$12)</f>
        <v>30.5289</v>
      </c>
      <c r="G887" s="7">
        <f>CHOOSE( CONTROL!$C$37, 29.432, 29.4303) * CHOOSE( CONTROL!$C$20, $D$12, 100%, $F$12)</f>
        <v>29.431999999999999</v>
      </c>
      <c r="H887" s="4">
        <f>CHOOSE( CONTROL!$C$37, 30.3768, 30.3752) * CHOOSE(CONTROL!$C$20, $D$12, 100%, $F$12)</f>
        <v>30.376799999999999</v>
      </c>
      <c r="I887" s="7">
        <f>CHOOSE( CONTROL!$C$37, 29.0112, 29.0095) * CHOOSE(CONTROL!$C$20, $D$12, 100%, $F$12)</f>
        <v>29.011199999999999</v>
      </c>
      <c r="J887" s="4">
        <f>CHOOSE( CONTROL!$C$37, 28.8734, 28.8718) * CHOOSE(CONTROL!$C$20, $D$12, 100%, $F$12)</f>
        <v>28.8734</v>
      </c>
      <c r="K887" s="4"/>
      <c r="L887" s="8">
        <v>29.7257</v>
      </c>
      <c r="M887" s="8">
        <v>11.6745</v>
      </c>
      <c r="N887" s="8">
        <v>4.7850000000000001</v>
      </c>
      <c r="O887" s="8">
        <v>0.36199999999999999</v>
      </c>
      <c r="P887" s="8">
        <v>1.2509999999999999</v>
      </c>
      <c r="Q887" s="8">
        <v>19.053000000000001</v>
      </c>
      <c r="R887" s="8"/>
    </row>
    <row r="888" spans="1:18" ht="14.25" customHeight="1">
      <c r="A888" s="11">
        <v>68149</v>
      </c>
      <c r="B888" s="7">
        <f>CHOOSE( CONTROL!$C$37, 31.0867, 31.085) * CHOOSE(CONTROL!$C$20, $D$12, 100%, $F$12)</f>
        <v>31.0867</v>
      </c>
      <c r="C888" s="7">
        <f>CHOOSE( CONTROL!$C$37, 31.0947, 31.093) * CHOOSE(CONTROL!$C$20, $D$12, 100%, $F$12)</f>
        <v>31.0947</v>
      </c>
      <c r="D888" s="7">
        <f>CHOOSE( CONTROL!$C$37, 31.1009, 31.0992) * CHOOSE( CONTROL!$C$20, $D$12, 100%, $F$12)</f>
        <v>31.100899999999999</v>
      </c>
      <c r="E888" s="10">
        <f>CHOOSE( CONTROL!$C$37, 31.0974, 31.0957) * CHOOSE( CONTROL!$C$20, $D$12, 100%, $F$12)</f>
        <v>31.0974</v>
      </c>
      <c r="F888" s="4">
        <f>CHOOSE( CONTROL!$C$37, 31.8119, 31.8103) * CHOOSE(CONTROL!$C$20, $D$12, 100%, $F$12)</f>
        <v>31.811900000000001</v>
      </c>
      <c r="G888" s="7">
        <f>CHOOSE( CONTROL!$C$37, 30.6973, 30.6957) * CHOOSE( CONTROL!$C$20, $D$12, 100%, $F$12)</f>
        <v>30.697299999999998</v>
      </c>
      <c r="H888" s="4">
        <f>CHOOSE( CONTROL!$C$37, 31.642, 31.6403) * CHOOSE(CONTROL!$C$20, $D$12, 100%, $F$12)</f>
        <v>31.641999999999999</v>
      </c>
      <c r="I888" s="7">
        <f>CHOOSE( CONTROL!$C$37, 30.2552, 30.2536) * CHOOSE(CONTROL!$C$20, $D$12, 100%, $F$12)</f>
        <v>30.255199999999999</v>
      </c>
      <c r="J888" s="4">
        <f>CHOOSE( CONTROL!$C$37, 30.1158, 30.1142) * CHOOSE(CONTROL!$C$20, $D$12, 100%, $F$12)</f>
        <v>30.1158</v>
      </c>
      <c r="K888" s="4"/>
      <c r="L888" s="8">
        <v>30.7165</v>
      </c>
      <c r="M888" s="8">
        <v>12.063700000000001</v>
      </c>
      <c r="N888" s="8">
        <v>4.9444999999999997</v>
      </c>
      <c r="O888" s="8">
        <v>0.37409999999999999</v>
      </c>
      <c r="P888" s="8">
        <v>1.2927</v>
      </c>
      <c r="Q888" s="8">
        <v>19.688099999999999</v>
      </c>
      <c r="R888" s="8"/>
    </row>
    <row r="889" spans="1:18" ht="14.25" customHeight="1">
      <c r="A889" s="11">
        <v>68180</v>
      </c>
      <c r="B889" s="7">
        <f>CHOOSE( CONTROL!$C$37, 28.686, 28.6843) * CHOOSE(CONTROL!$C$20, $D$12, 100%, $F$12)</f>
        <v>28.686</v>
      </c>
      <c r="C889" s="7">
        <f>CHOOSE( CONTROL!$C$37, 28.694, 28.6923) * CHOOSE(CONTROL!$C$20, $D$12, 100%, $F$12)</f>
        <v>28.693999999999999</v>
      </c>
      <c r="D889" s="7">
        <f>CHOOSE( CONTROL!$C$37, 28.7003, 28.6986) * CHOOSE( CONTROL!$C$20, $D$12, 100%, $F$12)</f>
        <v>28.700299999999999</v>
      </c>
      <c r="E889" s="10">
        <f>CHOOSE( CONTROL!$C$37, 28.6968, 28.6951) * CHOOSE( CONTROL!$C$20, $D$12, 100%, $F$12)</f>
        <v>28.6968</v>
      </c>
      <c r="F889" s="4">
        <f>CHOOSE( CONTROL!$C$37, 29.4112, 29.4096) * CHOOSE(CONTROL!$C$20, $D$12, 100%, $F$12)</f>
        <v>29.411200000000001</v>
      </c>
      <c r="G889" s="7">
        <f>CHOOSE( CONTROL!$C$37, 28.3302, 28.3286) * CHOOSE( CONTROL!$C$20, $D$12, 100%, $F$12)</f>
        <v>28.330200000000001</v>
      </c>
      <c r="H889" s="4">
        <f>CHOOSE( CONTROL!$C$37, 29.2748, 29.2731) * CHOOSE(CONTROL!$C$20, $D$12, 100%, $F$12)</f>
        <v>29.274799999999999</v>
      </c>
      <c r="I889" s="7">
        <f>CHOOSE( CONTROL!$C$37, 27.9297, 27.9281) * CHOOSE(CONTROL!$C$20, $D$12, 100%, $F$12)</f>
        <v>27.9297</v>
      </c>
      <c r="J889" s="4">
        <f>CHOOSE( CONTROL!$C$37, 27.7912, 27.7896) * CHOOSE(CONTROL!$C$20, $D$12, 100%, $F$12)</f>
        <v>27.7912</v>
      </c>
      <c r="K889" s="4"/>
      <c r="L889" s="8">
        <v>30.7165</v>
      </c>
      <c r="M889" s="8">
        <v>12.063700000000001</v>
      </c>
      <c r="N889" s="8">
        <v>4.9444999999999997</v>
      </c>
      <c r="O889" s="8">
        <v>0.37409999999999999</v>
      </c>
      <c r="P889" s="8">
        <v>1.2927</v>
      </c>
      <c r="Q889" s="8">
        <v>19.688099999999999</v>
      </c>
      <c r="R889" s="8"/>
    </row>
    <row r="890" spans="1:18" ht="14.25" customHeight="1">
      <c r="A890" s="11">
        <v>68210</v>
      </c>
      <c r="B890" s="7">
        <f>CHOOSE( CONTROL!$C$37, 28.0848, 28.0831) * CHOOSE(CONTROL!$C$20, $D$12, 100%, $F$12)</f>
        <v>28.084800000000001</v>
      </c>
      <c r="C890" s="7">
        <f>CHOOSE( CONTROL!$C$37, 28.0928, 28.0911) * CHOOSE(CONTROL!$C$20, $D$12, 100%, $F$12)</f>
        <v>28.0928</v>
      </c>
      <c r="D890" s="7">
        <f>CHOOSE( CONTROL!$C$37, 28.099, 28.0973) * CHOOSE( CONTROL!$C$20, $D$12, 100%, $F$12)</f>
        <v>28.099</v>
      </c>
      <c r="E890" s="10">
        <f>CHOOSE( CONTROL!$C$37, 28.0955, 28.0938) * CHOOSE( CONTROL!$C$20, $D$12, 100%, $F$12)</f>
        <v>28.095500000000001</v>
      </c>
      <c r="F890" s="4">
        <f>CHOOSE( CONTROL!$C$37, 28.8101, 28.8084) * CHOOSE(CONTROL!$C$20, $D$12, 100%, $F$12)</f>
        <v>28.810099999999998</v>
      </c>
      <c r="G890" s="7">
        <f>CHOOSE( CONTROL!$C$37, 27.7373, 27.7357) * CHOOSE( CONTROL!$C$20, $D$12, 100%, $F$12)</f>
        <v>27.737300000000001</v>
      </c>
      <c r="H890" s="4">
        <f>CHOOSE( CONTROL!$C$37, 28.682, 28.6804) * CHOOSE(CONTROL!$C$20, $D$12, 100%, $F$12)</f>
        <v>28.681999999999999</v>
      </c>
      <c r="I890" s="7">
        <f>CHOOSE( CONTROL!$C$37, 27.3469, 27.3453) * CHOOSE(CONTROL!$C$20, $D$12, 100%, $F$12)</f>
        <v>27.346900000000002</v>
      </c>
      <c r="J890" s="4">
        <f>CHOOSE( CONTROL!$C$37, 27.2091, 27.2075) * CHOOSE(CONTROL!$C$20, $D$12, 100%, $F$12)</f>
        <v>27.209099999999999</v>
      </c>
      <c r="K890" s="4"/>
      <c r="L890" s="8">
        <v>29.7257</v>
      </c>
      <c r="M890" s="8">
        <v>11.6745</v>
      </c>
      <c r="N890" s="8">
        <v>4.7850000000000001</v>
      </c>
      <c r="O890" s="8">
        <v>0.36199999999999999</v>
      </c>
      <c r="P890" s="8">
        <v>1.2509999999999999</v>
      </c>
      <c r="Q890" s="8">
        <v>19.053000000000001</v>
      </c>
      <c r="R890" s="8"/>
    </row>
    <row r="891" spans="1:18" ht="14.25" customHeight="1">
      <c r="A891" s="11">
        <v>68241</v>
      </c>
      <c r="B891" s="7">
        <f>CHOOSE( CONTROL!$C$37, 29.3307, 29.3296) * CHOOSE(CONTROL!$C$20, $D$12, 100%, $F$12)</f>
        <v>29.3307</v>
      </c>
      <c r="C891" s="7">
        <f>CHOOSE( CONTROL!$C$37, 29.3361, 29.335) * CHOOSE(CONTROL!$C$20, $D$12, 100%, $F$12)</f>
        <v>29.336099999999998</v>
      </c>
      <c r="D891" s="7">
        <f>CHOOSE( CONTROL!$C$37, 29.3481, 29.347) * CHOOSE( CONTROL!$C$20, $D$12, 100%, $F$12)</f>
        <v>29.348099999999999</v>
      </c>
      <c r="E891" s="10">
        <f>CHOOSE( CONTROL!$C$37, 29.3436, 29.3425) * CHOOSE( CONTROL!$C$20, $D$12, 100%, $F$12)</f>
        <v>29.343599999999999</v>
      </c>
      <c r="F891" s="4">
        <f>CHOOSE( CONTROL!$C$37, 30.0577, 30.0566) * CHOOSE(CONTROL!$C$20, $D$12, 100%, $F$12)</f>
        <v>30.057700000000001</v>
      </c>
      <c r="G891" s="7">
        <f>CHOOSE( CONTROL!$C$37, 28.9677, 28.9666) * CHOOSE( CONTROL!$C$20, $D$12, 100%, $F$12)</f>
        <v>28.967700000000001</v>
      </c>
      <c r="H891" s="4">
        <f>CHOOSE( CONTROL!$C$37, 29.9122, 29.9112) * CHOOSE(CONTROL!$C$20, $D$12, 100%, $F$12)</f>
        <v>29.912199999999999</v>
      </c>
      <c r="I891" s="7">
        <f>CHOOSE( CONTROL!$C$37, 28.5563, 28.5552) * CHOOSE(CONTROL!$C$20, $D$12, 100%, $F$12)</f>
        <v>28.5563</v>
      </c>
      <c r="J891" s="4">
        <f>CHOOSE( CONTROL!$C$37, 28.4172, 28.4161) * CHOOSE(CONTROL!$C$20, $D$12, 100%, $F$12)</f>
        <v>28.417200000000001</v>
      </c>
      <c r="K891" s="4"/>
      <c r="L891" s="8">
        <v>31.095300000000002</v>
      </c>
      <c r="M891" s="8">
        <v>12.063700000000001</v>
      </c>
      <c r="N891" s="8">
        <v>4.9444999999999997</v>
      </c>
      <c r="O891" s="8">
        <v>0.37409999999999999</v>
      </c>
      <c r="P891" s="8">
        <v>1.2927</v>
      </c>
      <c r="Q891" s="8">
        <v>19.688099999999999</v>
      </c>
      <c r="R891" s="8"/>
    </row>
    <row r="892" spans="1:18" ht="14.25" customHeight="1">
      <c r="A892" s="11">
        <v>68271</v>
      </c>
      <c r="B892" s="7">
        <f>CHOOSE( CONTROL!$C$37, 31.6343, 31.6332) * CHOOSE(CONTROL!$C$20, $D$12, 100%, $F$12)</f>
        <v>31.6343</v>
      </c>
      <c r="C892" s="7">
        <f>CHOOSE( CONTROL!$C$37, 31.6394, 31.6383) * CHOOSE(CONTROL!$C$20, $D$12, 100%, $F$12)</f>
        <v>31.639399999999998</v>
      </c>
      <c r="D892" s="7">
        <f>CHOOSE( CONTROL!$C$37, 31.6178, 31.6167) * CHOOSE( CONTROL!$C$20, $D$12, 100%, $F$12)</f>
        <v>31.617799999999999</v>
      </c>
      <c r="E892" s="10">
        <f>CHOOSE( CONTROL!$C$37, 31.6252, 31.6241) * CHOOSE( CONTROL!$C$20, $D$12, 100%, $F$12)</f>
        <v>31.6252</v>
      </c>
      <c r="F892" s="4">
        <f>CHOOSE( CONTROL!$C$37, 32.2868, 32.2857) * CHOOSE(CONTROL!$C$20, $D$12, 100%, $F$12)</f>
        <v>32.286799999999999</v>
      </c>
      <c r="G892" s="7">
        <f>CHOOSE( CONTROL!$C$37, 31.2256, 31.2245) * CHOOSE( CONTROL!$C$20, $D$12, 100%, $F$12)</f>
        <v>31.2256</v>
      </c>
      <c r="H892" s="4">
        <f>CHOOSE( CONTROL!$C$37, 32.1102, 32.1092) * CHOOSE(CONTROL!$C$20, $D$12, 100%, $F$12)</f>
        <v>32.110199999999999</v>
      </c>
      <c r="I892" s="7">
        <f>CHOOSE( CONTROL!$C$37, 30.8395, 30.8385) * CHOOSE(CONTROL!$C$20, $D$12, 100%, $F$12)</f>
        <v>30.839500000000001</v>
      </c>
      <c r="J892" s="4">
        <f>CHOOSE( CONTROL!$C$37, 30.6481, 30.6471) * CHOOSE(CONTROL!$C$20, $D$12, 100%, $F$12)</f>
        <v>30.648099999999999</v>
      </c>
      <c r="K892" s="4"/>
      <c r="L892" s="8">
        <v>28.360600000000002</v>
      </c>
      <c r="M892" s="8">
        <v>11.6745</v>
      </c>
      <c r="N892" s="8">
        <v>4.7850000000000001</v>
      </c>
      <c r="O892" s="8">
        <v>0.36199999999999999</v>
      </c>
      <c r="P892" s="8">
        <v>1.2509999999999999</v>
      </c>
      <c r="Q892" s="8">
        <v>19.053000000000001</v>
      </c>
      <c r="R892" s="8"/>
    </row>
    <row r="893" spans="1:18" ht="14.25" customHeight="1">
      <c r="A893" s="11">
        <v>68302</v>
      </c>
      <c r="B893" s="7">
        <f>CHOOSE( CONTROL!$C$37, 31.5767, 31.5756) * CHOOSE(CONTROL!$C$20, $D$12, 100%, $F$12)</f>
        <v>31.576699999999999</v>
      </c>
      <c r="C893" s="7">
        <f>CHOOSE( CONTROL!$C$37, 31.5818, 31.5807) * CHOOSE(CONTROL!$C$20, $D$12, 100%, $F$12)</f>
        <v>31.581800000000001</v>
      </c>
      <c r="D893" s="7">
        <f>CHOOSE( CONTROL!$C$37, 31.5618, 31.5608) * CHOOSE( CONTROL!$C$20, $D$12, 100%, $F$12)</f>
        <v>31.561800000000002</v>
      </c>
      <c r="E893" s="10">
        <f>CHOOSE( CONTROL!$C$37, 31.5686, 31.5675) * CHOOSE( CONTROL!$C$20, $D$12, 100%, $F$12)</f>
        <v>31.5686</v>
      </c>
      <c r="F893" s="4">
        <f>CHOOSE( CONTROL!$C$37, 32.2293, 32.2282) * CHOOSE(CONTROL!$C$20, $D$12, 100%, $F$12)</f>
        <v>32.229300000000002</v>
      </c>
      <c r="G893" s="7">
        <f>CHOOSE( CONTROL!$C$37, 31.17, 31.1689) * CHOOSE( CONTROL!$C$20, $D$12, 100%, $F$12)</f>
        <v>31.17</v>
      </c>
      <c r="H893" s="4">
        <f>CHOOSE( CONTROL!$C$37, 32.0535, 32.0524) * CHOOSE(CONTROL!$C$20, $D$12, 100%, $F$12)</f>
        <v>32.0535</v>
      </c>
      <c r="I893" s="7">
        <f>CHOOSE( CONTROL!$C$37, 30.7886, 30.7876) * CHOOSE(CONTROL!$C$20, $D$12, 100%, $F$12)</f>
        <v>30.788599999999999</v>
      </c>
      <c r="J893" s="4">
        <f>CHOOSE( CONTROL!$C$37, 30.5924, 30.5913) * CHOOSE(CONTROL!$C$20, $D$12, 100%, $F$12)</f>
        <v>30.592400000000001</v>
      </c>
      <c r="K893" s="4"/>
      <c r="L893" s="8">
        <v>29.306000000000001</v>
      </c>
      <c r="M893" s="8">
        <v>12.063700000000001</v>
      </c>
      <c r="N893" s="8">
        <v>4.9444999999999997</v>
      </c>
      <c r="O893" s="8">
        <v>0.37409999999999999</v>
      </c>
      <c r="P893" s="8">
        <v>1.2927</v>
      </c>
      <c r="Q893" s="8">
        <v>19.688099999999999</v>
      </c>
      <c r="R893" s="8"/>
    </row>
    <row r="894" spans="1:18" ht="14.25" customHeight="1">
      <c r="A894" s="11">
        <v>68333</v>
      </c>
      <c r="B894" s="7">
        <f>CHOOSE( CONTROL!$C$37, 32.5086, 32.5075) * CHOOSE(CONTROL!$C$20, $D$12, 100%, $F$12)</f>
        <v>32.508600000000001</v>
      </c>
      <c r="C894" s="7">
        <f>CHOOSE( CONTROL!$C$37, 32.5137, 32.5126) * CHOOSE(CONTROL!$C$20, $D$12, 100%, $F$12)</f>
        <v>32.5137</v>
      </c>
      <c r="D894" s="7">
        <f>CHOOSE( CONTROL!$C$37, 32.5068, 32.5057) * CHOOSE( CONTROL!$C$20, $D$12, 100%, $F$12)</f>
        <v>32.506799999999998</v>
      </c>
      <c r="E894" s="10">
        <f>CHOOSE( CONTROL!$C$37, 32.5088, 32.5077) * CHOOSE( CONTROL!$C$20, $D$12, 100%, $F$12)</f>
        <v>32.508800000000001</v>
      </c>
      <c r="F894" s="4">
        <f>CHOOSE( CONTROL!$C$37, 33.1611, 33.1601) * CHOOSE(CONTROL!$C$20, $D$12, 100%, $F$12)</f>
        <v>33.161099999999998</v>
      </c>
      <c r="G894" s="7">
        <f>CHOOSE( CONTROL!$C$37, 32.0934, 32.0923) * CHOOSE( CONTROL!$C$20, $D$12, 100%, $F$12)</f>
        <v>32.093400000000003</v>
      </c>
      <c r="H894" s="4">
        <f>CHOOSE( CONTROL!$C$37, 32.9724, 32.9713) * CHOOSE(CONTROL!$C$20, $D$12, 100%, $F$12)</f>
        <v>32.9724</v>
      </c>
      <c r="I894" s="7">
        <f>CHOOSE( CONTROL!$C$37, 31.6627, 31.6616) * CHOOSE(CONTROL!$C$20, $D$12, 100%, $F$12)</f>
        <v>31.662700000000001</v>
      </c>
      <c r="J894" s="4">
        <f>CHOOSE( CONTROL!$C$37, 31.4947, 31.4937) * CHOOSE(CONTROL!$C$20, $D$12, 100%, $F$12)</f>
        <v>31.494700000000002</v>
      </c>
      <c r="K894" s="4"/>
      <c r="L894" s="8">
        <v>29.306000000000001</v>
      </c>
      <c r="M894" s="8">
        <v>12.063700000000001</v>
      </c>
      <c r="N894" s="8">
        <v>4.9444999999999997</v>
      </c>
      <c r="O894" s="8">
        <v>0.37409999999999999</v>
      </c>
      <c r="P894" s="8">
        <v>1.2927</v>
      </c>
      <c r="Q894" s="8">
        <v>19.688099999999999</v>
      </c>
      <c r="R894" s="8"/>
    </row>
    <row r="895" spans="1:18" ht="14.25" customHeight="1">
      <c r="A895" s="11">
        <v>68361</v>
      </c>
      <c r="B895" s="7">
        <f>CHOOSE( CONTROL!$C$37, 30.4059, 30.4048) * CHOOSE(CONTROL!$C$20, $D$12, 100%, $F$12)</f>
        <v>30.405899999999999</v>
      </c>
      <c r="C895" s="7">
        <f>CHOOSE( CONTROL!$C$37, 30.411, 30.4099) * CHOOSE(CONTROL!$C$20, $D$12, 100%, $F$12)</f>
        <v>30.411000000000001</v>
      </c>
      <c r="D895" s="7">
        <f>CHOOSE( CONTROL!$C$37, 30.4041, 30.403) * CHOOSE( CONTROL!$C$20, $D$12, 100%, $F$12)</f>
        <v>30.4041</v>
      </c>
      <c r="E895" s="10">
        <f>CHOOSE( CONTROL!$C$37, 30.4061, 30.405) * CHOOSE( CONTROL!$C$20, $D$12, 100%, $F$12)</f>
        <v>30.406099999999999</v>
      </c>
      <c r="F895" s="4">
        <f>CHOOSE( CONTROL!$C$37, 31.0585, 31.0574) * CHOOSE(CONTROL!$C$20, $D$12, 100%, $F$12)</f>
        <v>31.058499999999999</v>
      </c>
      <c r="G895" s="7">
        <f>CHOOSE( CONTROL!$C$37, 30.02, 30.0189) * CHOOSE( CONTROL!$C$20, $D$12, 100%, $F$12)</f>
        <v>30.02</v>
      </c>
      <c r="H895" s="4">
        <f>CHOOSE( CONTROL!$C$37, 30.899, 30.8979) * CHOOSE(CONTROL!$C$20, $D$12, 100%, $F$12)</f>
        <v>30.899000000000001</v>
      </c>
      <c r="I895" s="7">
        <f>CHOOSE( CONTROL!$C$37, 29.6254, 29.6244) * CHOOSE(CONTROL!$C$20, $D$12, 100%, $F$12)</f>
        <v>29.625399999999999</v>
      </c>
      <c r="J895" s="4">
        <f>CHOOSE( CONTROL!$C$37, 29.4587, 29.4577) * CHOOSE(CONTROL!$C$20, $D$12, 100%, $F$12)</f>
        <v>29.4587</v>
      </c>
      <c r="K895" s="4"/>
      <c r="L895" s="8">
        <v>26.469899999999999</v>
      </c>
      <c r="M895" s="8">
        <v>10.8962</v>
      </c>
      <c r="N895" s="8">
        <v>4.4660000000000002</v>
      </c>
      <c r="O895" s="8">
        <v>0.33789999999999998</v>
      </c>
      <c r="P895" s="8">
        <v>1.1676</v>
      </c>
      <c r="Q895" s="8">
        <v>17.782800000000002</v>
      </c>
      <c r="R895" s="8"/>
    </row>
    <row r="896" spans="1:18" ht="14.25" customHeight="1">
      <c r="A896" s="11">
        <v>68392</v>
      </c>
      <c r="B896" s="7">
        <f>CHOOSE( CONTROL!$C$37, 29.7583, 29.7572) * CHOOSE(CONTROL!$C$20, $D$12, 100%, $F$12)</f>
        <v>29.758299999999998</v>
      </c>
      <c r="C896" s="7">
        <f>CHOOSE( CONTROL!$C$37, 29.7634, 29.7623) * CHOOSE(CONTROL!$C$20, $D$12, 100%, $F$12)</f>
        <v>29.763400000000001</v>
      </c>
      <c r="D896" s="7">
        <f>CHOOSE( CONTROL!$C$37, 29.7558, 29.7547) * CHOOSE( CONTROL!$C$20, $D$12, 100%, $F$12)</f>
        <v>29.755800000000001</v>
      </c>
      <c r="E896" s="10">
        <f>CHOOSE( CONTROL!$C$37, 29.758, 29.7569) * CHOOSE( CONTROL!$C$20, $D$12, 100%, $F$12)</f>
        <v>29.757999999999999</v>
      </c>
      <c r="F896" s="4">
        <f>CHOOSE( CONTROL!$C$37, 30.4109, 30.4098) * CHOOSE(CONTROL!$C$20, $D$12, 100%, $F$12)</f>
        <v>30.410900000000002</v>
      </c>
      <c r="G896" s="7">
        <f>CHOOSE( CONTROL!$C$37, 29.381, 29.3799) * CHOOSE( CONTROL!$C$20, $D$12, 100%, $F$12)</f>
        <v>29.381</v>
      </c>
      <c r="H896" s="4">
        <f>CHOOSE( CONTROL!$C$37, 30.2604, 30.2594) * CHOOSE(CONTROL!$C$20, $D$12, 100%, $F$12)</f>
        <v>30.260400000000001</v>
      </c>
      <c r="I896" s="7">
        <f>CHOOSE( CONTROL!$C$37, 28.9961, 28.995) * CHOOSE(CONTROL!$C$20, $D$12, 100%, $F$12)</f>
        <v>28.996099999999998</v>
      </c>
      <c r="J896" s="4">
        <f>CHOOSE( CONTROL!$C$37, 28.8316, 28.8306) * CHOOSE(CONTROL!$C$20, $D$12, 100%, $F$12)</f>
        <v>28.831600000000002</v>
      </c>
      <c r="K896" s="4"/>
      <c r="L896" s="8">
        <v>29.306000000000001</v>
      </c>
      <c r="M896" s="8">
        <v>12.063700000000001</v>
      </c>
      <c r="N896" s="8">
        <v>4.9444999999999997</v>
      </c>
      <c r="O896" s="8">
        <v>0.37409999999999999</v>
      </c>
      <c r="P896" s="8">
        <v>1.2927</v>
      </c>
      <c r="Q896" s="8">
        <v>19.688099999999999</v>
      </c>
      <c r="R896" s="8"/>
    </row>
    <row r="897" spans="1:18" ht="14.25" customHeight="1">
      <c r="A897" s="11">
        <v>68422</v>
      </c>
      <c r="B897" s="7">
        <f>CHOOSE( CONTROL!$C$37, 30.2116, 30.2105) * CHOOSE(CONTROL!$C$20, $D$12, 100%, $F$12)</f>
        <v>30.211600000000001</v>
      </c>
      <c r="C897" s="7">
        <f>CHOOSE( CONTROL!$C$37, 30.2162, 30.2151) * CHOOSE(CONTROL!$C$20, $D$12, 100%, $F$12)</f>
        <v>30.216200000000001</v>
      </c>
      <c r="D897" s="7">
        <f>CHOOSE( CONTROL!$C$37, 30.228, 30.2269) * CHOOSE( CONTROL!$C$20, $D$12, 100%, $F$12)</f>
        <v>30.228000000000002</v>
      </c>
      <c r="E897" s="10">
        <f>CHOOSE( CONTROL!$C$37, 30.2236, 30.2225) * CHOOSE( CONTROL!$C$20, $D$12, 100%, $F$12)</f>
        <v>30.223600000000001</v>
      </c>
      <c r="F897" s="4">
        <f>CHOOSE( CONTROL!$C$37, 30.9383, 30.9372) * CHOOSE(CONTROL!$C$20, $D$12, 100%, $F$12)</f>
        <v>30.938300000000002</v>
      </c>
      <c r="G897" s="7">
        <f>CHOOSE( CONTROL!$C$37, 29.8354, 29.8343) * CHOOSE( CONTROL!$C$20, $D$12, 100%, $F$12)</f>
        <v>29.8354</v>
      </c>
      <c r="H897" s="4">
        <f>CHOOSE( CONTROL!$C$37, 30.7805, 30.7794) * CHOOSE(CONTROL!$C$20, $D$12, 100%, $F$12)</f>
        <v>30.7805</v>
      </c>
      <c r="I897" s="7">
        <f>CHOOSE( CONTROL!$C$37, 29.4071, 29.406) * CHOOSE(CONTROL!$C$20, $D$12, 100%, $F$12)</f>
        <v>29.4071</v>
      </c>
      <c r="J897" s="4">
        <f>CHOOSE( CONTROL!$C$37, 29.2698, 29.2688) * CHOOSE(CONTROL!$C$20, $D$12, 100%, $F$12)</f>
        <v>29.2698</v>
      </c>
      <c r="K897" s="4"/>
      <c r="L897" s="8">
        <v>30.092199999999998</v>
      </c>
      <c r="M897" s="8">
        <v>11.6745</v>
      </c>
      <c r="N897" s="8">
        <v>4.7850000000000001</v>
      </c>
      <c r="O897" s="8">
        <v>0.36199999999999999</v>
      </c>
      <c r="P897" s="8">
        <v>1.2509999999999999</v>
      </c>
      <c r="Q897" s="8">
        <v>19.053000000000001</v>
      </c>
      <c r="R897" s="8"/>
    </row>
    <row r="898" spans="1:18" ht="14.25" customHeight="1">
      <c r="A898" s="11">
        <v>68453</v>
      </c>
      <c r="B898" s="7">
        <f>CHOOSE( CONTROL!$C$37, 31.019, 31.0173) * CHOOSE(CONTROL!$C$20, $D$12, 100%, $F$12)</f>
        <v>31.018999999999998</v>
      </c>
      <c r="C898" s="7">
        <f>CHOOSE( CONTROL!$C$37, 31.027, 31.0253) * CHOOSE(CONTROL!$C$20, $D$12, 100%, $F$12)</f>
        <v>31.027000000000001</v>
      </c>
      <c r="D898" s="7">
        <f>CHOOSE( CONTROL!$C$37, 31.0326, 31.031) * CHOOSE( CONTROL!$C$20, $D$12, 100%, $F$12)</f>
        <v>31.032599999999999</v>
      </c>
      <c r="E898" s="10">
        <f>CHOOSE( CONTROL!$C$37, 31.0294, 31.0277) * CHOOSE( CONTROL!$C$20, $D$12, 100%, $F$12)</f>
        <v>31.029399999999999</v>
      </c>
      <c r="F898" s="4">
        <f>CHOOSE( CONTROL!$C$37, 31.7443, 31.7426) * CHOOSE(CONTROL!$C$20, $D$12, 100%, $F$12)</f>
        <v>31.744299999999999</v>
      </c>
      <c r="G898" s="7">
        <f>CHOOSE( CONTROL!$C$37, 30.6301, 30.6285) * CHOOSE( CONTROL!$C$20, $D$12, 100%, $F$12)</f>
        <v>30.630099999999999</v>
      </c>
      <c r="H898" s="4">
        <f>CHOOSE( CONTROL!$C$37, 31.5752, 31.5736) * CHOOSE(CONTROL!$C$20, $D$12, 100%, $F$12)</f>
        <v>31.575199999999999</v>
      </c>
      <c r="I898" s="7">
        <f>CHOOSE( CONTROL!$C$37, 30.1876, 30.186) * CHOOSE(CONTROL!$C$20, $D$12, 100%, $F$12)</f>
        <v>30.1876</v>
      </c>
      <c r="J898" s="4">
        <f>CHOOSE( CONTROL!$C$37, 30.0503, 30.0487) * CHOOSE(CONTROL!$C$20, $D$12, 100%, $F$12)</f>
        <v>30.0503</v>
      </c>
      <c r="K898" s="4"/>
      <c r="L898" s="8">
        <v>30.7165</v>
      </c>
      <c r="M898" s="8">
        <v>12.063700000000001</v>
      </c>
      <c r="N898" s="8">
        <v>4.9444999999999997</v>
      </c>
      <c r="O898" s="8">
        <v>0.37409999999999999</v>
      </c>
      <c r="P898" s="8">
        <v>1.2927</v>
      </c>
      <c r="Q898" s="8">
        <v>19.688099999999999</v>
      </c>
      <c r="R898" s="8"/>
    </row>
    <row r="899" spans="1:18" ht="14.25" customHeight="1">
      <c r="A899" s="11">
        <v>68483</v>
      </c>
      <c r="B899" s="7">
        <f>CHOOSE( CONTROL!$C$37, 30.5201, 30.5184) * CHOOSE(CONTROL!$C$20, $D$12, 100%, $F$12)</f>
        <v>30.520099999999999</v>
      </c>
      <c r="C899" s="7">
        <f>CHOOSE( CONTROL!$C$37, 30.528, 30.5264) * CHOOSE(CONTROL!$C$20, $D$12, 100%, $F$12)</f>
        <v>30.527999999999999</v>
      </c>
      <c r="D899" s="7">
        <f>CHOOSE( CONTROL!$C$37, 30.534, 30.5323) * CHOOSE( CONTROL!$C$20, $D$12, 100%, $F$12)</f>
        <v>30.533999999999999</v>
      </c>
      <c r="E899" s="10">
        <f>CHOOSE( CONTROL!$C$37, 30.5306, 30.5289) * CHOOSE( CONTROL!$C$20, $D$12, 100%, $F$12)</f>
        <v>30.5306</v>
      </c>
      <c r="F899" s="4">
        <f>CHOOSE( CONTROL!$C$37, 31.2453, 31.2437) * CHOOSE(CONTROL!$C$20, $D$12, 100%, $F$12)</f>
        <v>31.2453</v>
      </c>
      <c r="G899" s="7">
        <f>CHOOSE( CONTROL!$C$37, 30.1384, 30.1367) * CHOOSE( CONTROL!$C$20, $D$12, 100%, $F$12)</f>
        <v>30.138400000000001</v>
      </c>
      <c r="H899" s="4">
        <f>CHOOSE( CONTROL!$C$37, 31.0833, 31.0816) * CHOOSE(CONTROL!$C$20, $D$12, 100%, $F$12)</f>
        <v>31.083300000000001</v>
      </c>
      <c r="I899" s="7">
        <f>CHOOSE( CONTROL!$C$37, 29.7052, 29.7036) * CHOOSE(CONTROL!$C$20, $D$12, 100%, $F$12)</f>
        <v>29.705200000000001</v>
      </c>
      <c r="J899" s="4">
        <f>CHOOSE( CONTROL!$C$37, 29.5672, 29.5656) * CHOOSE(CONTROL!$C$20, $D$12, 100%, $F$12)</f>
        <v>29.5672</v>
      </c>
      <c r="K899" s="4"/>
      <c r="L899" s="8">
        <v>29.7257</v>
      </c>
      <c r="M899" s="8">
        <v>11.6745</v>
      </c>
      <c r="N899" s="8">
        <v>4.7850000000000001</v>
      </c>
      <c r="O899" s="8">
        <v>0.36199999999999999</v>
      </c>
      <c r="P899" s="8">
        <v>1.2509999999999999</v>
      </c>
      <c r="Q899" s="8">
        <v>19.053000000000001</v>
      </c>
      <c r="R899" s="8"/>
    </row>
    <row r="900" spans="1:18" ht="14.25" customHeight="1">
      <c r="A900" s="11">
        <v>68514</v>
      </c>
      <c r="B900" s="7">
        <f>CHOOSE( CONTROL!$C$37, 31.8339, 31.8323) * CHOOSE(CONTROL!$C$20, $D$12, 100%, $F$12)</f>
        <v>31.8339</v>
      </c>
      <c r="C900" s="7">
        <f>CHOOSE( CONTROL!$C$37, 31.8419, 31.8403) * CHOOSE(CONTROL!$C$20, $D$12, 100%, $F$12)</f>
        <v>31.841899999999999</v>
      </c>
      <c r="D900" s="7">
        <f>CHOOSE( CONTROL!$C$37, 31.8481, 31.8465) * CHOOSE( CONTROL!$C$20, $D$12, 100%, $F$12)</f>
        <v>31.848099999999999</v>
      </c>
      <c r="E900" s="10">
        <f>CHOOSE( CONTROL!$C$37, 31.8446, 31.843) * CHOOSE( CONTROL!$C$20, $D$12, 100%, $F$12)</f>
        <v>31.8446</v>
      </c>
      <c r="F900" s="4">
        <f>CHOOSE( CONTROL!$C$37, 32.5592, 32.5575) * CHOOSE(CONTROL!$C$20, $D$12, 100%, $F$12)</f>
        <v>32.559199999999997</v>
      </c>
      <c r="G900" s="7">
        <f>CHOOSE( CONTROL!$C$37, 31.4342, 31.4325) * CHOOSE( CONTROL!$C$20, $D$12, 100%, $F$12)</f>
        <v>31.434200000000001</v>
      </c>
      <c r="H900" s="4">
        <f>CHOOSE( CONTROL!$C$37, 32.3788, 32.3772) * CHOOSE(CONTROL!$C$20, $D$12, 100%, $F$12)</f>
        <v>32.378799999999998</v>
      </c>
      <c r="I900" s="7">
        <f>CHOOSE( CONTROL!$C$37, 30.9791, 30.9775) * CHOOSE(CONTROL!$C$20, $D$12, 100%, $F$12)</f>
        <v>30.979099999999999</v>
      </c>
      <c r="J900" s="4">
        <f>CHOOSE( CONTROL!$C$37, 30.8394, 30.8378) * CHOOSE(CONTROL!$C$20, $D$12, 100%, $F$12)</f>
        <v>30.839400000000001</v>
      </c>
      <c r="K900" s="4"/>
      <c r="L900" s="8">
        <v>30.7165</v>
      </c>
      <c r="M900" s="8">
        <v>12.063700000000001</v>
      </c>
      <c r="N900" s="8">
        <v>4.9444999999999997</v>
      </c>
      <c r="O900" s="8">
        <v>0.37409999999999999</v>
      </c>
      <c r="P900" s="8">
        <v>1.2927</v>
      </c>
      <c r="Q900" s="8">
        <v>19.688099999999999</v>
      </c>
      <c r="R900" s="8"/>
    </row>
    <row r="901" spans="1:18" ht="14.25" customHeight="1">
      <c r="A901" s="11">
        <v>68545</v>
      </c>
      <c r="B901" s="7">
        <f>CHOOSE( CONTROL!$C$37, 29.3755, 29.3739) * CHOOSE(CONTROL!$C$20, $D$12, 100%, $F$12)</f>
        <v>29.375499999999999</v>
      </c>
      <c r="C901" s="7">
        <f>CHOOSE( CONTROL!$C$37, 29.3835, 29.3819) * CHOOSE(CONTROL!$C$20, $D$12, 100%, $F$12)</f>
        <v>29.383500000000002</v>
      </c>
      <c r="D901" s="7">
        <f>CHOOSE( CONTROL!$C$37, 29.3898, 29.3882) * CHOOSE( CONTROL!$C$20, $D$12, 100%, $F$12)</f>
        <v>29.389800000000001</v>
      </c>
      <c r="E901" s="10">
        <f>CHOOSE( CONTROL!$C$37, 29.3863, 29.3847) * CHOOSE( CONTROL!$C$20, $D$12, 100%, $F$12)</f>
        <v>29.386299999999999</v>
      </c>
      <c r="F901" s="4">
        <f>CHOOSE( CONTROL!$C$37, 30.1008, 30.0992) * CHOOSE(CONTROL!$C$20, $D$12, 100%, $F$12)</f>
        <v>30.1008</v>
      </c>
      <c r="G901" s="7">
        <f>CHOOSE( CONTROL!$C$37, 29.0101, 29.0085) * CHOOSE( CONTROL!$C$20, $D$12, 100%, $F$12)</f>
        <v>29.010100000000001</v>
      </c>
      <c r="H901" s="4">
        <f>CHOOSE( CONTROL!$C$37, 29.9547, 29.9531) * CHOOSE(CONTROL!$C$20, $D$12, 100%, $F$12)</f>
        <v>29.954699999999999</v>
      </c>
      <c r="I901" s="7">
        <f>CHOOSE( CONTROL!$C$37, 28.5978, 28.5961) * CHOOSE(CONTROL!$C$20, $D$12, 100%, $F$12)</f>
        <v>28.597799999999999</v>
      </c>
      <c r="J901" s="4">
        <f>CHOOSE( CONTROL!$C$37, 28.4589, 28.4573) * CHOOSE(CONTROL!$C$20, $D$12, 100%, $F$12)</f>
        <v>28.4589</v>
      </c>
      <c r="K901" s="4"/>
      <c r="L901" s="8">
        <v>30.7165</v>
      </c>
      <c r="M901" s="8">
        <v>12.063700000000001</v>
      </c>
      <c r="N901" s="8">
        <v>4.9444999999999997</v>
      </c>
      <c r="O901" s="8">
        <v>0.37409999999999999</v>
      </c>
      <c r="P901" s="8">
        <v>1.2927</v>
      </c>
      <c r="Q901" s="8">
        <v>19.688099999999999</v>
      </c>
      <c r="R901" s="8"/>
    </row>
    <row r="902" spans="1:18" ht="14.25" customHeight="1">
      <c r="A902" s="11">
        <v>68575</v>
      </c>
      <c r="B902" s="7">
        <f>CHOOSE( CONTROL!$C$37, 28.7599, 28.7583) * CHOOSE(CONTROL!$C$20, $D$12, 100%, $F$12)</f>
        <v>28.759899999999998</v>
      </c>
      <c r="C902" s="7">
        <f>CHOOSE( CONTROL!$C$37, 28.7679, 28.7663) * CHOOSE(CONTROL!$C$20, $D$12, 100%, $F$12)</f>
        <v>28.767900000000001</v>
      </c>
      <c r="D902" s="7">
        <f>CHOOSE( CONTROL!$C$37, 28.7741, 28.7725) * CHOOSE( CONTROL!$C$20, $D$12, 100%, $F$12)</f>
        <v>28.774100000000001</v>
      </c>
      <c r="E902" s="10">
        <f>CHOOSE( CONTROL!$C$37, 28.7706, 28.769) * CHOOSE( CONTROL!$C$20, $D$12, 100%, $F$12)</f>
        <v>28.770600000000002</v>
      </c>
      <c r="F902" s="4">
        <f>CHOOSE( CONTROL!$C$37, 29.4852, 29.4835) * CHOOSE(CONTROL!$C$20, $D$12, 100%, $F$12)</f>
        <v>29.485199999999999</v>
      </c>
      <c r="G902" s="7">
        <f>CHOOSE( CONTROL!$C$37, 28.403, 28.4014) * CHOOSE( CONTROL!$C$20, $D$12, 100%, $F$12)</f>
        <v>28.402999999999999</v>
      </c>
      <c r="H902" s="4">
        <f>CHOOSE( CONTROL!$C$37, 29.3477, 29.3461) * CHOOSE(CONTROL!$C$20, $D$12, 100%, $F$12)</f>
        <v>29.3477</v>
      </c>
      <c r="I902" s="7">
        <f>CHOOSE( CONTROL!$C$37, 28.001, 27.9994) * CHOOSE(CONTROL!$C$20, $D$12, 100%, $F$12)</f>
        <v>28.001000000000001</v>
      </c>
      <c r="J902" s="4">
        <f>CHOOSE( CONTROL!$C$37, 27.8628, 27.8612) * CHOOSE(CONTROL!$C$20, $D$12, 100%, $F$12)</f>
        <v>27.8628</v>
      </c>
      <c r="K902" s="4"/>
      <c r="L902" s="8">
        <v>29.7257</v>
      </c>
      <c r="M902" s="8">
        <v>11.6745</v>
      </c>
      <c r="N902" s="8">
        <v>4.7850000000000001</v>
      </c>
      <c r="O902" s="8">
        <v>0.36199999999999999</v>
      </c>
      <c r="P902" s="8">
        <v>1.2509999999999999</v>
      </c>
      <c r="Q902" s="8">
        <v>19.053000000000001</v>
      </c>
      <c r="R902" s="8"/>
    </row>
    <row r="903" spans="1:18" ht="14.25" customHeight="1">
      <c r="A903" s="11">
        <v>68606</v>
      </c>
      <c r="B903" s="7">
        <f>CHOOSE( CONTROL!$C$37, 30.0358, 30.0348) * CHOOSE(CONTROL!$C$20, $D$12, 100%, $F$12)</f>
        <v>30.035799999999998</v>
      </c>
      <c r="C903" s="7">
        <f>CHOOSE( CONTROL!$C$37, 30.0412, 30.0401) * CHOOSE(CONTROL!$C$20, $D$12, 100%, $F$12)</f>
        <v>30.0412</v>
      </c>
      <c r="D903" s="7">
        <f>CHOOSE( CONTROL!$C$37, 30.0532, 30.0521) * CHOOSE( CONTROL!$C$20, $D$12, 100%, $F$12)</f>
        <v>30.0532</v>
      </c>
      <c r="E903" s="10">
        <f>CHOOSE( CONTROL!$C$37, 30.0487, 30.0476) * CHOOSE( CONTROL!$C$20, $D$12, 100%, $F$12)</f>
        <v>30.0487</v>
      </c>
      <c r="F903" s="4">
        <f>CHOOSE( CONTROL!$C$37, 30.7628, 30.7618) * CHOOSE(CONTROL!$C$20, $D$12, 100%, $F$12)</f>
        <v>30.762799999999999</v>
      </c>
      <c r="G903" s="7">
        <f>CHOOSE( CONTROL!$C$37, 29.663, 29.6619) * CHOOSE( CONTROL!$C$20, $D$12, 100%, $F$12)</f>
        <v>29.663</v>
      </c>
      <c r="H903" s="4">
        <f>CHOOSE( CONTROL!$C$37, 30.6075, 30.6064) * CHOOSE(CONTROL!$C$20, $D$12, 100%, $F$12)</f>
        <v>30.607500000000002</v>
      </c>
      <c r="I903" s="7">
        <f>CHOOSE( CONTROL!$C$37, 29.2394, 29.2384) * CHOOSE(CONTROL!$C$20, $D$12, 100%, $F$12)</f>
        <v>29.2394</v>
      </c>
      <c r="J903" s="4">
        <f>CHOOSE( CONTROL!$C$37, 29.1, 29.0989) * CHOOSE(CONTROL!$C$20, $D$12, 100%, $F$12)</f>
        <v>29.1</v>
      </c>
      <c r="K903" s="4"/>
      <c r="L903" s="8">
        <v>31.095300000000002</v>
      </c>
      <c r="M903" s="8">
        <v>12.063700000000001</v>
      </c>
      <c r="N903" s="8">
        <v>4.9444999999999997</v>
      </c>
      <c r="O903" s="8">
        <v>0.37409999999999999</v>
      </c>
      <c r="P903" s="8">
        <v>1.2927</v>
      </c>
      <c r="Q903" s="8">
        <v>19.688099999999999</v>
      </c>
      <c r="R903" s="8"/>
    </row>
    <row r="904" spans="1:18" ht="14.25" customHeight="1">
      <c r="A904" s="11">
        <v>68636</v>
      </c>
      <c r="B904" s="7">
        <f>CHOOSE( CONTROL!$C$37, 32.3948, 32.3937) * CHOOSE(CONTROL!$C$20, $D$12, 100%, $F$12)</f>
        <v>32.394799999999996</v>
      </c>
      <c r="C904" s="7">
        <f>CHOOSE( CONTROL!$C$37, 32.3999, 32.3988) * CHOOSE(CONTROL!$C$20, $D$12, 100%, $F$12)</f>
        <v>32.399900000000002</v>
      </c>
      <c r="D904" s="7">
        <f>CHOOSE( CONTROL!$C$37, 32.3783, 32.3772) * CHOOSE( CONTROL!$C$20, $D$12, 100%, $F$12)</f>
        <v>32.378300000000003</v>
      </c>
      <c r="E904" s="10">
        <f>CHOOSE( CONTROL!$C$37, 32.3857, 32.3846) * CHOOSE( CONTROL!$C$20, $D$12, 100%, $F$12)</f>
        <v>32.3857</v>
      </c>
      <c r="F904" s="4">
        <f>CHOOSE( CONTROL!$C$37, 33.0473, 33.0462) * CHOOSE(CONTROL!$C$20, $D$12, 100%, $F$12)</f>
        <v>33.0473</v>
      </c>
      <c r="G904" s="7">
        <f>CHOOSE( CONTROL!$C$37, 31.9755, 31.9744) * CHOOSE( CONTROL!$C$20, $D$12, 100%, $F$12)</f>
        <v>31.9755</v>
      </c>
      <c r="H904" s="4">
        <f>CHOOSE( CONTROL!$C$37, 32.8601, 32.859) * CHOOSE(CONTROL!$C$20, $D$12, 100%, $F$12)</f>
        <v>32.860100000000003</v>
      </c>
      <c r="I904" s="7">
        <f>CHOOSE( CONTROL!$C$37, 31.5762, 31.5752) * CHOOSE(CONTROL!$C$20, $D$12, 100%, $F$12)</f>
        <v>31.5762</v>
      </c>
      <c r="J904" s="4">
        <f>CHOOSE( CONTROL!$C$37, 31.3845, 31.3835) * CHOOSE(CONTROL!$C$20, $D$12, 100%, $F$12)</f>
        <v>31.384499999999999</v>
      </c>
      <c r="K904" s="4"/>
      <c r="L904" s="8">
        <v>28.360600000000002</v>
      </c>
      <c r="M904" s="8">
        <v>11.6745</v>
      </c>
      <c r="N904" s="8">
        <v>4.7850000000000001</v>
      </c>
      <c r="O904" s="8">
        <v>0.36199999999999999</v>
      </c>
      <c r="P904" s="8">
        <v>1.2509999999999999</v>
      </c>
      <c r="Q904" s="8">
        <v>19.053000000000001</v>
      </c>
      <c r="R904" s="8"/>
    </row>
    <row r="905" spans="1:18" ht="14.25" customHeight="1">
      <c r="A905" s="11">
        <v>68667</v>
      </c>
      <c r="B905" s="7">
        <f>CHOOSE( CONTROL!$C$37, 32.3358, 32.3347) * CHOOSE(CONTROL!$C$20, $D$12, 100%, $F$12)</f>
        <v>32.335799999999999</v>
      </c>
      <c r="C905" s="7">
        <f>CHOOSE( CONTROL!$C$37, 32.3409, 32.3398) * CHOOSE(CONTROL!$C$20, $D$12, 100%, $F$12)</f>
        <v>32.340899999999998</v>
      </c>
      <c r="D905" s="7">
        <f>CHOOSE( CONTROL!$C$37, 32.3209, 32.3198) * CHOOSE( CONTROL!$C$20, $D$12, 100%, $F$12)</f>
        <v>32.320900000000002</v>
      </c>
      <c r="E905" s="10">
        <f>CHOOSE( CONTROL!$C$37, 32.3277, 32.3266) * CHOOSE( CONTROL!$C$20, $D$12, 100%, $F$12)</f>
        <v>32.3277</v>
      </c>
      <c r="F905" s="4">
        <f>CHOOSE( CONTROL!$C$37, 32.9884, 32.9873) * CHOOSE(CONTROL!$C$20, $D$12, 100%, $F$12)</f>
        <v>32.988399999999999</v>
      </c>
      <c r="G905" s="7">
        <f>CHOOSE( CONTROL!$C$37, 31.9185, 31.9174) * CHOOSE( CONTROL!$C$20, $D$12, 100%, $F$12)</f>
        <v>31.918500000000002</v>
      </c>
      <c r="H905" s="4">
        <f>CHOOSE( CONTROL!$C$37, 32.802, 32.8009) * CHOOSE(CONTROL!$C$20, $D$12, 100%, $F$12)</f>
        <v>32.802</v>
      </c>
      <c r="I905" s="7">
        <f>CHOOSE( CONTROL!$C$37, 31.524, 31.523) * CHOOSE(CONTROL!$C$20, $D$12, 100%, $F$12)</f>
        <v>31.524000000000001</v>
      </c>
      <c r="J905" s="4">
        <f>CHOOSE( CONTROL!$C$37, 31.3274, 31.3264) * CHOOSE(CONTROL!$C$20, $D$12, 100%, $F$12)</f>
        <v>31.327400000000001</v>
      </c>
      <c r="K905" s="4"/>
      <c r="L905" s="8">
        <v>29.306000000000001</v>
      </c>
      <c r="M905" s="8">
        <v>12.063700000000001</v>
      </c>
      <c r="N905" s="8">
        <v>4.9444999999999997</v>
      </c>
      <c r="O905" s="8">
        <v>0.37409999999999999</v>
      </c>
      <c r="P905" s="8">
        <v>1.2927</v>
      </c>
      <c r="Q905" s="8">
        <v>19.688099999999999</v>
      </c>
      <c r="R905" s="8"/>
    </row>
    <row r="906" spans="1:18" ht="14.25" customHeight="1">
      <c r="A906" s="11">
        <v>68698</v>
      </c>
      <c r="B906" s="7">
        <f>CHOOSE( CONTROL!$C$37, 33.2901, 33.289) * CHOOSE(CONTROL!$C$20, $D$12, 100%, $F$12)</f>
        <v>33.290100000000002</v>
      </c>
      <c r="C906" s="7">
        <f>CHOOSE( CONTROL!$C$37, 33.2952, 33.2941) * CHOOSE(CONTROL!$C$20, $D$12, 100%, $F$12)</f>
        <v>33.295200000000001</v>
      </c>
      <c r="D906" s="7">
        <f>CHOOSE( CONTROL!$C$37, 33.2883, 33.2872) * CHOOSE( CONTROL!$C$20, $D$12, 100%, $F$12)</f>
        <v>33.2883</v>
      </c>
      <c r="E906" s="10">
        <f>CHOOSE( CONTROL!$C$37, 33.2903, 33.2892) * CHOOSE( CONTROL!$C$20, $D$12, 100%, $F$12)</f>
        <v>33.290300000000002</v>
      </c>
      <c r="F906" s="4">
        <f>CHOOSE( CONTROL!$C$37, 33.9426, 33.9415) * CHOOSE(CONTROL!$C$20, $D$12, 100%, $F$12)</f>
        <v>33.942599999999999</v>
      </c>
      <c r="G906" s="7">
        <f>CHOOSE( CONTROL!$C$37, 32.864, 32.8629) * CHOOSE( CONTROL!$C$20, $D$12, 100%, $F$12)</f>
        <v>32.863999999999997</v>
      </c>
      <c r="H906" s="4">
        <f>CHOOSE( CONTROL!$C$37, 33.7429, 33.7419) * CHOOSE(CONTROL!$C$20, $D$12, 100%, $F$12)</f>
        <v>33.742899999999999</v>
      </c>
      <c r="I906" s="7">
        <f>CHOOSE( CONTROL!$C$37, 32.4198, 32.4187) * CHOOSE(CONTROL!$C$20, $D$12, 100%, $F$12)</f>
        <v>32.419800000000002</v>
      </c>
      <c r="J906" s="4">
        <f>CHOOSE( CONTROL!$C$37, 32.2515, 32.2504) * CHOOSE(CONTROL!$C$20, $D$12, 100%, $F$12)</f>
        <v>32.2515</v>
      </c>
      <c r="K906" s="4"/>
      <c r="L906" s="8">
        <v>29.306000000000001</v>
      </c>
      <c r="M906" s="8">
        <v>12.063700000000001</v>
      </c>
      <c r="N906" s="8">
        <v>4.9444999999999997</v>
      </c>
      <c r="O906" s="8">
        <v>0.37409999999999999</v>
      </c>
      <c r="P906" s="8">
        <v>1.2927</v>
      </c>
      <c r="Q906" s="8">
        <v>19.688099999999999</v>
      </c>
      <c r="R906" s="8"/>
    </row>
    <row r="907" spans="1:18" ht="14.25" customHeight="1">
      <c r="A907" s="11">
        <v>68727</v>
      </c>
      <c r="B907" s="7">
        <f>CHOOSE( CONTROL!$C$37, 31.1369, 31.1358) * CHOOSE(CONTROL!$C$20, $D$12, 100%, $F$12)</f>
        <v>31.136900000000001</v>
      </c>
      <c r="C907" s="7">
        <f>CHOOSE( CONTROL!$C$37, 31.142, 31.1409) * CHOOSE(CONTROL!$C$20, $D$12, 100%, $F$12)</f>
        <v>31.141999999999999</v>
      </c>
      <c r="D907" s="7">
        <f>CHOOSE( CONTROL!$C$37, 31.135, 31.1339) * CHOOSE( CONTROL!$C$20, $D$12, 100%, $F$12)</f>
        <v>31.135000000000002</v>
      </c>
      <c r="E907" s="10">
        <f>CHOOSE( CONTROL!$C$37, 31.137, 31.1359) * CHOOSE( CONTROL!$C$20, $D$12, 100%, $F$12)</f>
        <v>31.137</v>
      </c>
      <c r="F907" s="4">
        <f>CHOOSE( CONTROL!$C$37, 31.7894, 31.7884) * CHOOSE(CONTROL!$C$20, $D$12, 100%, $F$12)</f>
        <v>31.789400000000001</v>
      </c>
      <c r="G907" s="7">
        <f>CHOOSE( CONTROL!$C$37, 30.7407, 30.7397) * CHOOSE( CONTROL!$C$20, $D$12, 100%, $F$12)</f>
        <v>30.7407</v>
      </c>
      <c r="H907" s="4">
        <f>CHOOSE( CONTROL!$C$37, 31.6198, 31.6187) * CHOOSE(CONTROL!$C$20, $D$12, 100%, $F$12)</f>
        <v>31.619800000000001</v>
      </c>
      <c r="I907" s="7">
        <f>CHOOSE( CONTROL!$C$37, 30.3336, 30.3325) * CHOOSE(CONTROL!$C$20, $D$12, 100%, $F$12)</f>
        <v>30.333600000000001</v>
      </c>
      <c r="J907" s="4">
        <f>CHOOSE( CONTROL!$C$37, 30.1665, 30.1655) * CHOOSE(CONTROL!$C$20, $D$12, 100%, $F$12)</f>
        <v>30.166499999999999</v>
      </c>
      <c r="K907" s="4"/>
      <c r="L907" s="8">
        <v>27.415299999999998</v>
      </c>
      <c r="M907" s="8">
        <v>11.285299999999999</v>
      </c>
      <c r="N907" s="8">
        <v>4.6254999999999997</v>
      </c>
      <c r="O907" s="8">
        <v>0.34989999999999999</v>
      </c>
      <c r="P907" s="8">
        <v>1.2093</v>
      </c>
      <c r="Q907" s="8">
        <v>18.417899999999999</v>
      </c>
      <c r="R907" s="8"/>
    </row>
    <row r="908" spans="1:18" ht="14.25" customHeight="1">
      <c r="A908" s="11">
        <v>68758</v>
      </c>
      <c r="B908" s="7">
        <f>CHOOSE( CONTROL!$C$37, 30.4737, 30.4726) * CHOOSE(CONTROL!$C$20, $D$12, 100%, $F$12)</f>
        <v>30.473700000000001</v>
      </c>
      <c r="C908" s="7">
        <f>CHOOSE( CONTROL!$C$37, 30.4788, 30.4777) * CHOOSE(CONTROL!$C$20, $D$12, 100%, $F$12)</f>
        <v>30.4788</v>
      </c>
      <c r="D908" s="7">
        <f>CHOOSE( CONTROL!$C$37, 30.4712, 30.4701) * CHOOSE( CONTROL!$C$20, $D$12, 100%, $F$12)</f>
        <v>30.4712</v>
      </c>
      <c r="E908" s="10">
        <f>CHOOSE( CONTROL!$C$37, 30.4734, 30.4723) * CHOOSE( CONTROL!$C$20, $D$12, 100%, $F$12)</f>
        <v>30.473400000000002</v>
      </c>
      <c r="F908" s="4">
        <f>CHOOSE( CONTROL!$C$37, 31.1263, 31.1252) * CHOOSE(CONTROL!$C$20, $D$12, 100%, $F$12)</f>
        <v>31.126300000000001</v>
      </c>
      <c r="G908" s="7">
        <f>CHOOSE( CONTROL!$C$37, 30.0864, 30.0853) * CHOOSE( CONTROL!$C$20, $D$12, 100%, $F$12)</f>
        <v>30.086400000000001</v>
      </c>
      <c r="H908" s="4">
        <f>CHOOSE( CONTROL!$C$37, 30.9659, 30.9648) * CHOOSE(CONTROL!$C$20, $D$12, 100%, $F$12)</f>
        <v>30.965900000000001</v>
      </c>
      <c r="I908" s="7">
        <f>CHOOSE( CONTROL!$C$37, 29.6892, 29.6881) * CHOOSE(CONTROL!$C$20, $D$12, 100%, $F$12)</f>
        <v>29.6892</v>
      </c>
      <c r="J908" s="4">
        <f>CHOOSE( CONTROL!$C$37, 29.5244, 29.5233) * CHOOSE(CONTROL!$C$20, $D$12, 100%, $F$12)</f>
        <v>29.5244</v>
      </c>
      <c r="K908" s="4"/>
      <c r="L908" s="8">
        <v>29.306000000000001</v>
      </c>
      <c r="M908" s="8">
        <v>12.063700000000001</v>
      </c>
      <c r="N908" s="8">
        <v>4.9444999999999997</v>
      </c>
      <c r="O908" s="8">
        <v>0.37409999999999999</v>
      </c>
      <c r="P908" s="8">
        <v>1.2927</v>
      </c>
      <c r="Q908" s="8">
        <v>19.688099999999999</v>
      </c>
      <c r="R908" s="8"/>
    </row>
    <row r="909" spans="1:18" ht="14.25" customHeight="1">
      <c r="A909" s="11">
        <v>68788</v>
      </c>
      <c r="B909" s="7">
        <f>CHOOSE( CONTROL!$C$37, 30.9379, 30.9368) * CHOOSE(CONTROL!$C$20, $D$12, 100%, $F$12)</f>
        <v>30.937899999999999</v>
      </c>
      <c r="C909" s="7">
        <f>CHOOSE( CONTROL!$C$37, 30.9424, 30.9413) * CHOOSE(CONTROL!$C$20, $D$12, 100%, $F$12)</f>
        <v>30.942399999999999</v>
      </c>
      <c r="D909" s="7">
        <f>CHOOSE( CONTROL!$C$37, 30.9543, 30.9532) * CHOOSE( CONTROL!$C$20, $D$12, 100%, $F$12)</f>
        <v>30.9543</v>
      </c>
      <c r="E909" s="10">
        <f>CHOOSE( CONTROL!$C$37, 30.9499, 30.9488) * CHOOSE( CONTROL!$C$20, $D$12, 100%, $F$12)</f>
        <v>30.9499</v>
      </c>
      <c r="F909" s="4">
        <f>CHOOSE( CONTROL!$C$37, 31.6646, 31.6635) * CHOOSE(CONTROL!$C$20, $D$12, 100%, $F$12)</f>
        <v>31.6646</v>
      </c>
      <c r="G909" s="7">
        <f>CHOOSE( CONTROL!$C$37, 30.5516, 30.5505) * CHOOSE( CONTROL!$C$20, $D$12, 100%, $F$12)</f>
        <v>30.551600000000001</v>
      </c>
      <c r="H909" s="4">
        <f>CHOOSE( CONTROL!$C$37, 31.4966, 31.4956) * CHOOSE(CONTROL!$C$20, $D$12, 100%, $F$12)</f>
        <v>31.496600000000001</v>
      </c>
      <c r="I909" s="7">
        <f>CHOOSE( CONTROL!$C$37, 30.1107, 30.1096) * CHOOSE(CONTROL!$C$20, $D$12, 100%, $F$12)</f>
        <v>30.110700000000001</v>
      </c>
      <c r="J909" s="4">
        <f>CHOOSE( CONTROL!$C$37, 29.9731, 29.972) * CHOOSE(CONTROL!$C$20, $D$12, 100%, $F$12)</f>
        <v>29.973099999999999</v>
      </c>
      <c r="K909" s="4"/>
      <c r="L909" s="8">
        <v>30.092199999999998</v>
      </c>
      <c r="M909" s="8">
        <v>11.6745</v>
      </c>
      <c r="N909" s="8">
        <v>4.7850000000000001</v>
      </c>
      <c r="O909" s="8">
        <v>0.36199999999999999</v>
      </c>
      <c r="P909" s="8">
        <v>1.2509999999999999</v>
      </c>
      <c r="Q909" s="8">
        <v>19.053000000000001</v>
      </c>
      <c r="R909" s="8"/>
    </row>
    <row r="910" spans="1:18" ht="14.25" customHeight="1">
      <c r="A910" s="11">
        <v>68819</v>
      </c>
      <c r="B910" s="7">
        <f>CHOOSE( CONTROL!$C$37, 31.7646, 31.7629) * CHOOSE(CONTROL!$C$20, $D$12, 100%, $F$12)</f>
        <v>31.764600000000002</v>
      </c>
      <c r="C910" s="7">
        <f>CHOOSE( CONTROL!$C$37, 31.7726, 31.7709) * CHOOSE(CONTROL!$C$20, $D$12, 100%, $F$12)</f>
        <v>31.772600000000001</v>
      </c>
      <c r="D910" s="7">
        <f>CHOOSE( CONTROL!$C$37, 31.7783, 31.7766) * CHOOSE( CONTROL!$C$20, $D$12, 100%, $F$12)</f>
        <v>31.778300000000002</v>
      </c>
      <c r="E910" s="10">
        <f>CHOOSE( CONTROL!$C$37, 31.775, 31.7733) * CHOOSE( CONTROL!$C$20, $D$12, 100%, $F$12)</f>
        <v>31.774999999999999</v>
      </c>
      <c r="F910" s="4">
        <f>CHOOSE( CONTROL!$C$37, 32.4899, 32.4882) * CHOOSE(CONTROL!$C$20, $D$12, 100%, $F$12)</f>
        <v>32.489899999999999</v>
      </c>
      <c r="G910" s="7">
        <f>CHOOSE( CONTROL!$C$37, 31.3654, 31.3637) * CHOOSE( CONTROL!$C$20, $D$12, 100%, $F$12)</f>
        <v>31.365400000000001</v>
      </c>
      <c r="H910" s="4">
        <f>CHOOSE( CONTROL!$C$37, 32.3105, 32.3088) * CHOOSE(CONTROL!$C$20, $D$12, 100%, $F$12)</f>
        <v>32.310499999999998</v>
      </c>
      <c r="I910" s="7">
        <f>CHOOSE( CONTROL!$C$37, 30.91, 30.9084) * CHOOSE(CONTROL!$C$20, $D$12, 100%, $F$12)</f>
        <v>30.91</v>
      </c>
      <c r="J910" s="4">
        <f>CHOOSE( CONTROL!$C$37, 30.7723, 30.7707) * CHOOSE(CONTROL!$C$20, $D$12, 100%, $F$12)</f>
        <v>30.772300000000001</v>
      </c>
      <c r="K910" s="4"/>
      <c r="L910" s="8">
        <v>30.7165</v>
      </c>
      <c r="M910" s="8">
        <v>12.063700000000001</v>
      </c>
      <c r="N910" s="8">
        <v>4.9444999999999997</v>
      </c>
      <c r="O910" s="8">
        <v>0.37409999999999999</v>
      </c>
      <c r="P910" s="8">
        <v>1.2927</v>
      </c>
      <c r="Q910" s="8">
        <v>19.688099999999999</v>
      </c>
      <c r="R910" s="8"/>
    </row>
    <row r="911" spans="1:18" ht="14.25" customHeight="1">
      <c r="A911" s="11">
        <v>68849</v>
      </c>
      <c r="B911" s="7">
        <f>CHOOSE( CONTROL!$C$37, 31.2537, 31.252) * CHOOSE(CONTROL!$C$20, $D$12, 100%, $F$12)</f>
        <v>31.253699999999998</v>
      </c>
      <c r="C911" s="7">
        <f>CHOOSE( CONTROL!$C$37, 31.2617, 31.26) * CHOOSE(CONTROL!$C$20, $D$12, 100%, $F$12)</f>
        <v>31.261700000000001</v>
      </c>
      <c r="D911" s="7">
        <f>CHOOSE( CONTROL!$C$37, 31.2676, 31.266) * CHOOSE( CONTROL!$C$20, $D$12, 100%, $F$12)</f>
        <v>31.267600000000002</v>
      </c>
      <c r="E911" s="10">
        <f>CHOOSE( CONTROL!$C$37, 31.2642, 31.2626) * CHOOSE( CONTROL!$C$20, $D$12, 100%, $F$12)</f>
        <v>31.264199999999999</v>
      </c>
      <c r="F911" s="4">
        <f>CHOOSE( CONTROL!$C$37, 31.979, 31.9773) * CHOOSE(CONTROL!$C$20, $D$12, 100%, $F$12)</f>
        <v>31.978999999999999</v>
      </c>
      <c r="G911" s="7">
        <f>CHOOSE( CONTROL!$C$37, 30.8618, 30.8602) * CHOOSE( CONTROL!$C$20, $D$12, 100%, $F$12)</f>
        <v>30.861799999999999</v>
      </c>
      <c r="H911" s="4">
        <f>CHOOSE( CONTROL!$C$37, 31.8067, 31.805) * CHOOSE(CONTROL!$C$20, $D$12, 100%, $F$12)</f>
        <v>31.806699999999999</v>
      </c>
      <c r="I911" s="7">
        <f>CHOOSE( CONTROL!$C$37, 30.416, 30.4143) * CHOOSE(CONTROL!$C$20, $D$12, 100%, $F$12)</f>
        <v>30.416</v>
      </c>
      <c r="J911" s="4">
        <f>CHOOSE( CONTROL!$C$37, 30.2775, 30.2759) * CHOOSE(CONTROL!$C$20, $D$12, 100%, $F$12)</f>
        <v>30.2775</v>
      </c>
      <c r="K911" s="4"/>
      <c r="L911" s="8">
        <v>29.7257</v>
      </c>
      <c r="M911" s="8">
        <v>11.6745</v>
      </c>
      <c r="N911" s="8">
        <v>4.7850000000000001</v>
      </c>
      <c r="O911" s="8">
        <v>0.36199999999999999</v>
      </c>
      <c r="P911" s="8">
        <v>1.2509999999999999</v>
      </c>
      <c r="Q911" s="8">
        <v>19.053000000000001</v>
      </c>
      <c r="R911" s="8"/>
    </row>
    <row r="912" spans="1:18" ht="14.25" customHeight="1">
      <c r="A912" s="11">
        <v>68880</v>
      </c>
      <c r="B912" s="7">
        <f>CHOOSE( CONTROL!$C$37, 32.5991, 32.5975) * CHOOSE(CONTROL!$C$20, $D$12, 100%, $F$12)</f>
        <v>32.5991</v>
      </c>
      <c r="C912" s="7">
        <f>CHOOSE( CONTROL!$C$37, 32.6071, 32.6055) * CHOOSE(CONTROL!$C$20, $D$12, 100%, $F$12)</f>
        <v>32.607100000000003</v>
      </c>
      <c r="D912" s="7">
        <f>CHOOSE( CONTROL!$C$37, 32.6134, 32.6117) * CHOOSE( CONTROL!$C$20, $D$12, 100%, $F$12)</f>
        <v>32.613399999999999</v>
      </c>
      <c r="E912" s="10">
        <f>CHOOSE( CONTROL!$C$37, 32.6099, 32.6082) * CHOOSE( CONTROL!$C$20, $D$12, 100%, $F$12)</f>
        <v>32.609900000000003</v>
      </c>
      <c r="F912" s="4">
        <f>CHOOSE( CONTROL!$C$37, 33.3244, 33.3227) * CHOOSE(CONTROL!$C$20, $D$12, 100%, $F$12)</f>
        <v>33.324399999999997</v>
      </c>
      <c r="G912" s="7">
        <f>CHOOSE( CONTROL!$C$37, 32.1887, 32.1871) * CHOOSE( CONTROL!$C$20, $D$12, 100%, $F$12)</f>
        <v>32.188699999999997</v>
      </c>
      <c r="H912" s="4">
        <f>CHOOSE( CONTROL!$C$37, 33.1333, 33.1317) * CHOOSE(CONTROL!$C$20, $D$12, 100%, $F$12)</f>
        <v>33.133299999999998</v>
      </c>
      <c r="I912" s="7">
        <f>CHOOSE( CONTROL!$C$37, 31.7204, 31.7188) * CHOOSE(CONTROL!$C$20, $D$12, 100%, $F$12)</f>
        <v>31.720400000000001</v>
      </c>
      <c r="J912" s="4">
        <f>CHOOSE( CONTROL!$C$37, 31.5803, 31.5787) * CHOOSE(CONTROL!$C$20, $D$12, 100%, $F$12)</f>
        <v>31.580300000000001</v>
      </c>
      <c r="K912" s="4"/>
      <c r="L912" s="8">
        <v>30.7165</v>
      </c>
      <c r="M912" s="8">
        <v>12.063700000000001</v>
      </c>
      <c r="N912" s="8">
        <v>4.9444999999999997</v>
      </c>
      <c r="O912" s="8">
        <v>0.37409999999999999</v>
      </c>
      <c r="P912" s="8">
        <v>1.2927</v>
      </c>
      <c r="Q912" s="8">
        <v>19.688099999999999</v>
      </c>
      <c r="R912" s="8"/>
    </row>
    <row r="913" spans="1:18" ht="14.25" customHeight="1">
      <c r="A913" s="11">
        <v>68911</v>
      </c>
      <c r="B913" s="7">
        <f>CHOOSE( CONTROL!$C$37, 30.0817, 30.08) * CHOOSE(CONTROL!$C$20, $D$12, 100%, $F$12)</f>
        <v>30.081700000000001</v>
      </c>
      <c r="C913" s="7">
        <f>CHOOSE( CONTROL!$C$37, 30.0897, 30.088) * CHOOSE(CONTROL!$C$20, $D$12, 100%, $F$12)</f>
        <v>30.089700000000001</v>
      </c>
      <c r="D913" s="7">
        <f>CHOOSE( CONTROL!$C$37, 30.096, 30.0943) * CHOOSE( CONTROL!$C$20, $D$12, 100%, $F$12)</f>
        <v>30.096</v>
      </c>
      <c r="E913" s="10">
        <f>CHOOSE( CONTROL!$C$37, 30.0925, 30.0908) * CHOOSE( CONTROL!$C$20, $D$12, 100%, $F$12)</f>
        <v>30.092500000000001</v>
      </c>
      <c r="F913" s="4">
        <f>CHOOSE( CONTROL!$C$37, 30.807, 30.8053) * CHOOSE(CONTROL!$C$20, $D$12, 100%, $F$12)</f>
        <v>30.806999999999999</v>
      </c>
      <c r="G913" s="7">
        <f>CHOOSE( CONTROL!$C$37, 29.7064, 29.7048) * CHOOSE( CONTROL!$C$20, $D$12, 100%, $F$12)</f>
        <v>29.706399999999999</v>
      </c>
      <c r="H913" s="4">
        <f>CHOOSE( CONTROL!$C$37, 30.651, 30.6494) * CHOOSE(CONTROL!$C$20, $D$12, 100%, $F$12)</f>
        <v>30.651</v>
      </c>
      <c r="I913" s="7">
        <f>CHOOSE( CONTROL!$C$37, 29.2819, 29.2802) * CHOOSE(CONTROL!$C$20, $D$12, 100%, $F$12)</f>
        <v>29.2819</v>
      </c>
      <c r="J913" s="4">
        <f>CHOOSE( CONTROL!$C$37, 29.1427, 29.1411) * CHOOSE(CONTROL!$C$20, $D$12, 100%, $F$12)</f>
        <v>29.142700000000001</v>
      </c>
      <c r="K913" s="4"/>
      <c r="L913" s="8">
        <v>30.7165</v>
      </c>
      <c r="M913" s="8">
        <v>12.063700000000001</v>
      </c>
      <c r="N913" s="8">
        <v>4.9444999999999997</v>
      </c>
      <c r="O913" s="8">
        <v>0.37409999999999999</v>
      </c>
      <c r="P913" s="8">
        <v>1.2927</v>
      </c>
      <c r="Q913" s="8">
        <v>19.688099999999999</v>
      </c>
      <c r="R913" s="8"/>
    </row>
    <row r="914" spans="1:18" ht="14.25" customHeight="1">
      <c r="A914" s="11">
        <v>68941</v>
      </c>
      <c r="B914" s="7">
        <f>CHOOSE( CONTROL!$C$37, 29.4513, 29.4496) * CHOOSE(CONTROL!$C$20, $D$12, 100%, $F$12)</f>
        <v>29.4513</v>
      </c>
      <c r="C914" s="7">
        <f>CHOOSE( CONTROL!$C$37, 29.4593, 29.4576) * CHOOSE(CONTROL!$C$20, $D$12, 100%, $F$12)</f>
        <v>29.459299999999999</v>
      </c>
      <c r="D914" s="7">
        <f>CHOOSE( CONTROL!$C$37, 29.4655, 29.4638) * CHOOSE( CONTROL!$C$20, $D$12, 100%, $F$12)</f>
        <v>29.465499999999999</v>
      </c>
      <c r="E914" s="10">
        <f>CHOOSE( CONTROL!$C$37, 29.462, 29.4603) * CHOOSE( CONTROL!$C$20, $D$12, 100%, $F$12)</f>
        <v>29.462</v>
      </c>
      <c r="F914" s="4">
        <f>CHOOSE( CONTROL!$C$37, 30.1766, 30.1749) * CHOOSE(CONTROL!$C$20, $D$12, 100%, $F$12)</f>
        <v>30.176600000000001</v>
      </c>
      <c r="G914" s="7">
        <f>CHOOSE( CONTROL!$C$37, 29.0847, 29.0831) * CHOOSE( CONTROL!$C$20, $D$12, 100%, $F$12)</f>
        <v>29.084700000000002</v>
      </c>
      <c r="H914" s="4">
        <f>CHOOSE( CONTROL!$C$37, 30.0294, 30.0278) * CHOOSE(CONTROL!$C$20, $D$12, 100%, $F$12)</f>
        <v>30.029399999999999</v>
      </c>
      <c r="I914" s="7">
        <f>CHOOSE( CONTROL!$C$37, 28.6708, 28.6691) * CHOOSE(CONTROL!$C$20, $D$12, 100%, $F$12)</f>
        <v>28.6708</v>
      </c>
      <c r="J914" s="4">
        <f>CHOOSE( CONTROL!$C$37, 28.5323, 28.5307) * CHOOSE(CONTROL!$C$20, $D$12, 100%, $F$12)</f>
        <v>28.532299999999999</v>
      </c>
      <c r="K914" s="4"/>
      <c r="L914" s="8">
        <v>29.7257</v>
      </c>
      <c r="M914" s="8">
        <v>11.6745</v>
      </c>
      <c r="N914" s="8">
        <v>4.7850000000000001</v>
      </c>
      <c r="O914" s="8">
        <v>0.36199999999999999</v>
      </c>
      <c r="P914" s="8">
        <v>1.2509999999999999</v>
      </c>
      <c r="Q914" s="8">
        <v>19.053000000000001</v>
      </c>
      <c r="R914" s="8"/>
    </row>
    <row r="915" spans="1:18" ht="14.25" customHeight="1">
      <c r="A915" s="11">
        <v>68972</v>
      </c>
      <c r="B915" s="7">
        <f>CHOOSE( CONTROL!$C$37, 30.7579, 30.7568) * CHOOSE(CONTROL!$C$20, $D$12, 100%, $F$12)</f>
        <v>30.757899999999999</v>
      </c>
      <c r="C915" s="7">
        <f>CHOOSE( CONTROL!$C$37, 30.7633, 30.7622) * CHOOSE(CONTROL!$C$20, $D$12, 100%, $F$12)</f>
        <v>30.763300000000001</v>
      </c>
      <c r="D915" s="7">
        <f>CHOOSE( CONTROL!$C$37, 30.7753, 30.7742) * CHOOSE( CONTROL!$C$20, $D$12, 100%, $F$12)</f>
        <v>30.775300000000001</v>
      </c>
      <c r="E915" s="10">
        <f>CHOOSE( CONTROL!$C$37, 30.7708, 30.7697) * CHOOSE( CONTROL!$C$20, $D$12, 100%, $F$12)</f>
        <v>30.770800000000001</v>
      </c>
      <c r="F915" s="4">
        <f>CHOOSE( CONTROL!$C$37, 31.4849, 31.4838) * CHOOSE(CONTROL!$C$20, $D$12, 100%, $F$12)</f>
        <v>31.4849</v>
      </c>
      <c r="G915" s="7">
        <f>CHOOSE( CONTROL!$C$37, 30.375, 30.3739) * CHOOSE( CONTROL!$C$20, $D$12, 100%, $F$12)</f>
        <v>30.375</v>
      </c>
      <c r="H915" s="4">
        <f>CHOOSE( CONTROL!$C$37, 31.3195, 31.3184) * CHOOSE(CONTROL!$C$20, $D$12, 100%, $F$12)</f>
        <v>31.319500000000001</v>
      </c>
      <c r="I915" s="7">
        <f>CHOOSE( CONTROL!$C$37, 29.9389, 29.9379) * CHOOSE(CONTROL!$C$20, $D$12, 100%, $F$12)</f>
        <v>29.9389</v>
      </c>
      <c r="J915" s="4">
        <f>CHOOSE( CONTROL!$C$37, 29.7991, 29.7981) * CHOOSE(CONTROL!$C$20, $D$12, 100%, $F$12)</f>
        <v>29.799099999999999</v>
      </c>
      <c r="K915" s="4"/>
      <c r="L915" s="8">
        <v>31.095300000000002</v>
      </c>
      <c r="M915" s="8">
        <v>12.063700000000001</v>
      </c>
      <c r="N915" s="8">
        <v>4.9444999999999997</v>
      </c>
      <c r="O915" s="8">
        <v>0.37409999999999999</v>
      </c>
      <c r="P915" s="8">
        <v>1.2927</v>
      </c>
      <c r="Q915" s="8">
        <v>19.688099999999999</v>
      </c>
      <c r="R915" s="8"/>
    </row>
    <row r="916" spans="1:18" ht="14.25" customHeight="1">
      <c r="A916" s="11">
        <v>69002</v>
      </c>
      <c r="B916" s="7">
        <f>CHOOSE( CONTROL!$C$37, 33.1735, 33.1724) * CHOOSE(CONTROL!$C$20, $D$12, 100%, $F$12)</f>
        <v>33.173499999999997</v>
      </c>
      <c r="C916" s="7">
        <f>CHOOSE( CONTROL!$C$37, 33.1786, 33.1775) * CHOOSE(CONTROL!$C$20, $D$12, 100%, $F$12)</f>
        <v>33.178600000000003</v>
      </c>
      <c r="D916" s="7">
        <f>CHOOSE( CONTROL!$C$37, 33.1571, 33.156) * CHOOSE( CONTROL!$C$20, $D$12, 100%, $F$12)</f>
        <v>33.1571</v>
      </c>
      <c r="E916" s="10">
        <f>CHOOSE( CONTROL!$C$37, 33.1644, 33.1633) * CHOOSE( CONTROL!$C$20, $D$12, 100%, $F$12)</f>
        <v>33.164400000000001</v>
      </c>
      <c r="F916" s="4">
        <f>CHOOSE( CONTROL!$C$37, 33.826, 33.825) * CHOOSE(CONTROL!$C$20, $D$12, 100%, $F$12)</f>
        <v>33.826000000000001</v>
      </c>
      <c r="G916" s="7">
        <f>CHOOSE( CONTROL!$C$37, 32.7434, 32.7423) * CHOOSE( CONTROL!$C$20, $D$12, 100%, $F$12)</f>
        <v>32.743400000000001</v>
      </c>
      <c r="H916" s="4">
        <f>CHOOSE( CONTROL!$C$37, 33.628, 33.6269) * CHOOSE(CONTROL!$C$20, $D$12, 100%, $F$12)</f>
        <v>33.628</v>
      </c>
      <c r="I916" s="7">
        <f>CHOOSE( CONTROL!$C$37, 32.3307, 32.3296) * CHOOSE(CONTROL!$C$20, $D$12, 100%, $F$12)</f>
        <v>32.3307</v>
      </c>
      <c r="J916" s="4">
        <f>CHOOSE( CONTROL!$C$37, 32.1386, 32.1375) * CHOOSE(CONTROL!$C$20, $D$12, 100%, $F$12)</f>
        <v>32.138599999999997</v>
      </c>
      <c r="K916" s="4"/>
      <c r="L916" s="8">
        <v>28.360600000000002</v>
      </c>
      <c r="M916" s="8">
        <v>11.6745</v>
      </c>
      <c r="N916" s="8">
        <v>4.7850000000000001</v>
      </c>
      <c r="O916" s="8">
        <v>0.36199999999999999</v>
      </c>
      <c r="P916" s="8">
        <v>1.2509999999999999</v>
      </c>
      <c r="Q916" s="8">
        <v>19.053000000000001</v>
      </c>
      <c r="R916" s="8"/>
    </row>
    <row r="917" spans="1:18" ht="14.25" customHeight="1">
      <c r="A917" s="11">
        <v>69033</v>
      </c>
      <c r="B917" s="7">
        <f>CHOOSE( CONTROL!$C$37, 33.1131, 33.1121) * CHOOSE(CONTROL!$C$20, $D$12, 100%, $F$12)</f>
        <v>33.113100000000003</v>
      </c>
      <c r="C917" s="7">
        <f>CHOOSE( CONTROL!$C$37, 33.1182, 33.1172) * CHOOSE(CONTROL!$C$20, $D$12, 100%, $F$12)</f>
        <v>33.118200000000002</v>
      </c>
      <c r="D917" s="7">
        <f>CHOOSE( CONTROL!$C$37, 33.0983, 33.0972) * CHOOSE( CONTROL!$C$20, $D$12, 100%, $F$12)</f>
        <v>33.098300000000002</v>
      </c>
      <c r="E917" s="10">
        <f>CHOOSE( CONTROL!$C$37, 33.105, 33.104) * CHOOSE( CONTROL!$C$20, $D$12, 100%, $F$12)</f>
        <v>33.104999999999997</v>
      </c>
      <c r="F917" s="4">
        <f>CHOOSE( CONTROL!$C$37, 33.7657, 33.7646) * CHOOSE(CONTROL!$C$20, $D$12, 100%, $F$12)</f>
        <v>33.765700000000002</v>
      </c>
      <c r="G917" s="7">
        <f>CHOOSE( CONTROL!$C$37, 32.685, 32.6839) * CHOOSE( CONTROL!$C$20, $D$12, 100%, $F$12)</f>
        <v>32.685000000000002</v>
      </c>
      <c r="H917" s="4">
        <f>CHOOSE( CONTROL!$C$37, 33.5685, 33.5674) * CHOOSE(CONTROL!$C$20, $D$12, 100%, $F$12)</f>
        <v>33.5685</v>
      </c>
      <c r="I917" s="7">
        <f>CHOOSE( CONTROL!$C$37, 32.2771, 32.276) * CHOOSE(CONTROL!$C$20, $D$12, 100%, $F$12)</f>
        <v>32.277099999999997</v>
      </c>
      <c r="J917" s="4">
        <f>CHOOSE( CONTROL!$C$37, 32.0801, 32.0791) * CHOOSE(CONTROL!$C$20, $D$12, 100%, $F$12)</f>
        <v>32.080100000000002</v>
      </c>
      <c r="K917" s="4"/>
      <c r="L917" s="8">
        <v>29.306000000000001</v>
      </c>
      <c r="M917" s="8">
        <v>12.063700000000001</v>
      </c>
      <c r="N917" s="8">
        <v>4.9444999999999997</v>
      </c>
      <c r="O917" s="8">
        <v>0.37409999999999999</v>
      </c>
      <c r="P917" s="8">
        <v>1.2927</v>
      </c>
      <c r="Q917" s="8">
        <v>19.688099999999999</v>
      </c>
      <c r="R917" s="8"/>
    </row>
    <row r="918" spans="1:18" ht="14.25" customHeight="1">
      <c r="A918" s="11">
        <v>69064</v>
      </c>
      <c r="B918" s="7">
        <f>CHOOSE( CONTROL!$C$37, 34.0904, 34.0893) * CHOOSE(CONTROL!$C$20, $D$12, 100%, $F$12)</f>
        <v>34.090400000000002</v>
      </c>
      <c r="C918" s="7">
        <f>CHOOSE( CONTROL!$C$37, 34.0954, 34.0944) * CHOOSE(CONTROL!$C$20, $D$12, 100%, $F$12)</f>
        <v>34.095399999999998</v>
      </c>
      <c r="D918" s="7">
        <f>CHOOSE( CONTROL!$C$37, 34.0886, 34.0875) * CHOOSE( CONTROL!$C$20, $D$12, 100%, $F$12)</f>
        <v>34.0886</v>
      </c>
      <c r="E918" s="10">
        <f>CHOOSE( CONTROL!$C$37, 34.0906, 34.0895) * CHOOSE( CONTROL!$C$20, $D$12, 100%, $F$12)</f>
        <v>34.090600000000002</v>
      </c>
      <c r="F918" s="4">
        <f>CHOOSE( CONTROL!$C$37, 34.7429, 34.7418) * CHOOSE(CONTROL!$C$20, $D$12, 100%, $F$12)</f>
        <v>34.742899999999999</v>
      </c>
      <c r="G918" s="7">
        <f>CHOOSE( CONTROL!$C$37, 33.6531, 33.652) * CHOOSE( CONTROL!$C$20, $D$12, 100%, $F$12)</f>
        <v>33.653100000000002</v>
      </c>
      <c r="H918" s="4">
        <f>CHOOSE( CONTROL!$C$37, 34.532, 34.531) * CHOOSE(CONTROL!$C$20, $D$12, 100%, $F$12)</f>
        <v>34.531999999999996</v>
      </c>
      <c r="I918" s="7">
        <f>CHOOSE( CONTROL!$C$37, 33.1951, 33.194) * CHOOSE(CONTROL!$C$20, $D$12, 100%, $F$12)</f>
        <v>33.195099999999996</v>
      </c>
      <c r="J918" s="4">
        <f>CHOOSE( CONTROL!$C$37, 33.0263, 33.0253) * CHOOSE(CONTROL!$C$20, $D$12, 100%, $F$12)</f>
        <v>33.026299999999999</v>
      </c>
      <c r="K918" s="4"/>
      <c r="L918" s="8">
        <v>29.306000000000001</v>
      </c>
      <c r="M918" s="8">
        <v>12.063700000000001</v>
      </c>
      <c r="N918" s="8">
        <v>4.9444999999999997</v>
      </c>
      <c r="O918" s="8">
        <v>0.37409999999999999</v>
      </c>
      <c r="P918" s="8">
        <v>1.2927</v>
      </c>
      <c r="Q918" s="8">
        <v>19.688099999999999</v>
      </c>
      <c r="R918" s="8"/>
    </row>
    <row r="919" spans="1:18" ht="14.25" customHeight="1">
      <c r="A919" s="11">
        <v>69092</v>
      </c>
      <c r="B919" s="7">
        <f>CHOOSE( CONTROL!$C$37, 31.8854, 31.8843) * CHOOSE(CONTROL!$C$20, $D$12, 100%, $F$12)</f>
        <v>31.885400000000001</v>
      </c>
      <c r="C919" s="7">
        <f>CHOOSE( CONTROL!$C$37, 31.8905, 31.8894) * CHOOSE(CONTROL!$C$20, $D$12, 100%, $F$12)</f>
        <v>31.890499999999999</v>
      </c>
      <c r="D919" s="7">
        <f>CHOOSE( CONTROL!$C$37, 31.8835, 31.8825) * CHOOSE( CONTROL!$C$20, $D$12, 100%, $F$12)</f>
        <v>31.883500000000002</v>
      </c>
      <c r="E919" s="10">
        <f>CHOOSE( CONTROL!$C$37, 31.8855, 31.8845) * CHOOSE( CONTROL!$C$20, $D$12, 100%, $F$12)</f>
        <v>31.8855</v>
      </c>
      <c r="F919" s="4">
        <f>CHOOSE( CONTROL!$C$37, 32.538, 32.5369) * CHOOSE(CONTROL!$C$20, $D$12, 100%, $F$12)</f>
        <v>32.537999999999997</v>
      </c>
      <c r="G919" s="7">
        <f>CHOOSE( CONTROL!$C$37, 31.4788, 31.4778) * CHOOSE( CONTROL!$C$20, $D$12, 100%, $F$12)</f>
        <v>31.4788</v>
      </c>
      <c r="H919" s="4">
        <f>CHOOSE( CONTROL!$C$37, 32.3579, 32.3568) * CHOOSE(CONTROL!$C$20, $D$12, 100%, $F$12)</f>
        <v>32.357900000000001</v>
      </c>
      <c r="I919" s="7">
        <f>CHOOSE( CONTROL!$C$37, 31.0587, 31.0577) * CHOOSE(CONTROL!$C$20, $D$12, 100%, $F$12)</f>
        <v>31.058700000000002</v>
      </c>
      <c r="J919" s="4">
        <f>CHOOSE( CONTROL!$C$37, 30.8913, 30.8903) * CHOOSE(CONTROL!$C$20, $D$12, 100%, $F$12)</f>
        <v>30.891300000000001</v>
      </c>
      <c r="K919" s="4"/>
      <c r="L919" s="8">
        <v>26.469899999999999</v>
      </c>
      <c r="M919" s="8">
        <v>10.8962</v>
      </c>
      <c r="N919" s="8">
        <v>4.4660000000000002</v>
      </c>
      <c r="O919" s="8">
        <v>0.33789999999999998</v>
      </c>
      <c r="P919" s="8">
        <v>1.1676</v>
      </c>
      <c r="Q919" s="8">
        <v>17.782800000000002</v>
      </c>
      <c r="R919" s="8"/>
    </row>
    <row r="920" spans="1:18" ht="14.25" customHeight="1">
      <c r="A920" s="11">
        <v>69123</v>
      </c>
      <c r="B920" s="7">
        <f>CHOOSE( CONTROL!$C$37, 31.2063, 31.2052) * CHOOSE(CONTROL!$C$20, $D$12, 100%, $F$12)</f>
        <v>31.206299999999999</v>
      </c>
      <c r="C920" s="7">
        <f>CHOOSE( CONTROL!$C$37, 31.2114, 31.2103) * CHOOSE(CONTROL!$C$20, $D$12, 100%, $F$12)</f>
        <v>31.211400000000001</v>
      </c>
      <c r="D920" s="7">
        <f>CHOOSE( CONTROL!$C$37, 31.2038, 31.2027) * CHOOSE( CONTROL!$C$20, $D$12, 100%, $F$12)</f>
        <v>31.203800000000001</v>
      </c>
      <c r="E920" s="10">
        <f>CHOOSE( CONTROL!$C$37, 31.206, 31.2049) * CHOOSE( CONTROL!$C$20, $D$12, 100%, $F$12)</f>
        <v>31.206</v>
      </c>
      <c r="F920" s="4">
        <f>CHOOSE( CONTROL!$C$37, 31.8589, 31.8578) * CHOOSE(CONTROL!$C$20, $D$12, 100%, $F$12)</f>
        <v>31.858899999999998</v>
      </c>
      <c r="G920" s="7">
        <f>CHOOSE( CONTROL!$C$37, 30.8088, 30.8077) * CHOOSE( CONTROL!$C$20, $D$12, 100%, $F$12)</f>
        <v>30.808800000000002</v>
      </c>
      <c r="H920" s="4">
        <f>CHOOSE( CONTROL!$C$37, 31.6882, 31.6872) * CHOOSE(CONTROL!$C$20, $D$12, 100%, $F$12)</f>
        <v>31.688199999999998</v>
      </c>
      <c r="I920" s="7">
        <f>CHOOSE( CONTROL!$C$37, 30.3989, 30.3978) * CHOOSE(CONTROL!$C$20, $D$12, 100%, $F$12)</f>
        <v>30.398900000000001</v>
      </c>
      <c r="J920" s="4">
        <f>CHOOSE( CONTROL!$C$37, 30.2337, 30.2327) * CHOOSE(CONTROL!$C$20, $D$12, 100%, $F$12)</f>
        <v>30.233699999999999</v>
      </c>
      <c r="K920" s="4"/>
      <c r="L920" s="8">
        <v>29.306000000000001</v>
      </c>
      <c r="M920" s="8">
        <v>12.063700000000001</v>
      </c>
      <c r="N920" s="8">
        <v>4.9444999999999997</v>
      </c>
      <c r="O920" s="8">
        <v>0.37409999999999999</v>
      </c>
      <c r="P920" s="8">
        <v>1.2927</v>
      </c>
      <c r="Q920" s="8">
        <v>19.688099999999999</v>
      </c>
      <c r="R920" s="8"/>
    </row>
    <row r="921" spans="1:18" ht="14.25" customHeight="1">
      <c r="A921" s="11">
        <v>69153</v>
      </c>
      <c r="B921" s="7">
        <f>CHOOSE( CONTROL!$C$37, 31.6816, 31.6805) * CHOOSE(CONTROL!$C$20, $D$12, 100%, $F$12)</f>
        <v>31.6816</v>
      </c>
      <c r="C921" s="7">
        <f>CHOOSE( CONTROL!$C$37, 31.6862, 31.6851) * CHOOSE(CONTROL!$C$20, $D$12, 100%, $F$12)</f>
        <v>31.686199999999999</v>
      </c>
      <c r="D921" s="7">
        <f>CHOOSE( CONTROL!$C$37, 31.698, 31.6969) * CHOOSE( CONTROL!$C$20, $D$12, 100%, $F$12)</f>
        <v>31.698</v>
      </c>
      <c r="E921" s="10">
        <f>CHOOSE( CONTROL!$C$37, 31.6936, 31.6925) * CHOOSE( CONTROL!$C$20, $D$12, 100%, $F$12)</f>
        <v>31.6936</v>
      </c>
      <c r="F921" s="4">
        <f>CHOOSE( CONTROL!$C$37, 32.4083, 32.4072) * CHOOSE(CONTROL!$C$20, $D$12, 100%, $F$12)</f>
        <v>32.408299999999997</v>
      </c>
      <c r="G921" s="7">
        <f>CHOOSE( CONTROL!$C$37, 31.2849, 31.2838) * CHOOSE( CONTROL!$C$20, $D$12, 100%, $F$12)</f>
        <v>31.2849</v>
      </c>
      <c r="H921" s="4">
        <f>CHOOSE( CONTROL!$C$37, 32.23, 32.2289) * CHOOSE(CONTROL!$C$20, $D$12, 100%, $F$12)</f>
        <v>32.229999999999997</v>
      </c>
      <c r="I921" s="7">
        <f>CHOOSE( CONTROL!$C$37, 30.8312, 30.8301) * CHOOSE(CONTROL!$C$20, $D$12, 100%, $F$12)</f>
        <v>30.831199999999999</v>
      </c>
      <c r="J921" s="4">
        <f>CHOOSE( CONTROL!$C$37, 30.6932, 30.6922) * CHOOSE(CONTROL!$C$20, $D$12, 100%, $F$12)</f>
        <v>30.693200000000001</v>
      </c>
      <c r="K921" s="4"/>
      <c r="L921" s="8">
        <v>30.092199999999998</v>
      </c>
      <c r="M921" s="8">
        <v>11.6745</v>
      </c>
      <c r="N921" s="8">
        <v>4.7850000000000001</v>
      </c>
      <c r="O921" s="8">
        <v>0.36199999999999999</v>
      </c>
      <c r="P921" s="8">
        <v>1.2509999999999999</v>
      </c>
      <c r="Q921" s="8">
        <v>19.053000000000001</v>
      </c>
      <c r="R921" s="8"/>
    </row>
    <row r="922" spans="1:18" ht="14.25" customHeight="1">
      <c r="A922" s="11">
        <v>69184</v>
      </c>
      <c r="B922" s="7">
        <f>CHOOSE( CONTROL!$C$37, 32.5282, 32.5265) * CHOOSE(CONTROL!$C$20, $D$12, 100%, $F$12)</f>
        <v>32.528199999999998</v>
      </c>
      <c r="C922" s="7">
        <f>CHOOSE( CONTROL!$C$37, 32.5362, 32.5345) * CHOOSE(CONTROL!$C$20, $D$12, 100%, $F$12)</f>
        <v>32.536200000000001</v>
      </c>
      <c r="D922" s="7">
        <f>CHOOSE( CONTROL!$C$37, 32.5418, 32.5401) * CHOOSE( CONTROL!$C$20, $D$12, 100%, $F$12)</f>
        <v>32.541800000000002</v>
      </c>
      <c r="E922" s="10">
        <f>CHOOSE( CONTROL!$C$37, 32.5386, 32.5369) * CHOOSE( CONTROL!$C$20, $D$12, 100%, $F$12)</f>
        <v>32.538600000000002</v>
      </c>
      <c r="F922" s="4">
        <f>CHOOSE( CONTROL!$C$37, 33.2534, 33.2518) * CHOOSE(CONTROL!$C$20, $D$12, 100%, $F$12)</f>
        <v>33.253399999999999</v>
      </c>
      <c r="G922" s="7">
        <f>CHOOSE( CONTROL!$C$37, 32.1183, 32.1166) * CHOOSE( CONTROL!$C$20, $D$12, 100%, $F$12)</f>
        <v>32.118299999999998</v>
      </c>
      <c r="H922" s="4">
        <f>CHOOSE( CONTROL!$C$37, 33.0634, 33.0617) * CHOOSE(CONTROL!$C$20, $D$12, 100%, $F$12)</f>
        <v>33.063400000000001</v>
      </c>
      <c r="I922" s="7">
        <f>CHOOSE( CONTROL!$C$37, 31.6497, 31.6481) * CHOOSE(CONTROL!$C$20, $D$12, 100%, $F$12)</f>
        <v>31.649699999999999</v>
      </c>
      <c r="J922" s="4">
        <f>CHOOSE( CONTROL!$C$37, 31.5116, 31.51) * CHOOSE(CONTROL!$C$20, $D$12, 100%, $F$12)</f>
        <v>31.511600000000001</v>
      </c>
      <c r="K922" s="4"/>
      <c r="L922" s="8">
        <v>30.7165</v>
      </c>
      <c r="M922" s="8">
        <v>12.063700000000001</v>
      </c>
      <c r="N922" s="8">
        <v>4.9444999999999997</v>
      </c>
      <c r="O922" s="8">
        <v>0.37409999999999999</v>
      </c>
      <c r="P922" s="8">
        <v>1.2927</v>
      </c>
      <c r="Q922" s="8">
        <v>19.688099999999999</v>
      </c>
      <c r="R922" s="8"/>
    </row>
    <row r="923" spans="1:18" ht="14.25" customHeight="1">
      <c r="A923" s="11">
        <v>69214</v>
      </c>
      <c r="B923" s="7">
        <f>CHOOSE( CONTROL!$C$37, 32.005, 32.0033) * CHOOSE(CONTROL!$C$20, $D$12, 100%, $F$12)</f>
        <v>32.005000000000003</v>
      </c>
      <c r="C923" s="7">
        <f>CHOOSE( CONTROL!$C$37, 32.013, 32.0113) * CHOOSE(CONTROL!$C$20, $D$12, 100%, $F$12)</f>
        <v>32.012999999999998</v>
      </c>
      <c r="D923" s="7">
        <f>CHOOSE( CONTROL!$C$37, 32.0189, 32.0172) * CHOOSE( CONTROL!$C$20, $D$12, 100%, $F$12)</f>
        <v>32.018900000000002</v>
      </c>
      <c r="E923" s="10">
        <f>CHOOSE( CONTROL!$C$37, 32.0155, 32.0138) * CHOOSE( CONTROL!$C$20, $D$12, 100%, $F$12)</f>
        <v>32.015500000000003</v>
      </c>
      <c r="F923" s="4">
        <f>CHOOSE( CONTROL!$C$37, 32.7302, 32.7286) * CHOOSE(CONTROL!$C$20, $D$12, 100%, $F$12)</f>
        <v>32.730200000000004</v>
      </c>
      <c r="G923" s="7">
        <f>CHOOSE( CONTROL!$C$37, 31.6026, 31.6009) * CHOOSE( CONTROL!$C$20, $D$12, 100%, $F$12)</f>
        <v>31.602599999999999</v>
      </c>
      <c r="H923" s="4">
        <f>CHOOSE( CONTROL!$C$37, 32.5475, 32.5458) * CHOOSE(CONTROL!$C$20, $D$12, 100%, $F$12)</f>
        <v>32.547499999999999</v>
      </c>
      <c r="I923" s="7">
        <f>CHOOSE( CONTROL!$C$37, 31.1438, 31.1422) * CHOOSE(CONTROL!$C$20, $D$12, 100%, $F$12)</f>
        <v>31.143799999999999</v>
      </c>
      <c r="J923" s="4">
        <f>CHOOSE( CONTROL!$C$37, 31.005, 31.0034) * CHOOSE(CONTROL!$C$20, $D$12, 100%, $F$12)</f>
        <v>31.004999999999999</v>
      </c>
      <c r="K923" s="4"/>
      <c r="L923" s="8">
        <v>29.7257</v>
      </c>
      <c r="M923" s="8">
        <v>11.6745</v>
      </c>
      <c r="N923" s="8">
        <v>4.7850000000000001</v>
      </c>
      <c r="O923" s="8">
        <v>0.36199999999999999</v>
      </c>
      <c r="P923" s="8">
        <v>1.2509999999999999</v>
      </c>
      <c r="Q923" s="8">
        <v>19.053000000000001</v>
      </c>
      <c r="R923" s="8"/>
    </row>
    <row r="924" spans="1:18" ht="14.25" customHeight="1">
      <c r="A924" s="11">
        <v>69245</v>
      </c>
      <c r="B924" s="7">
        <f>CHOOSE( CONTROL!$C$37, 33.3827, 33.3811) * CHOOSE(CONTROL!$C$20, $D$12, 100%, $F$12)</f>
        <v>33.3827</v>
      </c>
      <c r="C924" s="7">
        <f>CHOOSE( CONTROL!$C$37, 33.3907, 33.3891) * CHOOSE(CONTROL!$C$20, $D$12, 100%, $F$12)</f>
        <v>33.390700000000002</v>
      </c>
      <c r="D924" s="7">
        <f>CHOOSE( CONTROL!$C$37, 33.3969, 33.3953) * CHOOSE( CONTROL!$C$20, $D$12, 100%, $F$12)</f>
        <v>33.396900000000002</v>
      </c>
      <c r="E924" s="10">
        <f>CHOOSE( CONTROL!$C$37, 33.3934, 33.3918) * CHOOSE( CONTROL!$C$20, $D$12, 100%, $F$12)</f>
        <v>33.3934</v>
      </c>
      <c r="F924" s="4">
        <f>CHOOSE( CONTROL!$C$37, 34.108, 34.1063) * CHOOSE(CONTROL!$C$20, $D$12, 100%, $F$12)</f>
        <v>34.107999999999997</v>
      </c>
      <c r="G924" s="7">
        <f>CHOOSE( CONTROL!$C$37, 32.9614, 32.9597) * CHOOSE( CONTROL!$C$20, $D$12, 100%, $F$12)</f>
        <v>32.961399999999998</v>
      </c>
      <c r="H924" s="4">
        <f>CHOOSE( CONTROL!$C$37, 33.906, 33.9044) * CHOOSE(CONTROL!$C$20, $D$12, 100%, $F$12)</f>
        <v>33.905999999999999</v>
      </c>
      <c r="I924" s="7">
        <f>CHOOSE( CONTROL!$C$37, 32.4796, 32.478) * CHOOSE(CONTROL!$C$20, $D$12, 100%, $F$12)</f>
        <v>32.479599999999998</v>
      </c>
      <c r="J924" s="4">
        <f>CHOOSE( CONTROL!$C$37, 32.3391, 32.3375) * CHOOSE(CONTROL!$C$20, $D$12, 100%, $F$12)</f>
        <v>32.339100000000002</v>
      </c>
      <c r="K924" s="4"/>
      <c r="L924" s="8">
        <v>30.7165</v>
      </c>
      <c r="M924" s="8">
        <v>12.063700000000001</v>
      </c>
      <c r="N924" s="8">
        <v>4.9444999999999997</v>
      </c>
      <c r="O924" s="8">
        <v>0.37409999999999999</v>
      </c>
      <c r="P924" s="8">
        <v>1.2927</v>
      </c>
      <c r="Q924" s="8">
        <v>19.688099999999999</v>
      </c>
      <c r="R924" s="8"/>
    </row>
    <row r="925" spans="1:18" ht="14.25" customHeight="1">
      <c r="A925" s="11">
        <v>69276</v>
      </c>
      <c r="B925" s="7">
        <f>CHOOSE( CONTROL!$C$37, 30.8048, 30.8031) * CHOOSE(CONTROL!$C$20, $D$12, 100%, $F$12)</f>
        <v>30.8048</v>
      </c>
      <c r="C925" s="7">
        <f>CHOOSE( CONTROL!$C$37, 30.8128, 30.8111) * CHOOSE(CONTROL!$C$20, $D$12, 100%, $F$12)</f>
        <v>30.812799999999999</v>
      </c>
      <c r="D925" s="7">
        <f>CHOOSE( CONTROL!$C$37, 30.8191, 30.8174) * CHOOSE( CONTROL!$C$20, $D$12, 100%, $F$12)</f>
        <v>30.819099999999999</v>
      </c>
      <c r="E925" s="10">
        <f>CHOOSE( CONTROL!$C$37, 30.8156, 30.8139) * CHOOSE( CONTROL!$C$20, $D$12, 100%, $F$12)</f>
        <v>30.8156</v>
      </c>
      <c r="F925" s="4">
        <f>CHOOSE( CONTROL!$C$37, 31.5301, 31.5284) * CHOOSE(CONTROL!$C$20, $D$12, 100%, $F$12)</f>
        <v>31.530100000000001</v>
      </c>
      <c r="G925" s="7">
        <f>CHOOSE( CONTROL!$C$37, 30.4195, 30.4178) * CHOOSE( CONTROL!$C$20, $D$12, 100%, $F$12)</f>
        <v>30.419499999999999</v>
      </c>
      <c r="H925" s="4">
        <f>CHOOSE( CONTROL!$C$37, 31.364, 31.3624) * CHOOSE(CONTROL!$C$20, $D$12, 100%, $F$12)</f>
        <v>31.364000000000001</v>
      </c>
      <c r="I925" s="7">
        <f>CHOOSE( CONTROL!$C$37, 29.9824, 29.9808) * CHOOSE(CONTROL!$C$20, $D$12, 100%, $F$12)</f>
        <v>29.982399999999998</v>
      </c>
      <c r="J925" s="4">
        <f>CHOOSE( CONTROL!$C$37, 29.8429, 29.8413) * CHOOSE(CONTROL!$C$20, $D$12, 100%, $F$12)</f>
        <v>29.8429</v>
      </c>
      <c r="K925" s="4"/>
      <c r="L925" s="8">
        <v>30.7165</v>
      </c>
      <c r="M925" s="8">
        <v>12.063700000000001</v>
      </c>
      <c r="N925" s="8">
        <v>4.9444999999999997</v>
      </c>
      <c r="O925" s="8">
        <v>0.37409999999999999</v>
      </c>
      <c r="P925" s="8">
        <v>1.2927</v>
      </c>
      <c r="Q925" s="8">
        <v>19.688099999999999</v>
      </c>
      <c r="R925" s="8"/>
    </row>
    <row r="926" spans="1:18" ht="14.25" customHeight="1">
      <c r="A926" s="11">
        <v>69306</v>
      </c>
      <c r="B926" s="7">
        <f>CHOOSE( CONTROL!$C$37, 30.1592, 30.1576) * CHOOSE(CONTROL!$C$20, $D$12, 100%, $F$12)</f>
        <v>30.159199999999998</v>
      </c>
      <c r="C926" s="7">
        <f>CHOOSE( CONTROL!$C$37, 30.1672, 30.1656) * CHOOSE(CONTROL!$C$20, $D$12, 100%, $F$12)</f>
        <v>30.167200000000001</v>
      </c>
      <c r="D926" s="7">
        <f>CHOOSE( CONTROL!$C$37, 30.1734, 30.1718) * CHOOSE( CONTROL!$C$20, $D$12, 100%, $F$12)</f>
        <v>30.173400000000001</v>
      </c>
      <c r="E926" s="10">
        <f>CHOOSE( CONTROL!$C$37, 30.1699, 30.1683) * CHOOSE( CONTROL!$C$20, $D$12, 100%, $F$12)</f>
        <v>30.169899999999998</v>
      </c>
      <c r="F926" s="4">
        <f>CHOOSE( CONTROL!$C$37, 30.8845, 30.8829) * CHOOSE(CONTROL!$C$20, $D$12, 100%, $F$12)</f>
        <v>30.884499999999999</v>
      </c>
      <c r="G926" s="7">
        <f>CHOOSE( CONTROL!$C$37, 29.7828, 29.7812) * CHOOSE( CONTROL!$C$20, $D$12, 100%, $F$12)</f>
        <v>29.782800000000002</v>
      </c>
      <c r="H926" s="4">
        <f>CHOOSE( CONTROL!$C$37, 30.7275, 30.7259) * CHOOSE(CONTROL!$C$20, $D$12, 100%, $F$12)</f>
        <v>30.727499999999999</v>
      </c>
      <c r="I926" s="7">
        <f>CHOOSE( CONTROL!$C$37, 29.3566, 29.355) * CHOOSE(CONTROL!$C$20, $D$12, 100%, $F$12)</f>
        <v>29.3566</v>
      </c>
      <c r="J926" s="4">
        <f>CHOOSE( CONTROL!$C$37, 29.2178, 29.2162) * CHOOSE(CONTROL!$C$20, $D$12, 100%, $F$12)</f>
        <v>29.2178</v>
      </c>
      <c r="K926" s="4"/>
      <c r="L926" s="8">
        <v>29.7257</v>
      </c>
      <c r="M926" s="8">
        <v>11.6745</v>
      </c>
      <c r="N926" s="8">
        <v>4.7850000000000001</v>
      </c>
      <c r="O926" s="8">
        <v>0.36199999999999999</v>
      </c>
      <c r="P926" s="8">
        <v>1.2509999999999999</v>
      </c>
      <c r="Q926" s="8">
        <v>19.053000000000001</v>
      </c>
      <c r="R926" s="8"/>
    </row>
    <row r="927" spans="1:18" ht="14.25" customHeight="1">
      <c r="A927" s="11">
        <v>69337</v>
      </c>
      <c r="B927" s="7">
        <f>CHOOSE( CONTROL!$C$37, 31.4973, 31.4962) * CHOOSE(CONTROL!$C$20, $D$12, 100%, $F$12)</f>
        <v>31.497299999999999</v>
      </c>
      <c r="C927" s="7">
        <f>CHOOSE( CONTROL!$C$37, 31.5027, 31.5016) * CHOOSE(CONTROL!$C$20, $D$12, 100%, $F$12)</f>
        <v>31.502700000000001</v>
      </c>
      <c r="D927" s="7">
        <f>CHOOSE( CONTROL!$C$37, 31.5147, 31.5136) * CHOOSE( CONTROL!$C$20, $D$12, 100%, $F$12)</f>
        <v>31.514700000000001</v>
      </c>
      <c r="E927" s="10">
        <f>CHOOSE( CONTROL!$C$37, 31.5102, 31.5091) * CHOOSE( CONTROL!$C$20, $D$12, 100%, $F$12)</f>
        <v>31.510200000000001</v>
      </c>
      <c r="F927" s="4">
        <f>CHOOSE( CONTROL!$C$37, 32.2243, 32.2232) * CHOOSE(CONTROL!$C$20, $D$12, 100%, $F$12)</f>
        <v>32.224299999999999</v>
      </c>
      <c r="G927" s="7">
        <f>CHOOSE( CONTROL!$C$37, 31.1041, 31.103) * CHOOSE( CONTROL!$C$20, $D$12, 100%, $F$12)</f>
        <v>31.104099999999999</v>
      </c>
      <c r="H927" s="4">
        <f>CHOOSE( CONTROL!$C$37, 32.0486, 32.0475) * CHOOSE(CONTROL!$C$20, $D$12, 100%, $F$12)</f>
        <v>32.0486</v>
      </c>
      <c r="I927" s="7">
        <f>CHOOSE( CONTROL!$C$37, 30.6553, 30.6542) * CHOOSE(CONTROL!$C$20, $D$12, 100%, $F$12)</f>
        <v>30.6553</v>
      </c>
      <c r="J927" s="4">
        <f>CHOOSE( CONTROL!$C$37, 30.5151, 30.5141) * CHOOSE(CONTROL!$C$20, $D$12, 100%, $F$12)</f>
        <v>30.5151</v>
      </c>
      <c r="K927" s="4"/>
      <c r="L927" s="8">
        <v>31.095300000000002</v>
      </c>
      <c r="M927" s="8">
        <v>12.063700000000001</v>
      </c>
      <c r="N927" s="8">
        <v>4.9444999999999997</v>
      </c>
      <c r="O927" s="8">
        <v>0.37409999999999999</v>
      </c>
      <c r="P927" s="8">
        <v>1.2927</v>
      </c>
      <c r="Q927" s="8">
        <v>19.688099999999999</v>
      </c>
      <c r="R927" s="8"/>
    </row>
    <row r="928" spans="1:18" ht="14.25" customHeight="1">
      <c r="A928" s="11">
        <v>69367</v>
      </c>
      <c r="B928" s="7">
        <f>CHOOSE( CONTROL!$C$37, 33.971, 33.9699) * CHOOSE(CONTROL!$C$20, $D$12, 100%, $F$12)</f>
        <v>33.970999999999997</v>
      </c>
      <c r="C928" s="7">
        <f>CHOOSE( CONTROL!$C$37, 33.9761, 33.975) * CHOOSE(CONTROL!$C$20, $D$12, 100%, $F$12)</f>
        <v>33.976100000000002</v>
      </c>
      <c r="D928" s="7">
        <f>CHOOSE( CONTROL!$C$37, 33.9545, 33.9534) * CHOOSE( CONTROL!$C$20, $D$12, 100%, $F$12)</f>
        <v>33.954500000000003</v>
      </c>
      <c r="E928" s="10">
        <f>CHOOSE( CONTROL!$C$37, 33.9619, 33.9608) * CHOOSE( CONTROL!$C$20, $D$12, 100%, $F$12)</f>
        <v>33.9619</v>
      </c>
      <c r="F928" s="4">
        <f>CHOOSE( CONTROL!$C$37, 34.6235, 34.6224) * CHOOSE(CONTROL!$C$20, $D$12, 100%, $F$12)</f>
        <v>34.6235</v>
      </c>
      <c r="G928" s="7">
        <f>CHOOSE( CONTROL!$C$37, 33.5297, 33.5286) * CHOOSE( CONTROL!$C$20, $D$12, 100%, $F$12)</f>
        <v>33.529699999999998</v>
      </c>
      <c r="H928" s="4">
        <f>CHOOSE( CONTROL!$C$37, 34.4143, 34.4132) * CHOOSE(CONTROL!$C$20, $D$12, 100%, $F$12)</f>
        <v>34.414299999999997</v>
      </c>
      <c r="I928" s="7">
        <f>CHOOSE( CONTROL!$C$37, 33.1033, 33.1022) * CHOOSE(CONTROL!$C$20, $D$12, 100%, $F$12)</f>
        <v>33.103299999999997</v>
      </c>
      <c r="J928" s="4">
        <f>CHOOSE( CONTROL!$C$37, 32.9107, 32.9097) * CHOOSE(CONTROL!$C$20, $D$12, 100%, $F$12)</f>
        <v>32.910699999999999</v>
      </c>
      <c r="K928" s="4"/>
      <c r="L928" s="8">
        <v>28.360600000000002</v>
      </c>
      <c r="M928" s="8">
        <v>11.6745</v>
      </c>
      <c r="N928" s="8">
        <v>4.7850000000000001</v>
      </c>
      <c r="O928" s="8">
        <v>0.36199999999999999</v>
      </c>
      <c r="P928" s="8">
        <v>1.2509999999999999</v>
      </c>
      <c r="Q928" s="8">
        <v>19.053000000000001</v>
      </c>
      <c r="R928" s="8"/>
    </row>
    <row r="929" spans="1:18" ht="14.25" customHeight="1">
      <c r="A929" s="11">
        <v>69398</v>
      </c>
      <c r="B929" s="7">
        <f>CHOOSE( CONTROL!$C$37, 33.9092, 33.9081) * CHOOSE(CONTROL!$C$20, $D$12, 100%, $F$12)</f>
        <v>33.909199999999998</v>
      </c>
      <c r="C929" s="7">
        <f>CHOOSE( CONTROL!$C$37, 33.9143, 33.9132) * CHOOSE(CONTROL!$C$20, $D$12, 100%, $F$12)</f>
        <v>33.914299999999997</v>
      </c>
      <c r="D929" s="7">
        <f>CHOOSE( CONTROL!$C$37, 33.8943, 33.8932) * CHOOSE( CONTROL!$C$20, $D$12, 100%, $F$12)</f>
        <v>33.894300000000001</v>
      </c>
      <c r="E929" s="10">
        <f>CHOOSE( CONTROL!$C$37, 33.9011, 33.9) * CHOOSE( CONTROL!$C$20, $D$12, 100%, $F$12)</f>
        <v>33.9011</v>
      </c>
      <c r="F929" s="4">
        <f>CHOOSE( CONTROL!$C$37, 34.5617, 34.5606) * CHOOSE(CONTROL!$C$20, $D$12, 100%, $F$12)</f>
        <v>34.561700000000002</v>
      </c>
      <c r="G929" s="7">
        <f>CHOOSE( CONTROL!$C$37, 33.4699, 33.4688) * CHOOSE( CONTROL!$C$20, $D$12, 100%, $F$12)</f>
        <v>33.469900000000003</v>
      </c>
      <c r="H929" s="4">
        <f>CHOOSE( CONTROL!$C$37, 34.3534, 34.3523) * CHOOSE(CONTROL!$C$20, $D$12, 100%, $F$12)</f>
        <v>34.353400000000001</v>
      </c>
      <c r="I929" s="7">
        <f>CHOOSE( CONTROL!$C$37, 33.0482, 33.0472) * CHOOSE(CONTROL!$C$20, $D$12, 100%, $F$12)</f>
        <v>33.048200000000001</v>
      </c>
      <c r="J929" s="4">
        <f>CHOOSE( CONTROL!$C$37, 32.8509, 32.8498) * CHOOSE(CONTROL!$C$20, $D$12, 100%, $F$12)</f>
        <v>32.850900000000003</v>
      </c>
      <c r="K929" s="4"/>
      <c r="L929" s="8">
        <v>29.306000000000001</v>
      </c>
      <c r="M929" s="8">
        <v>12.063700000000001</v>
      </c>
      <c r="N929" s="8">
        <v>4.9444999999999997</v>
      </c>
      <c r="O929" s="8">
        <v>0.37409999999999999</v>
      </c>
      <c r="P929" s="8">
        <v>1.2927</v>
      </c>
      <c r="Q929" s="8">
        <v>19.688099999999999</v>
      </c>
      <c r="R929" s="8"/>
    </row>
    <row r="930" spans="1:18" ht="14.25" customHeight="1">
      <c r="A930" s="11">
        <v>69429</v>
      </c>
      <c r="B930" s="7">
        <f>CHOOSE( CONTROL!$C$37, 34.9098, 34.9088) * CHOOSE(CONTROL!$C$20, $D$12, 100%, $F$12)</f>
        <v>34.909799999999997</v>
      </c>
      <c r="C930" s="7">
        <f>CHOOSE( CONTROL!$C$37, 34.9149, 34.9139) * CHOOSE(CONTROL!$C$20, $D$12, 100%, $F$12)</f>
        <v>34.914900000000003</v>
      </c>
      <c r="D930" s="7">
        <f>CHOOSE( CONTROL!$C$37, 34.908, 34.907) * CHOOSE( CONTROL!$C$20, $D$12, 100%, $F$12)</f>
        <v>34.908000000000001</v>
      </c>
      <c r="E930" s="10">
        <f>CHOOSE( CONTROL!$C$37, 34.91, 34.909) * CHOOSE( CONTROL!$C$20, $D$12, 100%, $F$12)</f>
        <v>34.909999999999997</v>
      </c>
      <c r="F930" s="4">
        <f>CHOOSE( CONTROL!$C$37, 35.5624, 35.5613) * CHOOSE(CONTROL!$C$20, $D$12, 100%, $F$12)</f>
        <v>35.562399999999997</v>
      </c>
      <c r="G930" s="7">
        <f>CHOOSE( CONTROL!$C$37, 34.4611, 34.46) * CHOOSE( CONTROL!$C$20, $D$12, 100%, $F$12)</f>
        <v>34.461100000000002</v>
      </c>
      <c r="H930" s="4">
        <f>CHOOSE( CONTROL!$C$37, 35.3401, 35.339) * CHOOSE(CONTROL!$C$20, $D$12, 100%, $F$12)</f>
        <v>35.3401</v>
      </c>
      <c r="I930" s="7">
        <f>CHOOSE( CONTROL!$C$37, 33.989, 33.9879) * CHOOSE(CONTROL!$C$20, $D$12, 100%, $F$12)</f>
        <v>33.988999999999997</v>
      </c>
      <c r="J930" s="4">
        <f>CHOOSE( CONTROL!$C$37, 33.8199, 33.8188) * CHOOSE(CONTROL!$C$20, $D$12, 100%, $F$12)</f>
        <v>33.819899999999997</v>
      </c>
      <c r="K930" s="4"/>
      <c r="L930" s="8">
        <v>29.306000000000001</v>
      </c>
      <c r="M930" s="8">
        <v>12.063700000000001</v>
      </c>
      <c r="N930" s="8">
        <v>4.9444999999999997</v>
      </c>
      <c r="O930" s="8">
        <v>0.37409999999999999</v>
      </c>
      <c r="P930" s="8">
        <v>1.2927</v>
      </c>
      <c r="Q930" s="8">
        <v>19.688099999999999</v>
      </c>
      <c r="R930" s="8"/>
    </row>
    <row r="931" spans="1:18" ht="14.25" customHeight="1">
      <c r="A931" s="11">
        <v>69457</v>
      </c>
      <c r="B931" s="7">
        <f>CHOOSE( CONTROL!$C$37, 32.6519, 32.6509) * CHOOSE(CONTROL!$C$20, $D$12, 100%, $F$12)</f>
        <v>32.651899999999998</v>
      </c>
      <c r="C931" s="7">
        <f>CHOOSE( CONTROL!$C$37, 32.657, 32.656) * CHOOSE(CONTROL!$C$20, $D$12, 100%, $F$12)</f>
        <v>32.656999999999996</v>
      </c>
      <c r="D931" s="7">
        <f>CHOOSE( CONTROL!$C$37, 32.6501, 32.649) * CHOOSE( CONTROL!$C$20, $D$12, 100%, $F$12)</f>
        <v>32.650100000000002</v>
      </c>
      <c r="E931" s="10">
        <f>CHOOSE( CONTROL!$C$37, 32.6521, 32.651) * CHOOSE( CONTROL!$C$20, $D$12, 100%, $F$12)</f>
        <v>32.652099999999997</v>
      </c>
      <c r="F931" s="4">
        <f>CHOOSE( CONTROL!$C$37, 33.3045, 33.3034) * CHOOSE(CONTROL!$C$20, $D$12, 100%, $F$12)</f>
        <v>33.304499999999997</v>
      </c>
      <c r="G931" s="7">
        <f>CHOOSE( CONTROL!$C$37, 32.2347, 32.2336) * CHOOSE( CONTROL!$C$20, $D$12, 100%, $F$12)</f>
        <v>32.234699999999997</v>
      </c>
      <c r="H931" s="4">
        <f>CHOOSE( CONTROL!$C$37, 33.1137, 33.1126) * CHOOSE(CONTROL!$C$20, $D$12, 100%, $F$12)</f>
        <v>33.113700000000001</v>
      </c>
      <c r="I931" s="7">
        <f>CHOOSE( CONTROL!$C$37, 31.8013, 31.8003) * CHOOSE(CONTROL!$C$20, $D$12, 100%, $F$12)</f>
        <v>31.801300000000001</v>
      </c>
      <c r="J931" s="4">
        <f>CHOOSE( CONTROL!$C$37, 31.6335, 31.6325) * CHOOSE(CONTROL!$C$20, $D$12, 100%, $F$12)</f>
        <v>31.633500000000002</v>
      </c>
      <c r="K931" s="4"/>
      <c r="L931" s="8">
        <v>26.469899999999999</v>
      </c>
      <c r="M931" s="8">
        <v>10.8962</v>
      </c>
      <c r="N931" s="8">
        <v>4.4660000000000002</v>
      </c>
      <c r="O931" s="8">
        <v>0.33789999999999998</v>
      </c>
      <c r="P931" s="8">
        <v>1.1676</v>
      </c>
      <c r="Q931" s="8">
        <v>17.782800000000002</v>
      </c>
      <c r="R931" s="8"/>
    </row>
    <row r="932" spans="1:18" ht="14.25" customHeight="1">
      <c r="A932" s="11">
        <v>69488</v>
      </c>
      <c r="B932" s="7">
        <f>CHOOSE( CONTROL!$C$37, 31.9565, 31.9554) * CHOOSE(CONTROL!$C$20, $D$12, 100%, $F$12)</f>
        <v>31.956499999999998</v>
      </c>
      <c r="C932" s="7">
        <f>CHOOSE( CONTROL!$C$37, 31.9616, 31.9605) * CHOOSE(CONTROL!$C$20, $D$12, 100%, $F$12)</f>
        <v>31.961600000000001</v>
      </c>
      <c r="D932" s="7">
        <f>CHOOSE( CONTROL!$C$37, 31.954, 31.9529) * CHOOSE( CONTROL!$C$20, $D$12, 100%, $F$12)</f>
        <v>31.954000000000001</v>
      </c>
      <c r="E932" s="10">
        <f>CHOOSE( CONTROL!$C$37, 31.9562, 31.9551) * CHOOSE( CONTROL!$C$20, $D$12, 100%, $F$12)</f>
        <v>31.956199999999999</v>
      </c>
      <c r="F932" s="4">
        <f>CHOOSE( CONTROL!$C$37, 32.6091, 32.608) * CHOOSE(CONTROL!$C$20, $D$12, 100%, $F$12)</f>
        <v>32.609099999999998</v>
      </c>
      <c r="G932" s="7">
        <f>CHOOSE( CONTROL!$C$37, 31.5485, 31.5474) * CHOOSE( CONTROL!$C$20, $D$12, 100%, $F$12)</f>
        <v>31.548500000000001</v>
      </c>
      <c r="H932" s="4">
        <f>CHOOSE( CONTROL!$C$37, 32.428, 32.4269) * CHOOSE(CONTROL!$C$20, $D$12, 100%, $F$12)</f>
        <v>32.427999999999997</v>
      </c>
      <c r="I932" s="7">
        <f>CHOOSE( CONTROL!$C$37, 31.1257, 31.1246) * CHOOSE(CONTROL!$C$20, $D$12, 100%, $F$12)</f>
        <v>31.125699999999998</v>
      </c>
      <c r="J932" s="4">
        <f>CHOOSE( CONTROL!$C$37, 30.9601, 30.9591) * CHOOSE(CONTROL!$C$20, $D$12, 100%, $F$12)</f>
        <v>30.960100000000001</v>
      </c>
      <c r="K932" s="4"/>
      <c r="L932" s="8">
        <v>29.306000000000001</v>
      </c>
      <c r="M932" s="8">
        <v>12.063700000000001</v>
      </c>
      <c r="N932" s="8">
        <v>4.9444999999999997</v>
      </c>
      <c r="O932" s="8">
        <v>0.37409999999999999</v>
      </c>
      <c r="P932" s="8">
        <v>1.2927</v>
      </c>
      <c r="Q932" s="8">
        <v>19.688099999999999</v>
      </c>
      <c r="R932" s="8"/>
    </row>
    <row r="933" spans="1:18" ht="14.25" customHeight="1">
      <c r="A933" s="11">
        <v>69518</v>
      </c>
      <c r="B933" s="7">
        <f>CHOOSE( CONTROL!$C$37, 32.4432, 32.4421) * CHOOSE(CONTROL!$C$20, $D$12, 100%, $F$12)</f>
        <v>32.443199999999997</v>
      </c>
      <c r="C933" s="7">
        <f>CHOOSE( CONTROL!$C$37, 32.4478, 32.4467) * CHOOSE(CONTROL!$C$20, $D$12, 100%, $F$12)</f>
        <v>32.447800000000001</v>
      </c>
      <c r="D933" s="7">
        <f>CHOOSE( CONTROL!$C$37, 32.4596, 32.4585) * CHOOSE( CONTROL!$C$20, $D$12, 100%, $F$12)</f>
        <v>32.459600000000002</v>
      </c>
      <c r="E933" s="10">
        <f>CHOOSE( CONTROL!$C$37, 32.4552, 32.4541) * CHOOSE( CONTROL!$C$20, $D$12, 100%, $F$12)</f>
        <v>32.455199999999998</v>
      </c>
      <c r="F933" s="4">
        <f>CHOOSE( CONTROL!$C$37, 33.1699, 33.1688) * CHOOSE(CONTROL!$C$20, $D$12, 100%, $F$12)</f>
        <v>33.169899999999998</v>
      </c>
      <c r="G933" s="7">
        <f>CHOOSE( CONTROL!$C$37, 32.0359, 32.0348) * CHOOSE( CONTROL!$C$20, $D$12, 100%, $F$12)</f>
        <v>32.035899999999998</v>
      </c>
      <c r="H933" s="4">
        <f>CHOOSE( CONTROL!$C$37, 32.981, 32.9799) * CHOOSE(CONTROL!$C$20, $D$12, 100%, $F$12)</f>
        <v>32.981000000000002</v>
      </c>
      <c r="I933" s="7">
        <f>CHOOSE( CONTROL!$C$37, 31.569, 31.568) * CHOOSE(CONTROL!$C$20, $D$12, 100%, $F$12)</f>
        <v>31.568999999999999</v>
      </c>
      <c r="J933" s="4">
        <f>CHOOSE( CONTROL!$C$37, 31.4307, 31.4296) * CHOOSE(CONTROL!$C$20, $D$12, 100%, $F$12)</f>
        <v>31.430700000000002</v>
      </c>
      <c r="K933" s="4"/>
      <c r="L933" s="8">
        <v>30.092199999999998</v>
      </c>
      <c r="M933" s="8">
        <v>11.6745</v>
      </c>
      <c r="N933" s="8">
        <v>4.7850000000000001</v>
      </c>
      <c r="O933" s="8">
        <v>0.36199999999999999</v>
      </c>
      <c r="P933" s="8">
        <v>1.2509999999999999</v>
      </c>
      <c r="Q933" s="8">
        <v>19.053000000000001</v>
      </c>
      <c r="R933" s="8"/>
    </row>
    <row r="934" spans="1:18" ht="14.25" customHeight="1">
      <c r="A934" s="11">
        <v>69549</v>
      </c>
      <c r="B934" s="7">
        <f>CHOOSE( CONTROL!$C$37, 33.31, 33.3084) * CHOOSE(CONTROL!$C$20, $D$12, 100%, $F$12)</f>
        <v>33.31</v>
      </c>
      <c r="C934" s="7">
        <f>CHOOSE( CONTROL!$C$37, 33.318, 33.3164) * CHOOSE(CONTROL!$C$20, $D$12, 100%, $F$12)</f>
        <v>33.317999999999998</v>
      </c>
      <c r="D934" s="7">
        <f>CHOOSE( CONTROL!$C$37, 33.3237, 33.322) * CHOOSE( CONTROL!$C$20, $D$12, 100%, $F$12)</f>
        <v>33.323700000000002</v>
      </c>
      <c r="E934" s="10">
        <f>CHOOSE( CONTROL!$C$37, 33.3204, 33.3188) * CHOOSE( CONTROL!$C$20, $D$12, 100%, $F$12)</f>
        <v>33.320399999999999</v>
      </c>
      <c r="F934" s="4">
        <f>CHOOSE( CONTROL!$C$37, 34.0353, 34.0337) * CHOOSE(CONTROL!$C$20, $D$12, 100%, $F$12)</f>
        <v>34.035299999999999</v>
      </c>
      <c r="G934" s="7">
        <f>CHOOSE( CONTROL!$C$37, 32.8892, 32.8876) * CHOOSE( CONTROL!$C$20, $D$12, 100%, $F$12)</f>
        <v>32.889200000000002</v>
      </c>
      <c r="H934" s="4">
        <f>CHOOSE( CONTROL!$C$37, 33.8343, 33.8327) * CHOOSE(CONTROL!$C$20, $D$12, 100%, $F$12)</f>
        <v>33.834299999999999</v>
      </c>
      <c r="I934" s="7">
        <f>CHOOSE( CONTROL!$C$37, 32.4072, 32.4056) * CHOOSE(CONTROL!$C$20, $D$12, 100%, $F$12)</f>
        <v>32.407200000000003</v>
      </c>
      <c r="J934" s="4">
        <f>CHOOSE( CONTROL!$C$37, 32.2687, 32.2671) * CHOOSE(CONTROL!$C$20, $D$12, 100%, $F$12)</f>
        <v>32.268700000000003</v>
      </c>
      <c r="K934" s="4"/>
      <c r="L934" s="8">
        <v>30.7165</v>
      </c>
      <c r="M934" s="8">
        <v>12.063700000000001</v>
      </c>
      <c r="N934" s="8">
        <v>4.9444999999999997</v>
      </c>
      <c r="O934" s="8">
        <v>0.37409999999999999</v>
      </c>
      <c r="P934" s="8">
        <v>1.2927</v>
      </c>
      <c r="Q934" s="8">
        <v>19.688099999999999</v>
      </c>
      <c r="R934" s="8"/>
    </row>
    <row r="935" spans="1:18" ht="14.25" customHeight="1">
      <c r="A935" s="11">
        <v>69579</v>
      </c>
      <c r="B935" s="7">
        <f>CHOOSE( CONTROL!$C$37, 32.7743, 32.7726) * CHOOSE(CONTROL!$C$20, $D$12, 100%, $F$12)</f>
        <v>32.774299999999997</v>
      </c>
      <c r="C935" s="7">
        <f>CHOOSE( CONTROL!$C$37, 32.7823, 32.7806) * CHOOSE(CONTROL!$C$20, $D$12, 100%, $F$12)</f>
        <v>32.782299999999999</v>
      </c>
      <c r="D935" s="7">
        <f>CHOOSE( CONTROL!$C$37, 32.7882, 32.7865) * CHOOSE( CONTROL!$C$20, $D$12, 100%, $F$12)</f>
        <v>32.788200000000003</v>
      </c>
      <c r="E935" s="10">
        <f>CHOOSE( CONTROL!$C$37, 32.7848, 32.7831) * CHOOSE( CONTROL!$C$20, $D$12, 100%, $F$12)</f>
        <v>32.784799999999997</v>
      </c>
      <c r="F935" s="4">
        <f>CHOOSE( CONTROL!$C$37, 33.4996, 33.4979) * CHOOSE(CONTROL!$C$20, $D$12, 100%, $F$12)</f>
        <v>33.499600000000001</v>
      </c>
      <c r="G935" s="7">
        <f>CHOOSE( CONTROL!$C$37, 32.3612, 32.3595) * CHOOSE( CONTROL!$C$20, $D$12, 100%, $F$12)</f>
        <v>32.361199999999997</v>
      </c>
      <c r="H935" s="4">
        <f>CHOOSE( CONTROL!$C$37, 33.3061, 33.3044) * CHOOSE(CONTROL!$C$20, $D$12, 100%, $F$12)</f>
        <v>33.306100000000001</v>
      </c>
      <c r="I935" s="7">
        <f>CHOOSE( CONTROL!$C$37, 31.8891, 31.8875) * CHOOSE(CONTROL!$C$20, $D$12, 100%, $F$12)</f>
        <v>31.889099999999999</v>
      </c>
      <c r="J935" s="4">
        <f>CHOOSE( CONTROL!$C$37, 31.7499, 31.7483) * CHOOSE(CONTROL!$C$20, $D$12, 100%, $F$12)</f>
        <v>31.7499</v>
      </c>
      <c r="K935" s="4"/>
      <c r="L935" s="8">
        <v>29.7257</v>
      </c>
      <c r="M935" s="8">
        <v>11.6745</v>
      </c>
      <c r="N935" s="8">
        <v>4.7850000000000001</v>
      </c>
      <c r="O935" s="8">
        <v>0.36199999999999999</v>
      </c>
      <c r="P935" s="8">
        <v>1.2509999999999999</v>
      </c>
      <c r="Q935" s="8">
        <v>19.053000000000001</v>
      </c>
      <c r="R935" s="8"/>
    </row>
    <row r="936" spans="1:18" ht="14.25" customHeight="1">
      <c r="A936" s="11">
        <v>69610</v>
      </c>
      <c r="B936" s="7">
        <f>CHOOSE( CONTROL!$C$37, 34.1851, 34.1835) * CHOOSE(CONTROL!$C$20, $D$12, 100%, $F$12)</f>
        <v>34.185099999999998</v>
      </c>
      <c r="C936" s="7">
        <f>CHOOSE( CONTROL!$C$37, 34.1931, 34.1915) * CHOOSE(CONTROL!$C$20, $D$12, 100%, $F$12)</f>
        <v>34.193100000000001</v>
      </c>
      <c r="D936" s="7">
        <f>CHOOSE( CONTROL!$C$37, 34.1994, 34.1977) * CHOOSE( CONTROL!$C$20, $D$12, 100%, $F$12)</f>
        <v>34.199399999999997</v>
      </c>
      <c r="E936" s="10">
        <f>CHOOSE( CONTROL!$C$37, 34.1959, 34.1942) * CHOOSE( CONTROL!$C$20, $D$12, 100%, $F$12)</f>
        <v>34.195900000000002</v>
      </c>
      <c r="F936" s="4">
        <f>CHOOSE( CONTROL!$C$37, 34.9104, 34.9088) * CHOOSE(CONTROL!$C$20, $D$12, 100%, $F$12)</f>
        <v>34.910400000000003</v>
      </c>
      <c r="G936" s="7">
        <f>CHOOSE( CONTROL!$C$37, 33.7526, 33.7509) * CHOOSE( CONTROL!$C$20, $D$12, 100%, $F$12)</f>
        <v>33.752600000000001</v>
      </c>
      <c r="H936" s="4">
        <f>CHOOSE( CONTROL!$C$37, 34.6972, 34.6956) * CHOOSE(CONTROL!$C$20, $D$12, 100%, $F$12)</f>
        <v>34.697200000000002</v>
      </c>
      <c r="I936" s="7">
        <f>CHOOSE( CONTROL!$C$37, 33.2569, 33.2553) * CHOOSE(CONTROL!$C$20, $D$12, 100%, $F$12)</f>
        <v>33.256900000000002</v>
      </c>
      <c r="J936" s="4">
        <f>CHOOSE( CONTROL!$C$37, 33.1161, 33.1145) * CHOOSE(CONTROL!$C$20, $D$12, 100%, $F$12)</f>
        <v>33.116100000000003</v>
      </c>
      <c r="K936" s="4"/>
      <c r="L936" s="8">
        <v>30.7165</v>
      </c>
      <c r="M936" s="8">
        <v>12.063700000000001</v>
      </c>
      <c r="N936" s="8">
        <v>4.9444999999999997</v>
      </c>
      <c r="O936" s="8">
        <v>0.37409999999999999</v>
      </c>
      <c r="P936" s="8">
        <v>1.2927</v>
      </c>
      <c r="Q936" s="8">
        <v>19.688099999999999</v>
      </c>
      <c r="R936" s="8"/>
    </row>
    <row r="937" spans="1:18" ht="14.25" customHeight="1">
      <c r="A937" s="11">
        <v>69641</v>
      </c>
      <c r="B937" s="7">
        <f>CHOOSE( CONTROL!$C$37, 31.5453, 31.5436) * CHOOSE(CONTROL!$C$20, $D$12, 100%, $F$12)</f>
        <v>31.545300000000001</v>
      </c>
      <c r="C937" s="7">
        <f>CHOOSE( CONTROL!$C$37, 31.5533, 31.5516) * CHOOSE(CONTROL!$C$20, $D$12, 100%, $F$12)</f>
        <v>31.5533</v>
      </c>
      <c r="D937" s="7">
        <f>CHOOSE( CONTROL!$C$37, 31.5596, 31.5579) * CHOOSE( CONTROL!$C$20, $D$12, 100%, $F$12)</f>
        <v>31.5596</v>
      </c>
      <c r="E937" s="10">
        <f>CHOOSE( CONTROL!$C$37, 31.5561, 31.5544) * CHOOSE( CONTROL!$C$20, $D$12, 100%, $F$12)</f>
        <v>31.556100000000001</v>
      </c>
      <c r="F937" s="4">
        <f>CHOOSE( CONTROL!$C$37, 32.2706, 32.2689) * CHOOSE(CONTROL!$C$20, $D$12, 100%, $F$12)</f>
        <v>32.270600000000002</v>
      </c>
      <c r="G937" s="7">
        <f>CHOOSE( CONTROL!$C$37, 31.1496, 31.148) * CHOOSE( CONTROL!$C$20, $D$12, 100%, $F$12)</f>
        <v>31.1496</v>
      </c>
      <c r="H937" s="4">
        <f>CHOOSE( CONTROL!$C$37, 32.0942, 32.0925) * CHOOSE(CONTROL!$C$20, $D$12, 100%, $F$12)</f>
        <v>32.094200000000001</v>
      </c>
      <c r="I937" s="7">
        <f>CHOOSE( CONTROL!$C$37, 30.6998, 30.6981) * CHOOSE(CONTROL!$C$20, $D$12, 100%, $F$12)</f>
        <v>30.6998</v>
      </c>
      <c r="J937" s="4">
        <f>CHOOSE( CONTROL!$C$37, 30.5599, 30.5583) * CHOOSE(CONTROL!$C$20, $D$12, 100%, $F$12)</f>
        <v>30.559899999999999</v>
      </c>
      <c r="K937" s="4"/>
      <c r="L937" s="8">
        <v>30.7165</v>
      </c>
      <c r="M937" s="8">
        <v>12.063700000000001</v>
      </c>
      <c r="N937" s="8">
        <v>4.9444999999999997</v>
      </c>
      <c r="O937" s="8">
        <v>0.37409999999999999</v>
      </c>
      <c r="P937" s="8">
        <v>1.2927</v>
      </c>
      <c r="Q937" s="8">
        <v>19.688099999999999</v>
      </c>
      <c r="R937" s="8"/>
    </row>
    <row r="938" spans="1:18" ht="14.25" customHeight="1">
      <c r="A938" s="11">
        <v>69671</v>
      </c>
      <c r="B938" s="7">
        <f>CHOOSE( CONTROL!$C$37, 30.8842, 30.8825) * CHOOSE(CONTROL!$C$20, $D$12, 100%, $F$12)</f>
        <v>30.8842</v>
      </c>
      <c r="C938" s="7">
        <f>CHOOSE( CONTROL!$C$37, 30.8922, 30.8905) * CHOOSE(CONTROL!$C$20, $D$12, 100%, $F$12)</f>
        <v>30.892199999999999</v>
      </c>
      <c r="D938" s="7">
        <f>CHOOSE( CONTROL!$C$37, 30.8984, 30.8968) * CHOOSE( CONTROL!$C$20, $D$12, 100%, $F$12)</f>
        <v>30.898399999999999</v>
      </c>
      <c r="E938" s="10">
        <f>CHOOSE( CONTROL!$C$37, 30.8949, 30.8933) * CHOOSE( CONTROL!$C$20, $D$12, 100%, $F$12)</f>
        <v>30.8949</v>
      </c>
      <c r="F938" s="4">
        <f>CHOOSE( CONTROL!$C$37, 31.6095, 31.6078) * CHOOSE(CONTROL!$C$20, $D$12, 100%, $F$12)</f>
        <v>31.609500000000001</v>
      </c>
      <c r="G938" s="7">
        <f>CHOOSE( CONTROL!$C$37, 30.4977, 30.496) * CHOOSE( CONTROL!$C$20, $D$12, 100%, $F$12)</f>
        <v>30.497699999999998</v>
      </c>
      <c r="H938" s="4">
        <f>CHOOSE( CONTROL!$C$37, 31.4424, 31.4407) * CHOOSE(CONTROL!$C$20, $D$12, 100%, $F$12)</f>
        <v>31.442399999999999</v>
      </c>
      <c r="I938" s="7">
        <f>CHOOSE( CONTROL!$C$37, 30.059, 30.0573) * CHOOSE(CONTROL!$C$20, $D$12, 100%, $F$12)</f>
        <v>30.059000000000001</v>
      </c>
      <c r="J938" s="4">
        <f>CHOOSE( CONTROL!$C$37, 29.9198, 29.9182) * CHOOSE(CONTROL!$C$20, $D$12, 100%, $F$12)</f>
        <v>29.919799999999999</v>
      </c>
      <c r="K938" s="4"/>
      <c r="L938" s="8">
        <v>29.7257</v>
      </c>
      <c r="M938" s="8">
        <v>11.6745</v>
      </c>
      <c r="N938" s="8">
        <v>4.7850000000000001</v>
      </c>
      <c r="O938" s="8">
        <v>0.36199999999999999</v>
      </c>
      <c r="P938" s="8">
        <v>1.2509999999999999</v>
      </c>
      <c r="Q938" s="8">
        <v>19.053000000000001</v>
      </c>
      <c r="R938" s="8"/>
    </row>
    <row r="939" spans="1:18" ht="14.25" customHeight="1">
      <c r="A939" s="11">
        <v>69702</v>
      </c>
      <c r="B939" s="7">
        <f>CHOOSE( CONTROL!$C$37, 32.2545, 32.2534) * CHOOSE(CONTROL!$C$20, $D$12, 100%, $F$12)</f>
        <v>32.2545</v>
      </c>
      <c r="C939" s="7">
        <f>CHOOSE( CONTROL!$C$37, 32.2598, 32.2588) * CHOOSE(CONTROL!$C$20, $D$12, 100%, $F$12)</f>
        <v>32.259799999999998</v>
      </c>
      <c r="D939" s="7">
        <f>CHOOSE( CONTROL!$C$37, 32.2719, 32.2708) * CHOOSE( CONTROL!$C$20, $D$12, 100%, $F$12)</f>
        <v>32.271900000000002</v>
      </c>
      <c r="E939" s="10">
        <f>CHOOSE( CONTROL!$C$37, 32.2673, 32.2663) * CHOOSE( CONTROL!$C$20, $D$12, 100%, $F$12)</f>
        <v>32.267299999999999</v>
      </c>
      <c r="F939" s="4">
        <f>CHOOSE( CONTROL!$C$37, 32.9815, 32.9804) * CHOOSE(CONTROL!$C$20, $D$12, 100%, $F$12)</f>
        <v>32.981499999999997</v>
      </c>
      <c r="G939" s="7">
        <f>CHOOSE( CONTROL!$C$37, 31.8507, 31.8496) * CHOOSE( CONTROL!$C$20, $D$12, 100%, $F$12)</f>
        <v>31.8507</v>
      </c>
      <c r="H939" s="4">
        <f>CHOOSE( CONTROL!$C$37, 32.7952, 32.7941) * CHOOSE(CONTROL!$C$20, $D$12, 100%, $F$12)</f>
        <v>32.795200000000001</v>
      </c>
      <c r="I939" s="7">
        <f>CHOOSE( CONTROL!$C$37, 31.3888, 31.3877) * CHOOSE(CONTROL!$C$20, $D$12, 100%, $F$12)</f>
        <v>31.3888</v>
      </c>
      <c r="J939" s="4">
        <f>CHOOSE( CONTROL!$C$37, 31.2483, 31.2472) * CHOOSE(CONTROL!$C$20, $D$12, 100%, $F$12)</f>
        <v>31.2483</v>
      </c>
      <c r="K939" s="4"/>
      <c r="L939" s="8">
        <v>31.095300000000002</v>
      </c>
      <c r="M939" s="8">
        <v>12.063700000000001</v>
      </c>
      <c r="N939" s="8">
        <v>4.9444999999999997</v>
      </c>
      <c r="O939" s="8">
        <v>0.37409999999999999</v>
      </c>
      <c r="P939" s="8">
        <v>1.2927</v>
      </c>
      <c r="Q939" s="8">
        <v>19.688099999999999</v>
      </c>
      <c r="R939" s="8"/>
    </row>
    <row r="940" spans="1:18" ht="14.25" customHeight="1">
      <c r="A940" s="11">
        <v>69732</v>
      </c>
      <c r="B940" s="7">
        <f>CHOOSE( CONTROL!$C$37, 34.7876, 34.7865) * CHOOSE(CONTROL!$C$20, $D$12, 100%, $F$12)</f>
        <v>34.787599999999998</v>
      </c>
      <c r="C940" s="7">
        <f>CHOOSE( CONTROL!$C$37, 34.7927, 34.7916) * CHOOSE(CONTROL!$C$20, $D$12, 100%, $F$12)</f>
        <v>34.792700000000004</v>
      </c>
      <c r="D940" s="7">
        <f>CHOOSE( CONTROL!$C$37, 34.7711, 34.7701) * CHOOSE( CONTROL!$C$20, $D$12, 100%, $F$12)</f>
        <v>34.771099999999997</v>
      </c>
      <c r="E940" s="10">
        <f>CHOOSE( CONTROL!$C$37, 34.7785, 34.7774) * CHOOSE( CONTROL!$C$20, $D$12, 100%, $F$12)</f>
        <v>34.778500000000001</v>
      </c>
      <c r="F940" s="4">
        <f>CHOOSE( CONTROL!$C$37, 35.4401, 35.439) * CHOOSE(CONTROL!$C$20, $D$12, 100%, $F$12)</f>
        <v>35.440100000000001</v>
      </c>
      <c r="G940" s="7">
        <f>CHOOSE( CONTROL!$C$37, 34.3349, 34.3339) * CHOOSE( CONTROL!$C$20, $D$12, 100%, $F$12)</f>
        <v>34.334899999999998</v>
      </c>
      <c r="H940" s="4">
        <f>CHOOSE( CONTROL!$C$37, 35.2195, 35.2185) * CHOOSE(CONTROL!$C$20, $D$12, 100%, $F$12)</f>
        <v>35.219499999999996</v>
      </c>
      <c r="I940" s="7">
        <f>CHOOSE( CONTROL!$C$37, 33.8944, 33.8933) * CHOOSE(CONTROL!$C$20, $D$12, 100%, $F$12)</f>
        <v>33.894399999999997</v>
      </c>
      <c r="J940" s="4">
        <f>CHOOSE( CONTROL!$C$37, 33.7015, 33.7004) * CHOOSE(CONTROL!$C$20, $D$12, 100%, $F$12)</f>
        <v>33.701500000000003</v>
      </c>
      <c r="K940" s="4"/>
      <c r="L940" s="8">
        <v>28.360600000000002</v>
      </c>
      <c r="M940" s="8">
        <v>11.6745</v>
      </c>
      <c r="N940" s="8">
        <v>4.7850000000000001</v>
      </c>
      <c r="O940" s="8">
        <v>0.36199999999999999</v>
      </c>
      <c r="P940" s="8">
        <v>1.2509999999999999</v>
      </c>
      <c r="Q940" s="8">
        <v>19.053000000000001</v>
      </c>
      <c r="R940" s="8"/>
    </row>
    <row r="941" spans="1:18" ht="14.25" customHeight="1">
      <c r="A941" s="11">
        <v>69763</v>
      </c>
      <c r="B941" s="7">
        <f>CHOOSE( CONTROL!$C$37, 34.7243, 34.7232) * CHOOSE(CONTROL!$C$20, $D$12, 100%, $F$12)</f>
        <v>34.724299999999999</v>
      </c>
      <c r="C941" s="7">
        <f>CHOOSE( CONTROL!$C$37, 34.7294, 34.7283) * CHOOSE(CONTROL!$C$20, $D$12, 100%, $F$12)</f>
        <v>34.729399999999998</v>
      </c>
      <c r="D941" s="7">
        <f>CHOOSE( CONTROL!$C$37, 34.7094, 34.7083) * CHOOSE( CONTROL!$C$20, $D$12, 100%, $F$12)</f>
        <v>34.709400000000002</v>
      </c>
      <c r="E941" s="10">
        <f>CHOOSE( CONTROL!$C$37, 34.7162, 34.7151) * CHOOSE( CONTROL!$C$20, $D$12, 100%, $F$12)</f>
        <v>34.716200000000001</v>
      </c>
      <c r="F941" s="4">
        <f>CHOOSE( CONTROL!$C$37, 35.3768, 35.3757) * CHOOSE(CONTROL!$C$20, $D$12, 100%, $F$12)</f>
        <v>35.376800000000003</v>
      </c>
      <c r="G941" s="7">
        <f>CHOOSE( CONTROL!$C$37, 34.2736, 34.2726) * CHOOSE( CONTROL!$C$20, $D$12, 100%, $F$12)</f>
        <v>34.273600000000002</v>
      </c>
      <c r="H941" s="4">
        <f>CHOOSE( CONTROL!$C$37, 35.1571, 35.1561) * CHOOSE(CONTROL!$C$20, $D$12, 100%, $F$12)</f>
        <v>35.1571</v>
      </c>
      <c r="I941" s="7">
        <f>CHOOSE( CONTROL!$C$37, 33.8379, 33.8369) * CHOOSE(CONTROL!$C$20, $D$12, 100%, $F$12)</f>
        <v>33.837899999999998</v>
      </c>
      <c r="J941" s="4">
        <f>CHOOSE( CONTROL!$C$37, 33.6402, 33.6391) * CHOOSE(CONTROL!$C$20, $D$12, 100%, $F$12)</f>
        <v>33.6402</v>
      </c>
      <c r="K941" s="4"/>
      <c r="L941" s="8">
        <v>29.306000000000001</v>
      </c>
      <c r="M941" s="8">
        <v>12.063700000000001</v>
      </c>
      <c r="N941" s="8">
        <v>4.9444999999999997</v>
      </c>
      <c r="O941" s="8">
        <v>0.37409999999999999</v>
      </c>
      <c r="P941" s="8">
        <v>1.2927</v>
      </c>
      <c r="Q941" s="8">
        <v>19.688099999999999</v>
      </c>
      <c r="R941" s="8"/>
    </row>
    <row r="942" spans="1:18" ht="14.25" customHeight="1">
      <c r="A942" s="11">
        <v>69794</v>
      </c>
      <c r="B942" s="7">
        <f>CHOOSE( CONTROL!$C$37, 35.749, 35.7479) * CHOOSE(CONTROL!$C$20, $D$12, 100%, $F$12)</f>
        <v>35.749000000000002</v>
      </c>
      <c r="C942" s="7">
        <f>CHOOSE( CONTROL!$C$37, 35.7541, 35.753) * CHOOSE(CONTROL!$C$20, $D$12, 100%, $F$12)</f>
        <v>35.754100000000001</v>
      </c>
      <c r="D942" s="7">
        <f>CHOOSE( CONTROL!$C$37, 35.7472, 35.7461) * CHOOSE( CONTROL!$C$20, $D$12, 100%, $F$12)</f>
        <v>35.747199999999999</v>
      </c>
      <c r="E942" s="10">
        <f>CHOOSE( CONTROL!$C$37, 35.7492, 35.7481) * CHOOSE( CONTROL!$C$20, $D$12, 100%, $F$12)</f>
        <v>35.749200000000002</v>
      </c>
      <c r="F942" s="4">
        <f>CHOOSE( CONTROL!$C$37, 36.4016, 36.4005) * CHOOSE(CONTROL!$C$20, $D$12, 100%, $F$12)</f>
        <v>36.401600000000002</v>
      </c>
      <c r="G942" s="7">
        <f>CHOOSE( CONTROL!$C$37, 35.2886, 35.2875) * CHOOSE( CONTROL!$C$20, $D$12, 100%, $F$12)</f>
        <v>35.288600000000002</v>
      </c>
      <c r="H942" s="4">
        <f>CHOOSE( CONTROL!$C$37, 36.1676, 36.1665) * CHOOSE(CONTROL!$C$20, $D$12, 100%, $F$12)</f>
        <v>36.1676</v>
      </c>
      <c r="I942" s="7">
        <f>CHOOSE( CONTROL!$C$37, 34.802, 34.8009) * CHOOSE(CONTROL!$C$20, $D$12, 100%, $F$12)</f>
        <v>34.802</v>
      </c>
      <c r="J942" s="4">
        <f>CHOOSE( CONTROL!$C$37, 34.6324, 34.6314) * CHOOSE(CONTROL!$C$20, $D$12, 100%, $F$12)</f>
        <v>34.632399999999997</v>
      </c>
      <c r="K942" s="4"/>
      <c r="L942" s="8">
        <v>29.306000000000001</v>
      </c>
      <c r="M942" s="8">
        <v>12.063700000000001</v>
      </c>
      <c r="N942" s="8">
        <v>4.9444999999999997</v>
      </c>
      <c r="O942" s="8">
        <v>0.37409999999999999</v>
      </c>
      <c r="P942" s="8">
        <v>1.2927</v>
      </c>
      <c r="Q942" s="8">
        <v>19.688099999999999</v>
      </c>
      <c r="R942" s="8"/>
    </row>
    <row r="943" spans="1:18" ht="14.25" customHeight="1">
      <c r="A943" s="11">
        <v>69822</v>
      </c>
      <c r="B943" s="7">
        <f>CHOOSE( CONTROL!$C$37, 33.4369, 33.4358) * CHOOSE(CONTROL!$C$20, $D$12, 100%, $F$12)</f>
        <v>33.436900000000001</v>
      </c>
      <c r="C943" s="7">
        <f>CHOOSE( CONTROL!$C$37, 33.442, 33.4409) * CHOOSE(CONTROL!$C$20, $D$12, 100%, $F$12)</f>
        <v>33.442</v>
      </c>
      <c r="D943" s="7">
        <f>CHOOSE( CONTROL!$C$37, 33.435, 33.4339) * CHOOSE( CONTROL!$C$20, $D$12, 100%, $F$12)</f>
        <v>33.435000000000002</v>
      </c>
      <c r="E943" s="10">
        <f>CHOOSE( CONTROL!$C$37, 33.437, 33.4359) * CHOOSE( CONTROL!$C$20, $D$12, 100%, $F$12)</f>
        <v>33.436999999999998</v>
      </c>
      <c r="F943" s="4">
        <f>CHOOSE( CONTROL!$C$37, 34.0894, 34.0883) * CHOOSE(CONTROL!$C$20, $D$12, 100%, $F$12)</f>
        <v>34.089399999999998</v>
      </c>
      <c r="G943" s="7">
        <f>CHOOSE( CONTROL!$C$37, 33.0086, 33.0076) * CHOOSE( CONTROL!$C$20, $D$12, 100%, $F$12)</f>
        <v>33.008600000000001</v>
      </c>
      <c r="H943" s="4">
        <f>CHOOSE( CONTROL!$C$37, 33.8877, 33.8866) * CHOOSE(CONTROL!$C$20, $D$12, 100%, $F$12)</f>
        <v>33.887700000000002</v>
      </c>
      <c r="I943" s="7">
        <f>CHOOSE( CONTROL!$C$37, 32.5617, 32.5607) * CHOOSE(CONTROL!$C$20, $D$12, 100%, $F$12)</f>
        <v>32.561700000000002</v>
      </c>
      <c r="J943" s="4">
        <f>CHOOSE( CONTROL!$C$37, 32.3936, 32.3925) * CHOOSE(CONTROL!$C$20, $D$12, 100%, $F$12)</f>
        <v>32.393599999999999</v>
      </c>
      <c r="K943" s="4"/>
      <c r="L943" s="8">
        <v>26.469899999999999</v>
      </c>
      <c r="M943" s="8">
        <v>10.8962</v>
      </c>
      <c r="N943" s="8">
        <v>4.4660000000000002</v>
      </c>
      <c r="O943" s="8">
        <v>0.33789999999999998</v>
      </c>
      <c r="P943" s="8">
        <v>1.1676</v>
      </c>
      <c r="Q943" s="8">
        <v>17.782800000000002</v>
      </c>
      <c r="R943" s="8"/>
    </row>
    <row r="944" spans="1:18" ht="14.25" customHeight="1">
      <c r="A944" s="11">
        <v>69853</v>
      </c>
      <c r="B944" s="7">
        <f>CHOOSE( CONTROL!$C$37, 32.7247, 32.7236) * CHOOSE(CONTROL!$C$20, $D$12, 100%, $F$12)</f>
        <v>32.724699999999999</v>
      </c>
      <c r="C944" s="7">
        <f>CHOOSE( CONTROL!$C$37, 32.7298, 32.7287) * CHOOSE(CONTROL!$C$20, $D$12, 100%, $F$12)</f>
        <v>32.729799999999997</v>
      </c>
      <c r="D944" s="7">
        <f>CHOOSE( CONTROL!$C$37, 32.7222, 32.7211) * CHOOSE( CONTROL!$C$20, $D$12, 100%, $F$12)</f>
        <v>32.722200000000001</v>
      </c>
      <c r="E944" s="10">
        <f>CHOOSE( CONTROL!$C$37, 32.7244, 32.7233) * CHOOSE( CONTROL!$C$20, $D$12, 100%, $F$12)</f>
        <v>32.724400000000003</v>
      </c>
      <c r="F944" s="4">
        <f>CHOOSE( CONTROL!$C$37, 33.3773, 33.3762) * CHOOSE(CONTROL!$C$20, $D$12, 100%, $F$12)</f>
        <v>33.377299999999998</v>
      </c>
      <c r="G944" s="7">
        <f>CHOOSE( CONTROL!$C$37, 32.306, 32.3049) * CHOOSE( CONTROL!$C$20, $D$12, 100%, $F$12)</f>
        <v>32.305999999999997</v>
      </c>
      <c r="H944" s="4">
        <f>CHOOSE( CONTROL!$C$37, 33.1855, 33.1844) * CHOOSE(CONTROL!$C$20, $D$12, 100%, $F$12)</f>
        <v>33.185499999999998</v>
      </c>
      <c r="I944" s="7">
        <f>CHOOSE( CONTROL!$C$37, 31.8699, 31.8688) * CHOOSE(CONTROL!$C$20, $D$12, 100%, $F$12)</f>
        <v>31.869900000000001</v>
      </c>
      <c r="J944" s="4">
        <f>CHOOSE( CONTROL!$C$37, 31.704, 31.703) * CHOOSE(CONTROL!$C$20, $D$12, 100%, $F$12)</f>
        <v>31.704000000000001</v>
      </c>
      <c r="K944" s="4"/>
      <c r="L944" s="8">
        <v>29.306000000000001</v>
      </c>
      <c r="M944" s="8">
        <v>12.063700000000001</v>
      </c>
      <c r="N944" s="8">
        <v>4.9444999999999997</v>
      </c>
      <c r="O944" s="8">
        <v>0.37409999999999999</v>
      </c>
      <c r="P944" s="8">
        <v>1.2927</v>
      </c>
      <c r="Q944" s="8">
        <v>19.688099999999999</v>
      </c>
      <c r="R944" s="8"/>
    </row>
    <row r="945" spans="1:18" ht="14.25" customHeight="1">
      <c r="A945" s="11">
        <v>69883</v>
      </c>
      <c r="B945" s="7">
        <f>CHOOSE( CONTROL!$C$37, 33.2231, 33.222) * CHOOSE(CONTROL!$C$20, $D$12, 100%, $F$12)</f>
        <v>33.223100000000002</v>
      </c>
      <c r="C945" s="7">
        <f>CHOOSE( CONTROL!$C$37, 33.2277, 33.2266) * CHOOSE(CONTROL!$C$20, $D$12, 100%, $F$12)</f>
        <v>33.227699999999999</v>
      </c>
      <c r="D945" s="7">
        <f>CHOOSE( CONTROL!$C$37, 33.2395, 33.2384) * CHOOSE( CONTROL!$C$20, $D$12, 100%, $F$12)</f>
        <v>33.2395</v>
      </c>
      <c r="E945" s="10">
        <f>CHOOSE( CONTROL!$C$37, 33.2351, 33.234) * CHOOSE( CONTROL!$C$20, $D$12, 100%, $F$12)</f>
        <v>33.235100000000003</v>
      </c>
      <c r="F945" s="4">
        <f>CHOOSE( CONTROL!$C$37, 33.9498, 33.9487) * CHOOSE(CONTROL!$C$20, $D$12, 100%, $F$12)</f>
        <v>33.949800000000003</v>
      </c>
      <c r="G945" s="7">
        <f>CHOOSE( CONTROL!$C$37, 32.8049, 32.8038) * CHOOSE( CONTROL!$C$20, $D$12, 100%, $F$12)</f>
        <v>32.804900000000004</v>
      </c>
      <c r="H945" s="4">
        <f>CHOOSE( CONTROL!$C$37, 33.75, 33.7489) * CHOOSE(CONTROL!$C$20, $D$12, 100%, $F$12)</f>
        <v>33.75</v>
      </c>
      <c r="I945" s="7">
        <f>CHOOSE( CONTROL!$C$37, 32.3246, 32.3235) * CHOOSE(CONTROL!$C$20, $D$12, 100%, $F$12)</f>
        <v>32.324599999999997</v>
      </c>
      <c r="J945" s="4">
        <f>CHOOSE( CONTROL!$C$37, 32.1859, 32.1848) * CHOOSE(CONTROL!$C$20, $D$12, 100%, $F$12)</f>
        <v>32.185899999999997</v>
      </c>
      <c r="K945" s="4"/>
      <c r="L945" s="8">
        <v>30.092199999999998</v>
      </c>
      <c r="M945" s="8">
        <v>11.6745</v>
      </c>
      <c r="N945" s="8">
        <v>4.7850000000000001</v>
      </c>
      <c r="O945" s="8">
        <v>0.36199999999999999</v>
      </c>
      <c r="P945" s="8">
        <v>1.2509999999999999</v>
      </c>
      <c r="Q945" s="8">
        <v>19.053000000000001</v>
      </c>
      <c r="R945" s="8"/>
    </row>
    <row r="946" spans="1:18" ht="14.25" customHeight="1">
      <c r="A946" s="11">
        <v>69914</v>
      </c>
      <c r="B946" s="7">
        <f>CHOOSE( CONTROL!$C$37, 34.1107, 34.1091) * CHOOSE(CONTROL!$C$20, $D$12, 100%, $F$12)</f>
        <v>34.110700000000001</v>
      </c>
      <c r="C946" s="7">
        <f>CHOOSE( CONTROL!$C$37, 34.1187, 34.1171) * CHOOSE(CONTROL!$C$20, $D$12, 100%, $F$12)</f>
        <v>34.118699999999997</v>
      </c>
      <c r="D946" s="7">
        <f>CHOOSE( CONTROL!$C$37, 34.1244, 34.1227) * CHOOSE( CONTROL!$C$20, $D$12, 100%, $F$12)</f>
        <v>34.124400000000001</v>
      </c>
      <c r="E946" s="10">
        <f>CHOOSE( CONTROL!$C$37, 34.1211, 34.1195) * CHOOSE( CONTROL!$C$20, $D$12, 100%, $F$12)</f>
        <v>34.121099999999998</v>
      </c>
      <c r="F946" s="4">
        <f>CHOOSE( CONTROL!$C$37, 34.836, 34.8343) * CHOOSE(CONTROL!$C$20, $D$12, 100%, $F$12)</f>
        <v>34.835999999999999</v>
      </c>
      <c r="G946" s="7">
        <f>CHOOSE( CONTROL!$C$37, 33.6787, 33.6771) * CHOOSE( CONTROL!$C$20, $D$12, 100%, $F$12)</f>
        <v>33.678699999999999</v>
      </c>
      <c r="H946" s="4">
        <f>CHOOSE( CONTROL!$C$37, 34.6238, 34.6222) * CHOOSE(CONTROL!$C$20, $D$12, 100%, $F$12)</f>
        <v>34.623800000000003</v>
      </c>
      <c r="I946" s="7">
        <f>CHOOSE( CONTROL!$C$37, 33.1829, 33.1812) * CHOOSE(CONTROL!$C$20, $D$12, 100%, $F$12)</f>
        <v>33.182899999999997</v>
      </c>
      <c r="J946" s="4">
        <f>CHOOSE( CONTROL!$C$37, 33.044, 33.0424) * CHOOSE(CONTROL!$C$20, $D$12, 100%, $F$12)</f>
        <v>33.043999999999997</v>
      </c>
      <c r="K946" s="4"/>
      <c r="L946" s="8">
        <v>30.7165</v>
      </c>
      <c r="M946" s="8">
        <v>12.063700000000001</v>
      </c>
      <c r="N946" s="8">
        <v>4.9444999999999997</v>
      </c>
      <c r="O946" s="8">
        <v>0.37409999999999999</v>
      </c>
      <c r="P946" s="8">
        <v>1.2927</v>
      </c>
      <c r="Q946" s="8">
        <v>19.688099999999999</v>
      </c>
      <c r="R946" s="8"/>
    </row>
    <row r="947" spans="1:18" ht="14.25" customHeight="1">
      <c r="A947" s="11">
        <v>69944</v>
      </c>
      <c r="B947" s="7">
        <f>CHOOSE( CONTROL!$C$37, 33.5621, 33.5604) * CHOOSE(CONTROL!$C$20, $D$12, 100%, $F$12)</f>
        <v>33.562100000000001</v>
      </c>
      <c r="C947" s="7">
        <f>CHOOSE( CONTROL!$C$37, 33.5701, 33.5684) * CHOOSE(CONTROL!$C$20, $D$12, 100%, $F$12)</f>
        <v>33.570099999999996</v>
      </c>
      <c r="D947" s="7">
        <f>CHOOSE( CONTROL!$C$37, 33.576, 33.5744) * CHOOSE( CONTROL!$C$20, $D$12, 100%, $F$12)</f>
        <v>33.576000000000001</v>
      </c>
      <c r="E947" s="10">
        <f>CHOOSE( CONTROL!$C$37, 33.5726, 33.571) * CHOOSE( CONTROL!$C$20, $D$12, 100%, $F$12)</f>
        <v>33.572600000000001</v>
      </c>
      <c r="F947" s="4">
        <f>CHOOSE( CONTROL!$C$37, 34.2874, 34.2857) * CHOOSE(CONTROL!$C$20, $D$12, 100%, $F$12)</f>
        <v>34.287399999999998</v>
      </c>
      <c r="G947" s="7">
        <f>CHOOSE( CONTROL!$C$37, 33.138, 33.1363) * CHOOSE( CONTROL!$C$20, $D$12, 100%, $F$12)</f>
        <v>33.137999999999998</v>
      </c>
      <c r="H947" s="4">
        <f>CHOOSE( CONTROL!$C$37, 34.0829, 34.0812) * CHOOSE(CONTROL!$C$20, $D$12, 100%, $F$12)</f>
        <v>34.082900000000002</v>
      </c>
      <c r="I947" s="7">
        <f>CHOOSE( CONTROL!$C$37, 32.6523, 32.6507) * CHOOSE(CONTROL!$C$20, $D$12, 100%, $F$12)</f>
        <v>32.652299999999997</v>
      </c>
      <c r="J947" s="4">
        <f>CHOOSE( CONTROL!$C$37, 32.5128, 32.5112) * CHOOSE(CONTROL!$C$20, $D$12, 100%, $F$12)</f>
        <v>32.512799999999999</v>
      </c>
      <c r="K947" s="4"/>
      <c r="L947" s="8">
        <v>29.7257</v>
      </c>
      <c r="M947" s="8">
        <v>11.6745</v>
      </c>
      <c r="N947" s="8">
        <v>4.7850000000000001</v>
      </c>
      <c r="O947" s="8">
        <v>0.36199999999999999</v>
      </c>
      <c r="P947" s="8">
        <v>1.2509999999999999</v>
      </c>
      <c r="Q947" s="8">
        <v>19.053000000000001</v>
      </c>
      <c r="R947" s="8"/>
    </row>
    <row r="948" spans="1:18" ht="14.25" customHeight="1">
      <c r="A948" s="11">
        <v>69975</v>
      </c>
      <c r="B948" s="7">
        <f>CHOOSE( CONTROL!$C$37, 35.0068, 35.0052) * CHOOSE(CONTROL!$C$20, $D$12, 100%, $F$12)</f>
        <v>35.006799999999998</v>
      </c>
      <c r="C948" s="7">
        <f>CHOOSE( CONTROL!$C$37, 35.0148, 35.0132) * CHOOSE(CONTROL!$C$20, $D$12, 100%, $F$12)</f>
        <v>35.014800000000001</v>
      </c>
      <c r="D948" s="7">
        <f>CHOOSE( CONTROL!$C$37, 35.0211, 35.0194) * CHOOSE( CONTROL!$C$20, $D$12, 100%, $F$12)</f>
        <v>35.021099999999997</v>
      </c>
      <c r="E948" s="10">
        <f>CHOOSE( CONTROL!$C$37, 35.0176, 35.0159) * CHOOSE( CONTROL!$C$20, $D$12, 100%, $F$12)</f>
        <v>35.017600000000002</v>
      </c>
      <c r="F948" s="4">
        <f>CHOOSE( CONTROL!$C$37, 35.7321, 35.7305) * CHOOSE(CONTROL!$C$20, $D$12, 100%, $F$12)</f>
        <v>35.732100000000003</v>
      </c>
      <c r="G948" s="7">
        <f>CHOOSE( CONTROL!$C$37, 34.5628, 34.5612) * CHOOSE( CONTROL!$C$20, $D$12, 100%, $F$12)</f>
        <v>34.562800000000003</v>
      </c>
      <c r="H948" s="4">
        <f>CHOOSE( CONTROL!$C$37, 35.5075, 35.5058) * CHOOSE(CONTROL!$C$20, $D$12, 100%, $F$12)</f>
        <v>35.5075</v>
      </c>
      <c r="I948" s="7">
        <f>CHOOSE( CONTROL!$C$37, 34.053, 34.0514) * CHOOSE(CONTROL!$C$20, $D$12, 100%, $F$12)</f>
        <v>34.052999999999997</v>
      </c>
      <c r="J948" s="4">
        <f>CHOOSE( CONTROL!$C$37, 33.9117, 33.9101) * CHOOSE(CONTROL!$C$20, $D$12, 100%, $F$12)</f>
        <v>33.911700000000003</v>
      </c>
      <c r="K948" s="4"/>
      <c r="L948" s="8">
        <v>30.7165</v>
      </c>
      <c r="M948" s="8">
        <v>12.063700000000001</v>
      </c>
      <c r="N948" s="8">
        <v>4.9444999999999997</v>
      </c>
      <c r="O948" s="8">
        <v>0.37409999999999999</v>
      </c>
      <c r="P948" s="8">
        <v>1.2927</v>
      </c>
      <c r="Q948" s="8">
        <v>19.688099999999999</v>
      </c>
      <c r="R948" s="8"/>
    </row>
    <row r="949" spans="1:18" ht="14.25" customHeight="1">
      <c r="A949" s="11">
        <v>70006</v>
      </c>
      <c r="B949" s="7">
        <f>CHOOSE( CONTROL!$C$37, 32.3035, 32.3019) * CHOOSE(CONTROL!$C$20, $D$12, 100%, $F$12)</f>
        <v>32.3035</v>
      </c>
      <c r="C949" s="7">
        <f>CHOOSE( CONTROL!$C$37, 32.3115, 32.3099) * CHOOSE(CONTROL!$C$20, $D$12, 100%, $F$12)</f>
        <v>32.311500000000002</v>
      </c>
      <c r="D949" s="7">
        <f>CHOOSE( CONTROL!$C$37, 32.3179, 32.3162) * CHOOSE( CONTROL!$C$20, $D$12, 100%, $F$12)</f>
        <v>32.317900000000002</v>
      </c>
      <c r="E949" s="10">
        <f>CHOOSE( CONTROL!$C$37, 32.3144, 32.3127) * CHOOSE( CONTROL!$C$20, $D$12, 100%, $F$12)</f>
        <v>32.314399999999999</v>
      </c>
      <c r="F949" s="4">
        <f>CHOOSE( CONTROL!$C$37, 33.0288, 33.0272) * CHOOSE(CONTROL!$C$20, $D$12, 100%, $F$12)</f>
        <v>33.028799999999997</v>
      </c>
      <c r="G949" s="7">
        <f>CHOOSE( CONTROL!$C$37, 31.8973, 31.8957) * CHOOSE( CONTROL!$C$20, $D$12, 100%, $F$12)</f>
        <v>31.897300000000001</v>
      </c>
      <c r="H949" s="4">
        <f>CHOOSE( CONTROL!$C$37, 32.8419, 32.8402) * CHOOSE(CONTROL!$C$20, $D$12, 100%, $F$12)</f>
        <v>32.841900000000003</v>
      </c>
      <c r="I949" s="7">
        <f>CHOOSE( CONTROL!$C$37, 31.4344, 31.4328) * CHOOSE(CONTROL!$C$20, $D$12, 100%, $F$12)</f>
        <v>31.4344</v>
      </c>
      <c r="J949" s="4">
        <f>CHOOSE( CONTROL!$C$37, 31.2941, 31.2925) * CHOOSE(CONTROL!$C$20, $D$12, 100%, $F$12)</f>
        <v>31.2941</v>
      </c>
      <c r="K949" s="4"/>
      <c r="L949" s="8">
        <v>30.7165</v>
      </c>
      <c r="M949" s="8">
        <v>12.063700000000001</v>
      </c>
      <c r="N949" s="8">
        <v>4.9444999999999997</v>
      </c>
      <c r="O949" s="8">
        <v>0.37409999999999999</v>
      </c>
      <c r="P949" s="8">
        <v>1.2927</v>
      </c>
      <c r="Q949" s="8">
        <v>19.688099999999999</v>
      </c>
      <c r="R949" s="8"/>
    </row>
    <row r="950" spans="1:18" ht="14.25" customHeight="1">
      <c r="A950" s="11">
        <v>70036</v>
      </c>
      <c r="B950" s="7">
        <f>CHOOSE( CONTROL!$C$37, 31.6266, 31.6249) * CHOOSE(CONTROL!$C$20, $D$12, 100%, $F$12)</f>
        <v>31.6266</v>
      </c>
      <c r="C950" s="7">
        <f>CHOOSE( CONTROL!$C$37, 31.6346, 31.6329) * CHOOSE(CONTROL!$C$20, $D$12, 100%, $F$12)</f>
        <v>31.634599999999999</v>
      </c>
      <c r="D950" s="7">
        <f>CHOOSE( CONTROL!$C$37, 31.6408, 31.6391) * CHOOSE( CONTROL!$C$20, $D$12, 100%, $F$12)</f>
        <v>31.640799999999999</v>
      </c>
      <c r="E950" s="10">
        <f>CHOOSE( CONTROL!$C$37, 31.6373, 31.6356) * CHOOSE( CONTROL!$C$20, $D$12, 100%, $F$12)</f>
        <v>31.6373</v>
      </c>
      <c r="F950" s="4">
        <f>CHOOSE( CONTROL!$C$37, 32.3519, 32.3502) * CHOOSE(CONTROL!$C$20, $D$12, 100%, $F$12)</f>
        <v>32.351900000000001</v>
      </c>
      <c r="G950" s="7">
        <f>CHOOSE( CONTROL!$C$37, 31.2297, 31.2281) * CHOOSE( CONTROL!$C$20, $D$12, 100%, $F$12)</f>
        <v>31.229700000000001</v>
      </c>
      <c r="H950" s="4">
        <f>CHOOSE( CONTROL!$C$37, 32.1744, 32.1727) * CHOOSE(CONTROL!$C$20, $D$12, 100%, $F$12)</f>
        <v>32.174399999999999</v>
      </c>
      <c r="I950" s="7">
        <f>CHOOSE( CONTROL!$C$37, 30.7782, 30.7766) * CHOOSE(CONTROL!$C$20, $D$12, 100%, $F$12)</f>
        <v>30.778199999999998</v>
      </c>
      <c r="J950" s="4">
        <f>CHOOSE( CONTROL!$C$37, 30.6386, 30.637) * CHOOSE(CONTROL!$C$20, $D$12, 100%, $F$12)</f>
        <v>30.6386</v>
      </c>
      <c r="K950" s="4"/>
      <c r="L950" s="8">
        <v>29.7257</v>
      </c>
      <c r="M950" s="8">
        <v>11.6745</v>
      </c>
      <c r="N950" s="8">
        <v>4.7850000000000001</v>
      </c>
      <c r="O950" s="8">
        <v>0.36199999999999999</v>
      </c>
      <c r="P950" s="8">
        <v>1.2509999999999999</v>
      </c>
      <c r="Q950" s="8">
        <v>19.053000000000001</v>
      </c>
      <c r="R950" s="8"/>
    </row>
    <row r="951" spans="1:18" ht="14.25" customHeight="1">
      <c r="A951" s="11">
        <v>70067</v>
      </c>
      <c r="B951" s="7">
        <f>CHOOSE( CONTROL!$C$37, 33.0299, 33.0288) * CHOOSE(CONTROL!$C$20, $D$12, 100%, $F$12)</f>
        <v>33.029899999999998</v>
      </c>
      <c r="C951" s="7">
        <f>CHOOSE( CONTROL!$C$37, 33.0352, 33.0341) * CHOOSE(CONTROL!$C$20, $D$12, 100%, $F$12)</f>
        <v>33.035200000000003</v>
      </c>
      <c r="D951" s="7">
        <f>CHOOSE( CONTROL!$C$37, 33.0472, 33.0461) * CHOOSE( CONTROL!$C$20, $D$12, 100%, $F$12)</f>
        <v>33.047199999999997</v>
      </c>
      <c r="E951" s="10">
        <f>CHOOSE( CONTROL!$C$37, 33.0427, 33.0416) * CHOOSE( CONTROL!$C$20, $D$12, 100%, $F$12)</f>
        <v>33.042700000000004</v>
      </c>
      <c r="F951" s="4">
        <f>CHOOSE( CONTROL!$C$37, 33.7569, 33.7558) * CHOOSE(CONTROL!$C$20, $D$12, 100%, $F$12)</f>
        <v>33.756900000000002</v>
      </c>
      <c r="G951" s="7">
        <f>CHOOSE( CONTROL!$C$37, 32.6152, 32.6142) * CHOOSE( CONTROL!$C$20, $D$12, 100%, $F$12)</f>
        <v>32.615200000000002</v>
      </c>
      <c r="H951" s="4">
        <f>CHOOSE( CONTROL!$C$37, 33.5598, 33.5587) * CHOOSE(CONTROL!$C$20, $D$12, 100%, $F$12)</f>
        <v>33.559800000000003</v>
      </c>
      <c r="I951" s="7">
        <f>CHOOSE( CONTROL!$C$37, 32.14, 32.1389) * CHOOSE(CONTROL!$C$20, $D$12, 100%, $F$12)</f>
        <v>32.14</v>
      </c>
      <c r="J951" s="4">
        <f>CHOOSE( CONTROL!$C$37, 31.9991, 31.998) * CHOOSE(CONTROL!$C$20, $D$12, 100%, $F$12)</f>
        <v>31.999099999999999</v>
      </c>
      <c r="K951" s="4"/>
      <c r="L951" s="8">
        <v>31.095300000000002</v>
      </c>
      <c r="M951" s="8">
        <v>12.063700000000001</v>
      </c>
      <c r="N951" s="8">
        <v>4.9444999999999997</v>
      </c>
      <c r="O951" s="8">
        <v>0.37409999999999999</v>
      </c>
      <c r="P951" s="8">
        <v>1.2927</v>
      </c>
      <c r="Q951" s="8">
        <v>19.688099999999999</v>
      </c>
      <c r="R951" s="8"/>
    </row>
    <row r="952" spans="1:18" ht="14.25" customHeight="1">
      <c r="A952" s="11">
        <v>70097</v>
      </c>
      <c r="B952" s="7">
        <f>CHOOSE( CONTROL!$C$37, 35.6238, 35.6228) * CHOOSE(CONTROL!$C$20, $D$12, 100%, $F$12)</f>
        <v>35.623800000000003</v>
      </c>
      <c r="C952" s="7">
        <f>CHOOSE( CONTROL!$C$37, 35.6289, 35.6279) * CHOOSE(CONTROL!$C$20, $D$12, 100%, $F$12)</f>
        <v>35.628900000000002</v>
      </c>
      <c r="D952" s="7">
        <f>CHOOSE( CONTROL!$C$37, 35.6074, 35.6063) * CHOOSE( CONTROL!$C$20, $D$12, 100%, $F$12)</f>
        <v>35.607399999999998</v>
      </c>
      <c r="E952" s="10">
        <f>CHOOSE( CONTROL!$C$37, 35.6147, 35.6137) * CHOOSE( CONTROL!$C$20, $D$12, 100%, $F$12)</f>
        <v>35.614699999999999</v>
      </c>
      <c r="F952" s="4">
        <f>CHOOSE( CONTROL!$C$37, 36.2764, 36.2753) * CHOOSE(CONTROL!$C$20, $D$12, 100%, $F$12)</f>
        <v>36.276400000000002</v>
      </c>
      <c r="G952" s="7">
        <f>CHOOSE( CONTROL!$C$37, 35.1595, 35.1584) * CHOOSE( CONTROL!$C$20, $D$12, 100%, $F$12)</f>
        <v>35.159500000000001</v>
      </c>
      <c r="H952" s="4">
        <f>CHOOSE( CONTROL!$C$37, 36.0441, 36.0431) * CHOOSE(CONTROL!$C$20, $D$12, 100%, $F$12)</f>
        <v>36.0441</v>
      </c>
      <c r="I952" s="7">
        <f>CHOOSE( CONTROL!$C$37, 34.7045, 34.7035) * CHOOSE(CONTROL!$C$20, $D$12, 100%, $F$12)</f>
        <v>34.704500000000003</v>
      </c>
      <c r="J952" s="4">
        <f>CHOOSE( CONTROL!$C$37, 34.5112, 34.5102) * CHOOSE(CONTROL!$C$20, $D$12, 100%, $F$12)</f>
        <v>34.511200000000002</v>
      </c>
      <c r="K952" s="4"/>
      <c r="L952" s="8">
        <v>28.360600000000002</v>
      </c>
      <c r="M952" s="8">
        <v>11.6745</v>
      </c>
      <c r="N952" s="8">
        <v>4.7850000000000001</v>
      </c>
      <c r="O952" s="8">
        <v>0.36199999999999999</v>
      </c>
      <c r="P952" s="8">
        <v>1.2509999999999999</v>
      </c>
      <c r="Q952" s="8">
        <v>19.053000000000001</v>
      </c>
      <c r="R952" s="8"/>
    </row>
    <row r="953" spans="1:18" ht="14.25" customHeight="1">
      <c r="A953" s="11">
        <v>70128</v>
      </c>
      <c r="B953" s="7">
        <f>CHOOSE( CONTROL!$C$37, 35.559, 35.5579) * CHOOSE(CONTROL!$C$20, $D$12, 100%, $F$12)</f>
        <v>35.558999999999997</v>
      </c>
      <c r="C953" s="7">
        <f>CHOOSE( CONTROL!$C$37, 35.5641, 35.563) * CHOOSE(CONTROL!$C$20, $D$12, 100%, $F$12)</f>
        <v>35.564100000000003</v>
      </c>
      <c r="D953" s="7">
        <f>CHOOSE( CONTROL!$C$37, 35.5441, 35.5431) * CHOOSE( CONTROL!$C$20, $D$12, 100%, $F$12)</f>
        <v>35.5441</v>
      </c>
      <c r="E953" s="10">
        <f>CHOOSE( CONTROL!$C$37, 35.5509, 35.5498) * CHOOSE( CONTROL!$C$20, $D$12, 100%, $F$12)</f>
        <v>35.550899999999999</v>
      </c>
      <c r="F953" s="4">
        <f>CHOOSE( CONTROL!$C$37, 36.2116, 36.2105) * CHOOSE(CONTROL!$C$20, $D$12, 100%, $F$12)</f>
        <v>36.211599999999997</v>
      </c>
      <c r="G953" s="7">
        <f>CHOOSE( CONTROL!$C$37, 35.0967, 35.0957) * CHOOSE( CONTROL!$C$20, $D$12, 100%, $F$12)</f>
        <v>35.096699999999998</v>
      </c>
      <c r="H953" s="4">
        <f>CHOOSE( CONTROL!$C$37, 35.9802, 35.9791) * CHOOSE(CONTROL!$C$20, $D$12, 100%, $F$12)</f>
        <v>35.980200000000004</v>
      </c>
      <c r="I953" s="7">
        <f>CHOOSE( CONTROL!$C$37, 34.6466, 34.6456) * CHOOSE(CONTROL!$C$20, $D$12, 100%, $F$12)</f>
        <v>34.646599999999999</v>
      </c>
      <c r="J953" s="4">
        <f>CHOOSE( CONTROL!$C$37, 34.4485, 34.4474) * CHOOSE(CONTROL!$C$20, $D$12, 100%, $F$12)</f>
        <v>34.448500000000003</v>
      </c>
      <c r="K953" s="4"/>
      <c r="L953" s="8">
        <v>29.306000000000001</v>
      </c>
      <c r="M953" s="8">
        <v>12.063700000000001</v>
      </c>
      <c r="N953" s="8">
        <v>4.9444999999999997</v>
      </c>
      <c r="O953" s="8">
        <v>0.37409999999999999</v>
      </c>
      <c r="P953" s="8">
        <v>1.2927</v>
      </c>
      <c r="Q953" s="8">
        <v>19.688099999999999</v>
      </c>
      <c r="R953" s="8"/>
    </row>
    <row r="954" spans="1:18" ht="14.25" customHeight="1">
      <c r="A954" s="11">
        <v>70159</v>
      </c>
      <c r="B954" s="7">
        <f>CHOOSE( CONTROL!$C$37, 36.6084, 36.6073) * CHOOSE(CONTROL!$C$20, $D$12, 100%, $F$12)</f>
        <v>36.608400000000003</v>
      </c>
      <c r="C954" s="7">
        <f>CHOOSE( CONTROL!$C$37, 36.6135, 36.6124) * CHOOSE(CONTROL!$C$20, $D$12, 100%, $F$12)</f>
        <v>36.613500000000002</v>
      </c>
      <c r="D954" s="7">
        <f>CHOOSE( CONTROL!$C$37, 36.6066, 36.6055) * CHOOSE( CONTROL!$C$20, $D$12, 100%, $F$12)</f>
        <v>36.6066</v>
      </c>
      <c r="E954" s="10">
        <f>CHOOSE( CONTROL!$C$37, 36.6086, 36.6075) * CHOOSE( CONTROL!$C$20, $D$12, 100%, $F$12)</f>
        <v>36.608600000000003</v>
      </c>
      <c r="F954" s="4">
        <f>CHOOSE( CONTROL!$C$37, 37.2609, 37.2598) * CHOOSE(CONTROL!$C$20, $D$12, 100%, $F$12)</f>
        <v>37.260899999999999</v>
      </c>
      <c r="G954" s="7">
        <f>CHOOSE( CONTROL!$C$37, 36.1359, 36.1349) * CHOOSE( CONTROL!$C$20, $D$12, 100%, $F$12)</f>
        <v>36.135899999999999</v>
      </c>
      <c r="H954" s="4">
        <f>CHOOSE( CONTROL!$C$37, 37.0149, 37.0139) * CHOOSE(CONTROL!$C$20, $D$12, 100%, $F$12)</f>
        <v>37.014899999999997</v>
      </c>
      <c r="I954" s="7">
        <f>CHOOSE( CONTROL!$C$37, 35.6345, 35.6334) * CHOOSE(CONTROL!$C$20, $D$12, 100%, $F$12)</f>
        <v>35.634500000000003</v>
      </c>
      <c r="J954" s="4">
        <f>CHOOSE( CONTROL!$C$37, 35.4645, 35.4635) * CHOOSE(CONTROL!$C$20, $D$12, 100%, $F$12)</f>
        <v>35.464500000000001</v>
      </c>
      <c r="K954" s="4"/>
      <c r="L954" s="8">
        <v>29.306000000000001</v>
      </c>
      <c r="M954" s="8">
        <v>12.063700000000001</v>
      </c>
      <c r="N954" s="8">
        <v>4.9444999999999997</v>
      </c>
      <c r="O954" s="8">
        <v>0.37409999999999999</v>
      </c>
      <c r="P954" s="8">
        <v>1.2927</v>
      </c>
      <c r="Q954" s="8">
        <v>19.688099999999999</v>
      </c>
      <c r="R954" s="8"/>
    </row>
    <row r="955" spans="1:18" ht="14.25" customHeight="1">
      <c r="A955" s="11">
        <v>70188</v>
      </c>
      <c r="B955" s="7">
        <f>CHOOSE( CONTROL!$C$37, 34.2407, 34.2396) * CHOOSE(CONTROL!$C$20, $D$12, 100%, $F$12)</f>
        <v>34.240699999999997</v>
      </c>
      <c r="C955" s="7">
        <f>CHOOSE( CONTROL!$C$37, 34.2458, 34.2447) * CHOOSE(CONTROL!$C$20, $D$12, 100%, $F$12)</f>
        <v>34.245800000000003</v>
      </c>
      <c r="D955" s="7">
        <f>CHOOSE( CONTROL!$C$37, 34.2388, 34.2377) * CHOOSE( CONTROL!$C$20, $D$12, 100%, $F$12)</f>
        <v>34.238799999999998</v>
      </c>
      <c r="E955" s="10">
        <f>CHOOSE( CONTROL!$C$37, 34.2408, 34.2397) * CHOOSE( CONTROL!$C$20, $D$12, 100%, $F$12)</f>
        <v>34.2408</v>
      </c>
      <c r="F955" s="4">
        <f>CHOOSE( CONTROL!$C$37, 34.8932, 34.8921) * CHOOSE(CONTROL!$C$20, $D$12, 100%, $F$12)</f>
        <v>34.8932</v>
      </c>
      <c r="G955" s="7">
        <f>CHOOSE( CONTROL!$C$37, 33.8012, 33.8001) * CHOOSE( CONTROL!$C$20, $D$12, 100%, $F$12)</f>
        <v>33.801200000000001</v>
      </c>
      <c r="H955" s="4">
        <f>CHOOSE( CONTROL!$C$37, 34.6802, 34.6792) * CHOOSE(CONTROL!$C$20, $D$12, 100%, $F$12)</f>
        <v>34.680199999999999</v>
      </c>
      <c r="I955" s="7">
        <f>CHOOSE( CONTROL!$C$37, 33.3404, 33.3394) * CHOOSE(CONTROL!$C$20, $D$12, 100%, $F$12)</f>
        <v>33.340400000000002</v>
      </c>
      <c r="J955" s="4">
        <f>CHOOSE( CONTROL!$C$37, 33.1719, 33.1708) * CHOOSE(CONTROL!$C$20, $D$12, 100%, $F$12)</f>
        <v>33.171900000000001</v>
      </c>
      <c r="K955" s="4"/>
      <c r="L955" s="8">
        <v>27.415299999999998</v>
      </c>
      <c r="M955" s="8">
        <v>11.285299999999999</v>
      </c>
      <c r="N955" s="8">
        <v>4.6254999999999997</v>
      </c>
      <c r="O955" s="8">
        <v>0.34989999999999999</v>
      </c>
      <c r="P955" s="8">
        <v>1.2093</v>
      </c>
      <c r="Q955" s="8">
        <v>18.417899999999999</v>
      </c>
      <c r="R955" s="8"/>
    </row>
    <row r="956" spans="1:18" ht="14.25" customHeight="1">
      <c r="A956" s="11">
        <v>70219</v>
      </c>
      <c r="B956" s="7">
        <f>CHOOSE( CONTROL!$C$37, 33.5114, 33.5103) * CHOOSE(CONTROL!$C$20, $D$12, 100%, $F$12)</f>
        <v>33.511400000000002</v>
      </c>
      <c r="C956" s="7">
        <f>CHOOSE( CONTROL!$C$37, 33.5165, 33.5154) * CHOOSE(CONTROL!$C$20, $D$12, 100%, $F$12)</f>
        <v>33.516500000000001</v>
      </c>
      <c r="D956" s="7">
        <f>CHOOSE( CONTROL!$C$37, 33.5089, 33.5078) * CHOOSE( CONTROL!$C$20, $D$12, 100%, $F$12)</f>
        <v>33.508899999999997</v>
      </c>
      <c r="E956" s="10">
        <f>CHOOSE( CONTROL!$C$37, 33.5111, 33.51) * CHOOSE( CONTROL!$C$20, $D$12, 100%, $F$12)</f>
        <v>33.511099999999999</v>
      </c>
      <c r="F956" s="4">
        <f>CHOOSE( CONTROL!$C$37, 34.164, 34.1629) * CHOOSE(CONTROL!$C$20, $D$12, 100%, $F$12)</f>
        <v>34.164000000000001</v>
      </c>
      <c r="G956" s="7">
        <f>CHOOSE( CONTROL!$C$37, 33.0817, 33.0806) * CHOOSE( CONTROL!$C$20, $D$12, 100%, $F$12)</f>
        <v>33.081699999999998</v>
      </c>
      <c r="H956" s="4">
        <f>CHOOSE( CONTROL!$C$37, 33.9612, 33.9601) * CHOOSE(CONTROL!$C$20, $D$12, 100%, $F$12)</f>
        <v>33.961199999999998</v>
      </c>
      <c r="I956" s="7">
        <f>CHOOSE( CONTROL!$C$37, 32.632, 32.631) * CHOOSE(CONTROL!$C$20, $D$12, 100%, $F$12)</f>
        <v>32.631999999999998</v>
      </c>
      <c r="J956" s="4">
        <f>CHOOSE( CONTROL!$C$37, 32.4658, 32.4647) * CHOOSE(CONTROL!$C$20, $D$12, 100%, $F$12)</f>
        <v>32.465800000000002</v>
      </c>
      <c r="K956" s="4"/>
      <c r="L956" s="8">
        <v>29.306000000000001</v>
      </c>
      <c r="M956" s="8">
        <v>12.063700000000001</v>
      </c>
      <c r="N956" s="8">
        <v>4.9444999999999997</v>
      </c>
      <c r="O956" s="8">
        <v>0.37409999999999999</v>
      </c>
      <c r="P956" s="8">
        <v>1.2927</v>
      </c>
      <c r="Q956" s="8">
        <v>19.688099999999999</v>
      </c>
      <c r="R956" s="8"/>
    </row>
    <row r="957" spans="1:18" ht="14.25" customHeight="1">
      <c r="A957" s="11">
        <v>70249</v>
      </c>
      <c r="B957" s="7">
        <f>CHOOSE( CONTROL!$C$37, 34.0218, 34.0207) * CHOOSE(CONTROL!$C$20, $D$12, 100%, $F$12)</f>
        <v>34.021799999999999</v>
      </c>
      <c r="C957" s="7">
        <f>CHOOSE( CONTROL!$C$37, 34.0263, 34.0252) * CHOOSE(CONTROL!$C$20, $D$12, 100%, $F$12)</f>
        <v>34.026299999999999</v>
      </c>
      <c r="D957" s="7">
        <f>CHOOSE( CONTROL!$C$37, 34.0381, 34.037) * CHOOSE( CONTROL!$C$20, $D$12, 100%, $F$12)</f>
        <v>34.0381</v>
      </c>
      <c r="E957" s="10">
        <f>CHOOSE( CONTROL!$C$37, 34.0337, 34.0326) * CHOOSE( CONTROL!$C$20, $D$12, 100%, $F$12)</f>
        <v>34.033700000000003</v>
      </c>
      <c r="F957" s="4">
        <f>CHOOSE( CONTROL!$C$37, 34.7484, 34.7473) * CHOOSE(CONTROL!$C$20, $D$12, 100%, $F$12)</f>
        <v>34.748399999999997</v>
      </c>
      <c r="G957" s="7">
        <f>CHOOSE( CONTROL!$C$37, 33.5924, 33.5913) * CHOOSE( CONTROL!$C$20, $D$12, 100%, $F$12)</f>
        <v>33.592399999999998</v>
      </c>
      <c r="H957" s="4">
        <f>CHOOSE( CONTROL!$C$37, 34.5375, 34.5364) * CHOOSE(CONTROL!$C$20, $D$12, 100%, $F$12)</f>
        <v>34.537500000000001</v>
      </c>
      <c r="I957" s="7">
        <f>CHOOSE( CONTROL!$C$37, 33.0983, 33.0972) * CHOOSE(CONTROL!$C$20, $D$12, 100%, $F$12)</f>
        <v>33.098300000000002</v>
      </c>
      <c r="J957" s="4">
        <f>CHOOSE( CONTROL!$C$37, 32.9592, 32.9581) * CHOOSE(CONTROL!$C$20, $D$12, 100%, $F$12)</f>
        <v>32.959200000000003</v>
      </c>
      <c r="K957" s="4"/>
      <c r="L957" s="8">
        <v>30.092199999999998</v>
      </c>
      <c r="M957" s="8">
        <v>11.6745</v>
      </c>
      <c r="N957" s="8">
        <v>4.7850000000000001</v>
      </c>
      <c r="O957" s="8">
        <v>0.36199999999999999</v>
      </c>
      <c r="P957" s="8">
        <v>1.2509999999999999</v>
      </c>
      <c r="Q957" s="8">
        <v>19.053000000000001</v>
      </c>
      <c r="R957" s="8"/>
    </row>
    <row r="958" spans="1:18" ht="14.25" customHeight="1">
      <c r="A958" s="11">
        <v>70280</v>
      </c>
      <c r="B958" s="7">
        <f>CHOOSE( CONTROL!$C$37, 34.9306, 34.929) * CHOOSE(CONTROL!$C$20, $D$12, 100%, $F$12)</f>
        <v>34.930599999999998</v>
      </c>
      <c r="C958" s="7">
        <f>CHOOSE( CONTROL!$C$37, 34.9386, 34.937) * CHOOSE(CONTROL!$C$20, $D$12, 100%, $F$12)</f>
        <v>34.938600000000001</v>
      </c>
      <c r="D958" s="7">
        <f>CHOOSE( CONTROL!$C$37, 34.9443, 34.9426) * CHOOSE( CONTROL!$C$20, $D$12, 100%, $F$12)</f>
        <v>34.944299999999998</v>
      </c>
      <c r="E958" s="10">
        <f>CHOOSE( CONTROL!$C$37, 34.941, 34.9394) * CHOOSE( CONTROL!$C$20, $D$12, 100%, $F$12)</f>
        <v>34.941000000000003</v>
      </c>
      <c r="F958" s="4">
        <f>CHOOSE( CONTROL!$C$37, 35.6559, 35.6543) * CHOOSE(CONTROL!$C$20, $D$12, 100%, $F$12)</f>
        <v>35.655900000000003</v>
      </c>
      <c r="G958" s="7">
        <f>CHOOSE( CONTROL!$C$37, 34.4872, 34.4856) * CHOOSE( CONTROL!$C$20, $D$12, 100%, $F$12)</f>
        <v>34.487200000000001</v>
      </c>
      <c r="H958" s="4">
        <f>CHOOSE( CONTROL!$C$37, 35.4323, 35.4307) * CHOOSE(CONTROL!$C$20, $D$12, 100%, $F$12)</f>
        <v>35.432299999999998</v>
      </c>
      <c r="I958" s="7">
        <f>CHOOSE( CONTROL!$C$37, 33.9772, 33.9756) * CHOOSE(CONTROL!$C$20, $D$12, 100%, $F$12)</f>
        <v>33.977200000000003</v>
      </c>
      <c r="J958" s="4">
        <f>CHOOSE( CONTROL!$C$37, 33.8379, 33.8363) * CHOOSE(CONTROL!$C$20, $D$12, 100%, $F$12)</f>
        <v>33.837899999999998</v>
      </c>
      <c r="K958" s="4"/>
      <c r="L958" s="8">
        <v>30.7165</v>
      </c>
      <c r="M958" s="8">
        <v>12.063700000000001</v>
      </c>
      <c r="N958" s="8">
        <v>4.9444999999999997</v>
      </c>
      <c r="O958" s="8">
        <v>0.37409999999999999</v>
      </c>
      <c r="P958" s="8">
        <v>1.2927</v>
      </c>
      <c r="Q958" s="8">
        <v>19.688099999999999</v>
      </c>
      <c r="R958" s="8"/>
    </row>
    <row r="959" spans="1:18" ht="14.25" customHeight="1">
      <c r="A959" s="11">
        <v>70310</v>
      </c>
      <c r="B959" s="7">
        <f>CHOOSE( CONTROL!$C$37, 34.3688, 34.3672) * CHOOSE(CONTROL!$C$20, $D$12, 100%, $F$12)</f>
        <v>34.3688</v>
      </c>
      <c r="C959" s="7">
        <f>CHOOSE( CONTROL!$C$37, 34.3768, 34.3752) * CHOOSE(CONTROL!$C$20, $D$12, 100%, $F$12)</f>
        <v>34.376800000000003</v>
      </c>
      <c r="D959" s="7">
        <f>CHOOSE( CONTROL!$C$37, 34.3827, 34.3811) * CHOOSE( CONTROL!$C$20, $D$12, 100%, $F$12)</f>
        <v>34.3827</v>
      </c>
      <c r="E959" s="10">
        <f>CHOOSE( CONTROL!$C$37, 34.3793, 34.3777) * CHOOSE( CONTROL!$C$20, $D$12, 100%, $F$12)</f>
        <v>34.379300000000001</v>
      </c>
      <c r="F959" s="4">
        <f>CHOOSE( CONTROL!$C$37, 35.0941, 35.0924) * CHOOSE(CONTROL!$C$20, $D$12, 100%, $F$12)</f>
        <v>35.094099999999997</v>
      </c>
      <c r="G959" s="7">
        <f>CHOOSE( CONTROL!$C$37, 33.9335, 33.9318) * CHOOSE( CONTROL!$C$20, $D$12, 100%, $F$12)</f>
        <v>33.933500000000002</v>
      </c>
      <c r="H959" s="4">
        <f>CHOOSE( CONTROL!$C$37, 34.8783, 34.8767) * CHOOSE(CONTROL!$C$20, $D$12, 100%, $F$12)</f>
        <v>34.878300000000003</v>
      </c>
      <c r="I959" s="7">
        <f>CHOOSE( CONTROL!$C$37, 33.4338, 33.4322) * CHOOSE(CONTROL!$C$20, $D$12, 100%, $F$12)</f>
        <v>33.433799999999998</v>
      </c>
      <c r="J959" s="4">
        <f>CHOOSE( CONTROL!$C$37, 33.2939, 33.2923) * CHOOSE(CONTROL!$C$20, $D$12, 100%, $F$12)</f>
        <v>33.293900000000001</v>
      </c>
      <c r="K959" s="4"/>
      <c r="L959" s="8">
        <v>29.7257</v>
      </c>
      <c r="M959" s="8">
        <v>11.6745</v>
      </c>
      <c r="N959" s="8">
        <v>4.7850000000000001</v>
      </c>
      <c r="O959" s="8">
        <v>0.36199999999999999</v>
      </c>
      <c r="P959" s="8">
        <v>1.2509999999999999</v>
      </c>
      <c r="Q959" s="8">
        <v>19.053000000000001</v>
      </c>
      <c r="R959" s="8"/>
    </row>
    <row r="960" spans="1:18" ht="14.25" customHeight="1">
      <c r="A960" s="11">
        <v>70341</v>
      </c>
      <c r="B960" s="7">
        <f>CHOOSE( CONTROL!$C$37, 35.8483, 35.8466) * CHOOSE(CONTROL!$C$20, $D$12, 100%, $F$12)</f>
        <v>35.848300000000002</v>
      </c>
      <c r="C960" s="7">
        <f>CHOOSE( CONTROL!$C$37, 35.8563, 35.8546) * CHOOSE(CONTROL!$C$20, $D$12, 100%, $F$12)</f>
        <v>35.856299999999997</v>
      </c>
      <c r="D960" s="7">
        <f>CHOOSE( CONTROL!$C$37, 35.8625, 35.8609) * CHOOSE( CONTROL!$C$20, $D$12, 100%, $F$12)</f>
        <v>35.862499999999997</v>
      </c>
      <c r="E960" s="10">
        <f>CHOOSE( CONTROL!$C$37, 35.859, 35.8574) * CHOOSE( CONTROL!$C$20, $D$12, 100%, $F$12)</f>
        <v>35.859000000000002</v>
      </c>
      <c r="F960" s="4">
        <f>CHOOSE( CONTROL!$C$37, 36.5736, 36.5719) * CHOOSE(CONTROL!$C$20, $D$12, 100%, $F$12)</f>
        <v>36.573599999999999</v>
      </c>
      <c r="G960" s="7">
        <f>CHOOSE( CONTROL!$C$37, 35.3925, 35.3909) * CHOOSE( CONTROL!$C$20, $D$12, 100%, $F$12)</f>
        <v>35.392499999999998</v>
      </c>
      <c r="H960" s="4">
        <f>CHOOSE( CONTROL!$C$37, 36.3372, 36.3355) * CHOOSE(CONTROL!$C$20, $D$12, 100%, $F$12)</f>
        <v>36.337200000000003</v>
      </c>
      <c r="I960" s="7">
        <f>CHOOSE( CONTROL!$C$37, 34.8682, 34.8666) * CHOOSE(CONTROL!$C$20, $D$12, 100%, $F$12)</f>
        <v>34.868200000000002</v>
      </c>
      <c r="J960" s="4">
        <f>CHOOSE( CONTROL!$C$37, 34.7265, 34.7249) * CHOOSE(CONTROL!$C$20, $D$12, 100%, $F$12)</f>
        <v>34.726500000000001</v>
      </c>
      <c r="K960" s="4"/>
      <c r="L960" s="8">
        <v>30.7165</v>
      </c>
      <c r="M960" s="8">
        <v>12.063700000000001</v>
      </c>
      <c r="N960" s="8">
        <v>4.9444999999999997</v>
      </c>
      <c r="O960" s="8">
        <v>0.37409999999999999</v>
      </c>
      <c r="P960" s="8">
        <v>1.2927</v>
      </c>
      <c r="Q960" s="8">
        <v>19.688099999999999</v>
      </c>
      <c r="R960" s="8"/>
    </row>
    <row r="961" spans="1:18" ht="14.25" customHeight="1">
      <c r="A961" s="11">
        <v>70372</v>
      </c>
      <c r="B961" s="7">
        <f>CHOOSE( CONTROL!$C$37, 33.08, 33.0784) * CHOOSE(CONTROL!$C$20, $D$12, 100%, $F$12)</f>
        <v>33.08</v>
      </c>
      <c r="C961" s="7">
        <f>CHOOSE( CONTROL!$C$37, 33.088, 33.0864) * CHOOSE(CONTROL!$C$20, $D$12, 100%, $F$12)</f>
        <v>33.088000000000001</v>
      </c>
      <c r="D961" s="7">
        <f>CHOOSE( CONTROL!$C$37, 33.0943, 33.0927) * CHOOSE( CONTROL!$C$20, $D$12, 100%, $F$12)</f>
        <v>33.094299999999997</v>
      </c>
      <c r="E961" s="10">
        <f>CHOOSE( CONTROL!$C$37, 33.0908, 33.0892) * CHOOSE( CONTROL!$C$20, $D$12, 100%, $F$12)</f>
        <v>33.090800000000002</v>
      </c>
      <c r="F961" s="4">
        <f>CHOOSE( CONTROL!$C$37, 33.8053, 33.8037) * CHOOSE(CONTROL!$C$20, $D$12, 100%, $F$12)</f>
        <v>33.805300000000003</v>
      </c>
      <c r="G961" s="7">
        <f>CHOOSE( CONTROL!$C$37, 32.663, 32.6613) * CHOOSE( CONTROL!$C$20, $D$12, 100%, $F$12)</f>
        <v>32.662999999999997</v>
      </c>
      <c r="H961" s="4">
        <f>CHOOSE( CONTROL!$C$37, 33.6075, 33.6059) * CHOOSE(CONTROL!$C$20, $D$12, 100%, $F$12)</f>
        <v>33.607500000000002</v>
      </c>
      <c r="I961" s="7">
        <f>CHOOSE( CONTROL!$C$37, 32.1866, 32.185) * CHOOSE(CONTROL!$C$20, $D$12, 100%, $F$12)</f>
        <v>32.186599999999999</v>
      </c>
      <c r="J961" s="4">
        <f>CHOOSE( CONTROL!$C$37, 32.046, 32.0444) * CHOOSE(CONTROL!$C$20, $D$12, 100%, $F$12)</f>
        <v>32.045999999999999</v>
      </c>
      <c r="K961" s="4"/>
      <c r="L961" s="8">
        <v>30.7165</v>
      </c>
      <c r="M961" s="8">
        <v>12.063700000000001</v>
      </c>
      <c r="N961" s="8">
        <v>4.9444999999999997</v>
      </c>
      <c r="O961" s="8">
        <v>0.37409999999999999</v>
      </c>
      <c r="P961" s="8">
        <v>1.2927</v>
      </c>
      <c r="Q961" s="8">
        <v>19.688099999999999</v>
      </c>
      <c r="R961" s="8"/>
    </row>
    <row r="962" spans="1:18" ht="14.25" customHeight="1">
      <c r="A962" s="11">
        <v>70402</v>
      </c>
      <c r="B962" s="7">
        <f>CHOOSE( CONTROL!$C$37, 32.3868, 32.3852) * CHOOSE(CONTROL!$C$20, $D$12, 100%, $F$12)</f>
        <v>32.386800000000001</v>
      </c>
      <c r="C962" s="7">
        <f>CHOOSE( CONTROL!$C$37, 32.3948, 32.3932) * CHOOSE(CONTROL!$C$20, $D$12, 100%, $F$12)</f>
        <v>32.394799999999996</v>
      </c>
      <c r="D962" s="7">
        <f>CHOOSE( CONTROL!$C$37, 32.401, 32.3994) * CHOOSE( CONTROL!$C$20, $D$12, 100%, $F$12)</f>
        <v>32.401000000000003</v>
      </c>
      <c r="E962" s="10">
        <f>CHOOSE( CONTROL!$C$37, 32.3975, 32.3959) * CHOOSE( CONTROL!$C$20, $D$12, 100%, $F$12)</f>
        <v>32.397500000000001</v>
      </c>
      <c r="F962" s="4">
        <f>CHOOSE( CONTROL!$C$37, 33.1121, 33.1105) * CHOOSE(CONTROL!$C$20, $D$12, 100%, $F$12)</f>
        <v>33.112099999999998</v>
      </c>
      <c r="G962" s="7">
        <f>CHOOSE( CONTROL!$C$37, 31.9793, 31.9777) * CHOOSE( CONTROL!$C$20, $D$12, 100%, $F$12)</f>
        <v>31.979299999999999</v>
      </c>
      <c r="H962" s="4">
        <f>CHOOSE( CONTROL!$C$37, 32.924, 32.9224) * CHOOSE(CONTROL!$C$20, $D$12, 100%, $F$12)</f>
        <v>32.923999999999999</v>
      </c>
      <c r="I962" s="7">
        <f>CHOOSE( CONTROL!$C$37, 31.5147, 31.5131) * CHOOSE(CONTROL!$C$20, $D$12, 100%, $F$12)</f>
        <v>31.514700000000001</v>
      </c>
      <c r="J962" s="4">
        <f>CHOOSE( CONTROL!$C$37, 31.3748, 31.3732) * CHOOSE(CONTROL!$C$20, $D$12, 100%, $F$12)</f>
        <v>31.3748</v>
      </c>
      <c r="K962" s="4"/>
      <c r="L962" s="8">
        <v>29.7257</v>
      </c>
      <c r="M962" s="8">
        <v>11.6745</v>
      </c>
      <c r="N962" s="8">
        <v>4.7850000000000001</v>
      </c>
      <c r="O962" s="8">
        <v>0.36199999999999999</v>
      </c>
      <c r="P962" s="8">
        <v>1.2509999999999999</v>
      </c>
      <c r="Q962" s="8">
        <v>19.053000000000001</v>
      </c>
      <c r="R962" s="8"/>
    </row>
    <row r="963" spans="1:18" ht="14.25" customHeight="1">
      <c r="A963" s="11">
        <v>70433</v>
      </c>
      <c r="B963" s="7">
        <f>CHOOSE( CONTROL!$C$37, 33.8239, 33.8228) * CHOOSE(CONTROL!$C$20, $D$12, 100%, $F$12)</f>
        <v>33.823900000000002</v>
      </c>
      <c r="C963" s="7">
        <f>CHOOSE( CONTROL!$C$37, 33.8292, 33.8281) * CHOOSE(CONTROL!$C$20, $D$12, 100%, $F$12)</f>
        <v>33.8292</v>
      </c>
      <c r="D963" s="7">
        <f>CHOOSE( CONTROL!$C$37, 33.8412, 33.8401) * CHOOSE( CONTROL!$C$20, $D$12, 100%, $F$12)</f>
        <v>33.841200000000001</v>
      </c>
      <c r="E963" s="10">
        <f>CHOOSE( CONTROL!$C$37, 33.8367, 33.8356) * CHOOSE( CONTROL!$C$20, $D$12, 100%, $F$12)</f>
        <v>33.8367</v>
      </c>
      <c r="F963" s="4">
        <f>CHOOSE( CONTROL!$C$37, 34.5509, 34.5498) * CHOOSE(CONTROL!$C$20, $D$12, 100%, $F$12)</f>
        <v>34.550899999999999</v>
      </c>
      <c r="G963" s="7">
        <f>CHOOSE( CONTROL!$C$37, 33.3981, 33.3971) * CHOOSE( CONTROL!$C$20, $D$12, 100%, $F$12)</f>
        <v>33.398099999999999</v>
      </c>
      <c r="H963" s="4">
        <f>CHOOSE( CONTROL!$C$37, 34.3427, 34.3416) * CHOOSE(CONTROL!$C$20, $D$12, 100%, $F$12)</f>
        <v>34.342700000000001</v>
      </c>
      <c r="I963" s="7">
        <f>CHOOSE( CONTROL!$C$37, 32.9092, 32.9081) * CHOOSE(CONTROL!$C$20, $D$12, 100%, $F$12)</f>
        <v>32.909199999999998</v>
      </c>
      <c r="J963" s="4">
        <f>CHOOSE( CONTROL!$C$37, 32.7679, 32.7669) * CHOOSE(CONTROL!$C$20, $D$12, 100%, $F$12)</f>
        <v>32.767899999999997</v>
      </c>
      <c r="K963" s="4"/>
      <c r="L963" s="8">
        <v>31.095300000000002</v>
      </c>
      <c r="M963" s="8">
        <v>12.063700000000001</v>
      </c>
      <c r="N963" s="8">
        <v>4.9444999999999997</v>
      </c>
      <c r="O963" s="8">
        <v>0.37409999999999999</v>
      </c>
      <c r="P963" s="8">
        <v>1.2927</v>
      </c>
      <c r="Q963" s="8">
        <v>19.688099999999999</v>
      </c>
      <c r="R963" s="8"/>
    </row>
    <row r="964" spans="1:18" ht="14.25" customHeight="1">
      <c r="A964" s="11">
        <v>70463</v>
      </c>
      <c r="B964" s="7">
        <f>CHOOSE( CONTROL!$C$37, 36.4802, 36.4791) * CHOOSE(CONTROL!$C$20, $D$12, 100%, $F$12)</f>
        <v>36.480200000000004</v>
      </c>
      <c r="C964" s="7">
        <f>CHOOSE( CONTROL!$C$37, 36.4853, 36.4842) * CHOOSE(CONTROL!$C$20, $D$12, 100%, $F$12)</f>
        <v>36.485300000000002</v>
      </c>
      <c r="D964" s="7">
        <f>CHOOSE( CONTROL!$C$37, 36.4637, 36.4626) * CHOOSE( CONTROL!$C$20, $D$12, 100%, $F$12)</f>
        <v>36.463700000000003</v>
      </c>
      <c r="E964" s="10">
        <f>CHOOSE( CONTROL!$C$37, 36.4711, 36.47) * CHOOSE( CONTROL!$C$20, $D$12, 100%, $F$12)</f>
        <v>36.4711</v>
      </c>
      <c r="F964" s="4">
        <f>CHOOSE( CONTROL!$C$37, 37.1327, 37.1316) * CHOOSE(CONTROL!$C$20, $D$12, 100%, $F$12)</f>
        <v>37.1327</v>
      </c>
      <c r="G964" s="7">
        <f>CHOOSE( CONTROL!$C$37, 36.0039, 36.0028) * CHOOSE( CONTROL!$C$20, $D$12, 100%, $F$12)</f>
        <v>36.003900000000002</v>
      </c>
      <c r="H964" s="4">
        <f>CHOOSE( CONTROL!$C$37, 36.8885, 36.8874) * CHOOSE(CONTROL!$C$20, $D$12, 100%, $F$12)</f>
        <v>36.888500000000001</v>
      </c>
      <c r="I964" s="7">
        <f>CHOOSE( CONTROL!$C$37, 35.5341, 35.5331) * CHOOSE(CONTROL!$C$20, $D$12, 100%, $F$12)</f>
        <v>35.534100000000002</v>
      </c>
      <c r="J964" s="4">
        <f>CHOOSE( CONTROL!$C$37, 35.3404, 35.3394) * CHOOSE(CONTROL!$C$20, $D$12, 100%, $F$12)</f>
        <v>35.340400000000002</v>
      </c>
      <c r="K964" s="4"/>
      <c r="L964" s="8">
        <v>28.360600000000002</v>
      </c>
      <c r="M964" s="8">
        <v>11.6745</v>
      </c>
      <c r="N964" s="8">
        <v>4.7850000000000001</v>
      </c>
      <c r="O964" s="8">
        <v>0.36199999999999999</v>
      </c>
      <c r="P964" s="8">
        <v>1.2509999999999999</v>
      </c>
      <c r="Q964" s="8">
        <v>19.053000000000001</v>
      </c>
      <c r="R964" s="8"/>
    </row>
    <row r="965" spans="1:18" ht="14.25" customHeight="1">
      <c r="A965" s="11">
        <v>70494</v>
      </c>
      <c r="B965" s="7">
        <f>CHOOSE( CONTROL!$C$37, 36.4138, 36.4127) * CHOOSE(CONTROL!$C$20, $D$12, 100%, $F$12)</f>
        <v>36.413800000000002</v>
      </c>
      <c r="C965" s="7">
        <f>CHOOSE( CONTROL!$C$37, 36.4189, 36.4178) * CHOOSE(CONTROL!$C$20, $D$12, 100%, $F$12)</f>
        <v>36.418900000000001</v>
      </c>
      <c r="D965" s="7">
        <f>CHOOSE( CONTROL!$C$37, 36.3989, 36.3978) * CHOOSE( CONTROL!$C$20, $D$12, 100%, $F$12)</f>
        <v>36.398899999999998</v>
      </c>
      <c r="E965" s="10">
        <f>CHOOSE( CONTROL!$C$37, 36.4057, 36.4046) * CHOOSE( CONTROL!$C$20, $D$12, 100%, $F$12)</f>
        <v>36.405700000000003</v>
      </c>
      <c r="F965" s="4">
        <f>CHOOSE( CONTROL!$C$37, 37.0663, 37.0653) * CHOOSE(CONTROL!$C$20, $D$12, 100%, $F$12)</f>
        <v>37.066299999999998</v>
      </c>
      <c r="G965" s="7">
        <f>CHOOSE( CONTROL!$C$37, 35.9396, 35.9385) * CHOOSE( CONTROL!$C$20, $D$12, 100%, $F$12)</f>
        <v>35.939599999999999</v>
      </c>
      <c r="H965" s="4">
        <f>CHOOSE( CONTROL!$C$37, 36.8231, 36.822) * CHOOSE(CONTROL!$C$20, $D$12, 100%, $F$12)</f>
        <v>36.823099999999997</v>
      </c>
      <c r="I965" s="7">
        <f>CHOOSE( CONTROL!$C$37, 35.4747, 35.4737) * CHOOSE(CONTROL!$C$20, $D$12, 100%, $F$12)</f>
        <v>35.474699999999999</v>
      </c>
      <c r="J965" s="4">
        <f>CHOOSE( CONTROL!$C$37, 35.2761, 35.2751) * CHOOSE(CONTROL!$C$20, $D$12, 100%, $F$12)</f>
        <v>35.2761</v>
      </c>
      <c r="K965" s="4"/>
      <c r="L965" s="8">
        <v>29.306000000000001</v>
      </c>
      <c r="M965" s="8">
        <v>12.063700000000001</v>
      </c>
      <c r="N965" s="8">
        <v>4.9444999999999997</v>
      </c>
      <c r="O965" s="8">
        <v>0.37409999999999999</v>
      </c>
      <c r="P965" s="8">
        <v>1.2927</v>
      </c>
      <c r="Q965" s="8">
        <v>19.688099999999999</v>
      </c>
      <c r="R965" s="8"/>
    </row>
    <row r="966" spans="1:18" ht="14.25" customHeight="1">
      <c r="A966" s="11">
        <v>70525</v>
      </c>
      <c r="B966" s="7">
        <f>CHOOSE( CONTROL!$C$37, 37.4884, 37.4873) * CHOOSE(CONTROL!$C$20, $D$12, 100%, $F$12)</f>
        <v>37.488399999999999</v>
      </c>
      <c r="C966" s="7">
        <f>CHOOSE( CONTROL!$C$37, 37.4935, 37.4924) * CHOOSE(CONTROL!$C$20, $D$12, 100%, $F$12)</f>
        <v>37.493499999999997</v>
      </c>
      <c r="D966" s="7">
        <f>CHOOSE( CONTROL!$C$37, 37.4866, 37.4855) * CHOOSE( CONTROL!$C$20, $D$12, 100%, $F$12)</f>
        <v>37.486600000000003</v>
      </c>
      <c r="E966" s="10">
        <f>CHOOSE( CONTROL!$C$37, 37.4886, 37.4875) * CHOOSE( CONTROL!$C$20, $D$12, 100%, $F$12)</f>
        <v>37.488599999999998</v>
      </c>
      <c r="F966" s="4">
        <f>CHOOSE( CONTROL!$C$37, 38.1409, 38.1398) * CHOOSE(CONTROL!$C$20, $D$12, 100%, $F$12)</f>
        <v>38.140900000000002</v>
      </c>
      <c r="G966" s="7">
        <f>CHOOSE( CONTROL!$C$37, 37.0037, 37.0026) * CHOOSE( CONTROL!$C$20, $D$12, 100%, $F$12)</f>
        <v>37.003700000000002</v>
      </c>
      <c r="H966" s="4">
        <f>CHOOSE( CONTROL!$C$37, 37.8826, 37.8816) * CHOOSE(CONTROL!$C$20, $D$12, 100%, $F$12)</f>
        <v>37.882599999999996</v>
      </c>
      <c r="I966" s="7">
        <f>CHOOSE( CONTROL!$C$37, 36.487, 36.486) * CHOOSE(CONTROL!$C$20, $D$12, 100%, $F$12)</f>
        <v>36.487000000000002</v>
      </c>
      <c r="J966" s="4">
        <f>CHOOSE( CONTROL!$C$37, 36.3166, 36.3156) * CHOOSE(CONTROL!$C$20, $D$12, 100%, $F$12)</f>
        <v>36.316600000000001</v>
      </c>
      <c r="K966" s="4"/>
      <c r="L966" s="8">
        <v>29.306000000000001</v>
      </c>
      <c r="M966" s="8">
        <v>12.063700000000001</v>
      </c>
      <c r="N966" s="8">
        <v>4.9444999999999997</v>
      </c>
      <c r="O966" s="8">
        <v>0.37409999999999999</v>
      </c>
      <c r="P966" s="8">
        <v>1.2927</v>
      </c>
      <c r="Q966" s="8">
        <v>19.688099999999999</v>
      </c>
      <c r="R966" s="8"/>
    </row>
    <row r="967" spans="1:18" ht="14.25" customHeight="1">
      <c r="A967" s="11">
        <v>70553</v>
      </c>
      <c r="B967" s="7">
        <f>CHOOSE( CONTROL!$C$37, 35.0638, 35.0627) * CHOOSE(CONTROL!$C$20, $D$12, 100%, $F$12)</f>
        <v>35.063800000000001</v>
      </c>
      <c r="C967" s="7">
        <f>CHOOSE( CONTROL!$C$37, 35.0689, 35.0678) * CHOOSE(CONTROL!$C$20, $D$12, 100%, $F$12)</f>
        <v>35.068899999999999</v>
      </c>
      <c r="D967" s="7">
        <f>CHOOSE( CONTROL!$C$37, 35.0619, 35.0608) * CHOOSE( CONTROL!$C$20, $D$12, 100%, $F$12)</f>
        <v>35.061900000000001</v>
      </c>
      <c r="E967" s="10">
        <f>CHOOSE( CONTROL!$C$37, 35.0639, 35.0628) * CHOOSE( CONTROL!$C$20, $D$12, 100%, $F$12)</f>
        <v>35.063899999999997</v>
      </c>
      <c r="F967" s="4">
        <f>CHOOSE( CONTROL!$C$37, 35.7163, 35.7152) * CHOOSE(CONTROL!$C$20, $D$12, 100%, $F$12)</f>
        <v>35.716299999999997</v>
      </c>
      <c r="G967" s="7">
        <f>CHOOSE( CONTROL!$C$37, 34.6128, 34.6118) * CHOOSE( CONTROL!$C$20, $D$12, 100%, $F$12)</f>
        <v>34.6128</v>
      </c>
      <c r="H967" s="4">
        <f>CHOOSE( CONTROL!$C$37, 35.4919, 35.4908) * CHOOSE(CONTROL!$C$20, $D$12, 100%, $F$12)</f>
        <v>35.491900000000001</v>
      </c>
      <c r="I967" s="7">
        <f>CHOOSE( CONTROL!$C$37, 34.1378, 34.1368) * CHOOSE(CONTROL!$C$20, $D$12, 100%, $F$12)</f>
        <v>34.137799999999999</v>
      </c>
      <c r="J967" s="4">
        <f>CHOOSE( CONTROL!$C$37, 33.9689, 33.9678) * CHOOSE(CONTROL!$C$20, $D$12, 100%, $F$12)</f>
        <v>33.968899999999998</v>
      </c>
      <c r="K967" s="4"/>
      <c r="L967" s="8">
        <v>26.469899999999999</v>
      </c>
      <c r="M967" s="8">
        <v>10.8962</v>
      </c>
      <c r="N967" s="8">
        <v>4.4660000000000002</v>
      </c>
      <c r="O967" s="8">
        <v>0.33789999999999998</v>
      </c>
      <c r="P967" s="8">
        <v>1.1676</v>
      </c>
      <c r="Q967" s="8">
        <v>17.782800000000002</v>
      </c>
      <c r="R967" s="8"/>
    </row>
    <row r="968" spans="1:18" ht="14.25" customHeight="1">
      <c r="A968" s="11">
        <v>70584</v>
      </c>
      <c r="B968" s="7">
        <f>CHOOSE( CONTROL!$C$37, 34.317, 34.3159) * CHOOSE(CONTROL!$C$20, $D$12, 100%, $F$12)</f>
        <v>34.317</v>
      </c>
      <c r="C968" s="7">
        <f>CHOOSE( CONTROL!$C$37, 34.3221, 34.321) * CHOOSE(CONTROL!$C$20, $D$12, 100%, $F$12)</f>
        <v>34.322099999999999</v>
      </c>
      <c r="D968" s="7">
        <f>CHOOSE( CONTROL!$C$37, 34.3145, 34.3134) * CHOOSE( CONTROL!$C$20, $D$12, 100%, $F$12)</f>
        <v>34.314500000000002</v>
      </c>
      <c r="E968" s="10">
        <f>CHOOSE( CONTROL!$C$37, 34.3167, 34.3156) * CHOOSE( CONTROL!$C$20, $D$12, 100%, $F$12)</f>
        <v>34.316699999999997</v>
      </c>
      <c r="F968" s="4">
        <f>CHOOSE( CONTROL!$C$37, 34.9695, 34.9684) * CHOOSE(CONTROL!$C$20, $D$12, 100%, $F$12)</f>
        <v>34.969499999999996</v>
      </c>
      <c r="G968" s="7">
        <f>CHOOSE( CONTROL!$C$37, 33.876, 33.875) * CHOOSE( CONTROL!$C$20, $D$12, 100%, $F$12)</f>
        <v>33.875999999999998</v>
      </c>
      <c r="H968" s="4">
        <f>CHOOSE( CONTROL!$C$37, 34.7555, 34.7544) * CHOOSE(CONTROL!$C$20, $D$12, 100%, $F$12)</f>
        <v>34.755499999999998</v>
      </c>
      <c r="I968" s="7">
        <f>CHOOSE( CONTROL!$C$37, 33.4125, 33.4114) * CHOOSE(CONTROL!$C$20, $D$12, 100%, $F$12)</f>
        <v>33.412500000000001</v>
      </c>
      <c r="J968" s="4">
        <f>CHOOSE( CONTROL!$C$37, 33.2458, 33.2448) * CHOOSE(CONTROL!$C$20, $D$12, 100%, $F$12)</f>
        <v>33.245800000000003</v>
      </c>
      <c r="K968" s="4"/>
      <c r="L968" s="8">
        <v>29.306000000000001</v>
      </c>
      <c r="M968" s="8">
        <v>12.063700000000001</v>
      </c>
      <c r="N968" s="8">
        <v>4.9444999999999997</v>
      </c>
      <c r="O968" s="8">
        <v>0.37409999999999999</v>
      </c>
      <c r="P968" s="8">
        <v>1.2927</v>
      </c>
      <c r="Q968" s="8">
        <v>19.688099999999999</v>
      </c>
      <c r="R968" s="8"/>
    </row>
    <row r="969" spans="1:18" ht="14.25" customHeight="1">
      <c r="A969" s="11">
        <v>70614</v>
      </c>
      <c r="B969" s="7">
        <f>CHOOSE( CONTROL!$C$37, 34.8396, 34.8385) * CHOOSE(CONTROL!$C$20, $D$12, 100%, $F$12)</f>
        <v>34.839599999999997</v>
      </c>
      <c r="C969" s="7">
        <f>CHOOSE( CONTROL!$C$37, 34.8441, 34.843) * CHOOSE(CONTROL!$C$20, $D$12, 100%, $F$12)</f>
        <v>34.844099999999997</v>
      </c>
      <c r="D969" s="7">
        <f>CHOOSE( CONTROL!$C$37, 34.8559, 34.8549) * CHOOSE( CONTROL!$C$20, $D$12, 100%, $F$12)</f>
        <v>34.855899999999998</v>
      </c>
      <c r="E969" s="10">
        <f>CHOOSE( CONTROL!$C$37, 34.8515, 34.8505) * CHOOSE( CONTROL!$C$20, $D$12, 100%, $F$12)</f>
        <v>34.851500000000001</v>
      </c>
      <c r="F969" s="4">
        <f>CHOOSE( CONTROL!$C$37, 35.5662, 35.5651) * CHOOSE(CONTROL!$C$20, $D$12, 100%, $F$12)</f>
        <v>35.566200000000002</v>
      </c>
      <c r="G969" s="7">
        <f>CHOOSE( CONTROL!$C$37, 34.3988, 34.3977) * CHOOSE( CONTROL!$C$20, $D$12, 100%, $F$12)</f>
        <v>34.398800000000001</v>
      </c>
      <c r="H969" s="4">
        <f>CHOOSE( CONTROL!$C$37, 35.3439, 35.3428) * CHOOSE(CONTROL!$C$20, $D$12, 100%, $F$12)</f>
        <v>35.343899999999998</v>
      </c>
      <c r="I969" s="7">
        <f>CHOOSE( CONTROL!$C$37, 33.8906, 33.8895) * CHOOSE(CONTROL!$C$20, $D$12, 100%, $F$12)</f>
        <v>33.890599999999999</v>
      </c>
      <c r="J969" s="4">
        <f>CHOOSE( CONTROL!$C$37, 33.7511, 33.75) * CHOOSE(CONTROL!$C$20, $D$12, 100%, $F$12)</f>
        <v>33.751100000000001</v>
      </c>
      <c r="K969" s="4"/>
      <c r="L969" s="8">
        <v>30.092199999999998</v>
      </c>
      <c r="M969" s="8">
        <v>11.6745</v>
      </c>
      <c r="N969" s="8">
        <v>4.7850000000000001</v>
      </c>
      <c r="O969" s="8">
        <v>0.36199999999999999</v>
      </c>
      <c r="P969" s="8">
        <v>1.2509999999999999</v>
      </c>
      <c r="Q969" s="8">
        <v>19.053000000000001</v>
      </c>
      <c r="R969" s="8"/>
    </row>
    <row r="970" spans="1:18" ht="14.25" customHeight="1">
      <c r="A970" s="11">
        <v>70645</v>
      </c>
      <c r="B970" s="7">
        <f>CHOOSE( CONTROL!$C$37, 35.7703, 35.7686) * CHOOSE(CONTROL!$C$20, $D$12, 100%, $F$12)</f>
        <v>35.770299999999999</v>
      </c>
      <c r="C970" s="7">
        <f>CHOOSE( CONTROL!$C$37, 35.7783, 35.7766) * CHOOSE(CONTROL!$C$20, $D$12, 100%, $F$12)</f>
        <v>35.778300000000002</v>
      </c>
      <c r="D970" s="7">
        <f>CHOOSE( CONTROL!$C$37, 35.7839, 35.7822) * CHOOSE( CONTROL!$C$20, $D$12, 100%, $F$12)</f>
        <v>35.783900000000003</v>
      </c>
      <c r="E970" s="10">
        <f>CHOOSE( CONTROL!$C$37, 35.7807, 35.779) * CHOOSE( CONTROL!$C$20, $D$12, 100%, $F$12)</f>
        <v>35.780700000000003</v>
      </c>
      <c r="F970" s="4">
        <f>CHOOSE( CONTROL!$C$37, 36.4955, 36.4939) * CHOOSE(CONTROL!$C$20, $D$12, 100%, $F$12)</f>
        <v>36.4955</v>
      </c>
      <c r="G970" s="7">
        <f>CHOOSE( CONTROL!$C$37, 35.3151, 35.3135) * CHOOSE( CONTROL!$C$20, $D$12, 100%, $F$12)</f>
        <v>35.315100000000001</v>
      </c>
      <c r="H970" s="4">
        <f>CHOOSE( CONTROL!$C$37, 36.2602, 36.2586) * CHOOSE(CONTROL!$C$20, $D$12, 100%, $F$12)</f>
        <v>36.260199999999998</v>
      </c>
      <c r="I970" s="7">
        <f>CHOOSE( CONTROL!$C$37, 34.7906, 34.789) * CHOOSE(CONTROL!$C$20, $D$12, 100%, $F$12)</f>
        <v>34.790599999999998</v>
      </c>
      <c r="J970" s="4">
        <f>CHOOSE( CONTROL!$C$37, 34.6509, 34.6493) * CHOOSE(CONTROL!$C$20, $D$12, 100%, $F$12)</f>
        <v>34.6509</v>
      </c>
      <c r="K970" s="4"/>
      <c r="L970" s="8">
        <v>30.7165</v>
      </c>
      <c r="M970" s="8">
        <v>12.063700000000001</v>
      </c>
      <c r="N970" s="8">
        <v>4.9444999999999997</v>
      </c>
      <c r="O970" s="8">
        <v>0.37409999999999999</v>
      </c>
      <c r="P970" s="8">
        <v>1.2927</v>
      </c>
      <c r="Q970" s="8">
        <v>19.688099999999999</v>
      </c>
      <c r="R970" s="8"/>
    </row>
    <row r="971" spans="1:18" ht="14.25" customHeight="1">
      <c r="A971" s="11">
        <v>70675</v>
      </c>
      <c r="B971" s="7">
        <f>CHOOSE( CONTROL!$C$37, 35.1949, 35.1933) * CHOOSE(CONTROL!$C$20, $D$12, 100%, $F$12)</f>
        <v>35.194899999999997</v>
      </c>
      <c r="C971" s="7">
        <f>CHOOSE( CONTROL!$C$37, 35.2029, 35.2013) * CHOOSE(CONTROL!$C$20, $D$12, 100%, $F$12)</f>
        <v>35.2029</v>
      </c>
      <c r="D971" s="7">
        <f>CHOOSE( CONTROL!$C$37, 35.2089, 35.2072) * CHOOSE( CONTROL!$C$20, $D$12, 100%, $F$12)</f>
        <v>35.2089</v>
      </c>
      <c r="E971" s="10">
        <f>CHOOSE( CONTROL!$C$37, 35.2055, 35.2038) * CHOOSE( CONTROL!$C$20, $D$12, 100%, $F$12)</f>
        <v>35.205500000000001</v>
      </c>
      <c r="F971" s="4">
        <f>CHOOSE( CONTROL!$C$37, 35.9202, 35.9186) * CHOOSE(CONTROL!$C$20, $D$12, 100%, $F$12)</f>
        <v>35.920200000000001</v>
      </c>
      <c r="G971" s="7">
        <f>CHOOSE( CONTROL!$C$37, 34.7481, 34.7464) * CHOOSE( CONTROL!$C$20, $D$12, 100%, $F$12)</f>
        <v>34.748100000000001</v>
      </c>
      <c r="H971" s="4">
        <f>CHOOSE( CONTROL!$C$37, 35.6929, 35.6913) * CHOOSE(CONTROL!$C$20, $D$12, 100%, $F$12)</f>
        <v>35.692900000000002</v>
      </c>
      <c r="I971" s="7">
        <f>CHOOSE( CONTROL!$C$37, 34.2342, 34.2326) * CHOOSE(CONTROL!$C$20, $D$12, 100%, $F$12)</f>
        <v>34.234200000000001</v>
      </c>
      <c r="J971" s="4">
        <f>CHOOSE( CONTROL!$C$37, 34.0939, 34.0922) * CHOOSE(CONTROL!$C$20, $D$12, 100%, $F$12)</f>
        <v>34.093899999999998</v>
      </c>
      <c r="K971" s="4"/>
      <c r="L971" s="8">
        <v>29.7257</v>
      </c>
      <c r="M971" s="8">
        <v>11.6745</v>
      </c>
      <c r="N971" s="8">
        <v>4.7850000000000001</v>
      </c>
      <c r="O971" s="8">
        <v>0.36199999999999999</v>
      </c>
      <c r="P971" s="8">
        <v>1.2509999999999999</v>
      </c>
      <c r="Q971" s="8">
        <v>19.053000000000001</v>
      </c>
      <c r="R971" s="8"/>
    </row>
    <row r="972" spans="1:18" ht="14.25" customHeight="1">
      <c r="A972" s="11">
        <v>70706</v>
      </c>
      <c r="B972" s="7">
        <f>CHOOSE( CONTROL!$C$37, 36.71, 36.7083) * CHOOSE(CONTROL!$C$20, $D$12, 100%, $F$12)</f>
        <v>36.71</v>
      </c>
      <c r="C972" s="7">
        <f>CHOOSE( CONTROL!$C$37, 36.718, 36.7163) * CHOOSE(CONTROL!$C$20, $D$12, 100%, $F$12)</f>
        <v>36.718000000000004</v>
      </c>
      <c r="D972" s="7">
        <f>CHOOSE( CONTROL!$C$37, 36.7242, 36.7225) * CHOOSE( CONTROL!$C$20, $D$12, 100%, $F$12)</f>
        <v>36.724200000000003</v>
      </c>
      <c r="E972" s="10">
        <f>CHOOSE( CONTROL!$C$37, 36.7207, 36.719) * CHOOSE( CONTROL!$C$20, $D$12, 100%, $F$12)</f>
        <v>36.720700000000001</v>
      </c>
      <c r="F972" s="4">
        <f>CHOOSE( CONTROL!$C$37, 37.4352, 37.4336) * CHOOSE(CONTROL!$C$20, $D$12, 100%, $F$12)</f>
        <v>37.435200000000002</v>
      </c>
      <c r="G972" s="7">
        <f>CHOOSE( CONTROL!$C$37, 36.2422, 36.2405) * CHOOSE( CONTROL!$C$20, $D$12, 100%, $F$12)</f>
        <v>36.242199999999997</v>
      </c>
      <c r="H972" s="4">
        <f>CHOOSE( CONTROL!$C$37, 37.1868, 37.1852) * CHOOSE(CONTROL!$C$20, $D$12, 100%, $F$12)</f>
        <v>37.186799999999998</v>
      </c>
      <c r="I972" s="7">
        <f>CHOOSE( CONTROL!$C$37, 35.7029, 35.7013) * CHOOSE(CONTROL!$C$20, $D$12, 100%, $F$12)</f>
        <v>35.7029</v>
      </c>
      <c r="J972" s="4">
        <f>CHOOSE( CONTROL!$C$37, 35.5609, 35.5592) * CHOOSE(CONTROL!$C$20, $D$12, 100%, $F$12)</f>
        <v>35.560899999999997</v>
      </c>
      <c r="K972" s="4"/>
      <c r="L972" s="8">
        <v>30.7165</v>
      </c>
      <c r="M972" s="8">
        <v>12.063700000000001</v>
      </c>
      <c r="N972" s="8">
        <v>4.9444999999999997</v>
      </c>
      <c r="O972" s="8">
        <v>0.37409999999999999</v>
      </c>
      <c r="P972" s="8">
        <v>1.2927</v>
      </c>
      <c r="Q972" s="8">
        <v>19.688099999999999</v>
      </c>
      <c r="R972" s="8"/>
    </row>
    <row r="973" spans="1:18" ht="14.25" customHeight="1">
      <c r="A973" s="11">
        <v>70737</v>
      </c>
      <c r="B973" s="7">
        <f>CHOOSE( CONTROL!$C$37, 33.8752, 33.8735) * CHOOSE(CONTROL!$C$20, $D$12, 100%, $F$12)</f>
        <v>33.8752</v>
      </c>
      <c r="C973" s="7">
        <f>CHOOSE( CONTROL!$C$37, 33.8832, 33.8815) * CHOOSE(CONTROL!$C$20, $D$12, 100%, $F$12)</f>
        <v>33.883200000000002</v>
      </c>
      <c r="D973" s="7">
        <f>CHOOSE( CONTROL!$C$37, 33.8895, 33.8878) * CHOOSE( CONTROL!$C$20, $D$12, 100%, $F$12)</f>
        <v>33.889499999999998</v>
      </c>
      <c r="E973" s="10">
        <f>CHOOSE( CONTROL!$C$37, 33.886, 33.8843) * CHOOSE( CONTROL!$C$20, $D$12, 100%, $F$12)</f>
        <v>33.886000000000003</v>
      </c>
      <c r="F973" s="4">
        <f>CHOOSE( CONTROL!$C$37, 34.6005, 34.5988) * CHOOSE(CONTROL!$C$20, $D$12, 100%, $F$12)</f>
        <v>34.600499999999997</v>
      </c>
      <c r="G973" s="7">
        <f>CHOOSE( CONTROL!$C$37, 33.447, 33.4454) * CHOOSE( CONTROL!$C$20, $D$12, 100%, $F$12)</f>
        <v>33.447000000000003</v>
      </c>
      <c r="H973" s="4">
        <f>CHOOSE( CONTROL!$C$37, 34.3916, 34.39) * CHOOSE(CONTROL!$C$20, $D$12, 100%, $F$12)</f>
        <v>34.391599999999997</v>
      </c>
      <c r="I973" s="7">
        <f>CHOOSE( CONTROL!$C$37, 32.9569, 32.9553) * CHOOSE(CONTROL!$C$20, $D$12, 100%, $F$12)</f>
        <v>32.956899999999997</v>
      </c>
      <c r="J973" s="4">
        <f>CHOOSE( CONTROL!$C$37, 32.8159, 32.8143) * CHOOSE(CONTROL!$C$20, $D$12, 100%, $F$12)</f>
        <v>32.815899999999999</v>
      </c>
      <c r="K973" s="4"/>
      <c r="L973" s="8">
        <v>30.7165</v>
      </c>
      <c r="M973" s="8">
        <v>12.063700000000001</v>
      </c>
      <c r="N973" s="8">
        <v>4.9444999999999997</v>
      </c>
      <c r="O973" s="8">
        <v>0.37409999999999999</v>
      </c>
      <c r="P973" s="8">
        <v>1.2927</v>
      </c>
      <c r="Q973" s="8">
        <v>19.688099999999999</v>
      </c>
      <c r="R973" s="8"/>
    </row>
    <row r="974" spans="1:18" ht="14.25" customHeight="1">
      <c r="A974" s="11">
        <v>70767</v>
      </c>
      <c r="B974" s="7">
        <f>CHOOSE( CONTROL!$C$37, 33.1653, 33.1637) * CHOOSE(CONTROL!$C$20, $D$12, 100%, $F$12)</f>
        <v>33.165300000000002</v>
      </c>
      <c r="C974" s="7">
        <f>CHOOSE( CONTROL!$C$37, 33.1733, 33.1717) * CHOOSE(CONTROL!$C$20, $D$12, 100%, $F$12)</f>
        <v>33.173299999999998</v>
      </c>
      <c r="D974" s="7">
        <f>CHOOSE( CONTROL!$C$37, 33.1795, 33.1779) * CHOOSE( CONTROL!$C$20, $D$12, 100%, $F$12)</f>
        <v>33.179499999999997</v>
      </c>
      <c r="E974" s="10">
        <f>CHOOSE( CONTROL!$C$37, 33.176, 33.1744) * CHOOSE( CONTROL!$C$20, $D$12, 100%, $F$12)</f>
        <v>33.176000000000002</v>
      </c>
      <c r="F974" s="4">
        <f>CHOOSE( CONTROL!$C$37, 33.8906, 33.8889) * CHOOSE(CONTROL!$C$20, $D$12, 100%, $F$12)</f>
        <v>33.890599999999999</v>
      </c>
      <c r="G974" s="7">
        <f>CHOOSE( CONTROL!$C$37, 32.747, 32.7453) * CHOOSE( CONTROL!$C$20, $D$12, 100%, $F$12)</f>
        <v>32.747</v>
      </c>
      <c r="H974" s="4">
        <f>CHOOSE( CONTROL!$C$37, 33.6916, 33.69) * CHOOSE(CONTROL!$C$20, $D$12, 100%, $F$12)</f>
        <v>33.691600000000001</v>
      </c>
      <c r="I974" s="7">
        <f>CHOOSE( CONTROL!$C$37, 32.2689, 32.2673) * CHOOSE(CONTROL!$C$20, $D$12, 100%, $F$12)</f>
        <v>32.268900000000002</v>
      </c>
      <c r="J974" s="4">
        <f>CHOOSE( CONTROL!$C$37, 32.1286, 32.127) * CHOOSE(CONTROL!$C$20, $D$12, 100%, $F$12)</f>
        <v>32.128599999999999</v>
      </c>
      <c r="K974" s="4"/>
      <c r="L974" s="8">
        <v>29.7257</v>
      </c>
      <c r="M974" s="8">
        <v>11.6745</v>
      </c>
      <c r="N974" s="8">
        <v>4.7850000000000001</v>
      </c>
      <c r="O974" s="8">
        <v>0.36199999999999999</v>
      </c>
      <c r="P974" s="8">
        <v>1.2509999999999999</v>
      </c>
      <c r="Q974" s="8">
        <v>19.053000000000001</v>
      </c>
      <c r="R974" s="8"/>
    </row>
    <row r="975" spans="1:18" ht="14.25" customHeight="1">
      <c r="A975" s="11">
        <v>70798</v>
      </c>
      <c r="B975" s="7">
        <f>CHOOSE( CONTROL!$C$37, 34.6369, 34.6359) * CHOOSE(CONTROL!$C$20, $D$12, 100%, $F$12)</f>
        <v>34.636899999999997</v>
      </c>
      <c r="C975" s="7">
        <f>CHOOSE( CONTROL!$C$37, 34.6423, 34.6412) * CHOOSE(CONTROL!$C$20, $D$12, 100%, $F$12)</f>
        <v>34.642299999999999</v>
      </c>
      <c r="D975" s="7">
        <f>CHOOSE( CONTROL!$C$37, 34.6543, 34.6532) * CHOOSE( CONTROL!$C$20, $D$12, 100%, $F$12)</f>
        <v>34.654299999999999</v>
      </c>
      <c r="E975" s="10">
        <f>CHOOSE( CONTROL!$C$37, 34.6498, 34.6487) * CHOOSE( CONTROL!$C$20, $D$12, 100%, $F$12)</f>
        <v>34.649799999999999</v>
      </c>
      <c r="F975" s="4">
        <f>CHOOSE( CONTROL!$C$37, 35.364, 35.3629) * CHOOSE(CONTROL!$C$20, $D$12, 100%, $F$12)</f>
        <v>35.363999999999997</v>
      </c>
      <c r="G975" s="7">
        <f>CHOOSE( CONTROL!$C$37, 34.1999, 34.1988) * CHOOSE( CONTROL!$C$20, $D$12, 100%, $F$12)</f>
        <v>34.1999</v>
      </c>
      <c r="H975" s="4">
        <f>CHOOSE( CONTROL!$C$37, 35.1444, 35.1434) * CHOOSE(CONTROL!$C$20, $D$12, 100%, $F$12)</f>
        <v>35.144399999999997</v>
      </c>
      <c r="I975" s="7">
        <f>CHOOSE( CONTROL!$C$37, 33.6969, 33.6958) * CHOOSE(CONTROL!$C$20, $D$12, 100%, $F$12)</f>
        <v>33.696899999999999</v>
      </c>
      <c r="J975" s="4">
        <f>CHOOSE( CONTROL!$C$37, 33.5552, 33.5542) * CHOOSE(CONTROL!$C$20, $D$12, 100%, $F$12)</f>
        <v>33.555199999999999</v>
      </c>
      <c r="K975" s="4"/>
      <c r="L975" s="8">
        <v>31.095300000000002</v>
      </c>
      <c r="M975" s="8">
        <v>12.063700000000001</v>
      </c>
      <c r="N975" s="8">
        <v>4.9444999999999997</v>
      </c>
      <c r="O975" s="8">
        <v>0.37409999999999999</v>
      </c>
      <c r="P975" s="8">
        <v>1.2927</v>
      </c>
      <c r="Q975" s="8">
        <v>19.688099999999999</v>
      </c>
      <c r="R975" s="8"/>
    </row>
    <row r="976" spans="1:18" ht="14.25" customHeight="1">
      <c r="A976" s="11">
        <v>70828</v>
      </c>
      <c r="B976" s="7">
        <f>CHOOSE( CONTROL!$C$37, 37.3571, 37.356) * CHOOSE(CONTROL!$C$20, $D$12, 100%, $F$12)</f>
        <v>37.357100000000003</v>
      </c>
      <c r="C976" s="7">
        <f>CHOOSE( CONTROL!$C$37, 37.3622, 37.3611) * CHOOSE(CONTROL!$C$20, $D$12, 100%, $F$12)</f>
        <v>37.362200000000001</v>
      </c>
      <c r="D976" s="7">
        <f>CHOOSE( CONTROL!$C$37, 37.3406, 37.3396) * CHOOSE( CONTROL!$C$20, $D$12, 100%, $F$12)</f>
        <v>37.340600000000002</v>
      </c>
      <c r="E976" s="10">
        <f>CHOOSE( CONTROL!$C$37, 37.348, 37.3469) * CHOOSE( CONTROL!$C$20, $D$12, 100%, $F$12)</f>
        <v>37.347999999999999</v>
      </c>
      <c r="F976" s="4">
        <f>CHOOSE( CONTROL!$C$37, 38.0096, 38.0085) * CHOOSE(CONTROL!$C$20, $D$12, 100%, $F$12)</f>
        <v>38.009599999999999</v>
      </c>
      <c r="G976" s="7">
        <f>CHOOSE( CONTROL!$C$37, 36.8686, 36.8675) * CHOOSE( CONTROL!$C$20, $D$12, 100%, $F$12)</f>
        <v>36.868600000000001</v>
      </c>
      <c r="H976" s="4">
        <f>CHOOSE( CONTROL!$C$37, 37.7532, 37.7521) * CHOOSE(CONTROL!$C$20, $D$12, 100%, $F$12)</f>
        <v>37.7532</v>
      </c>
      <c r="I976" s="7">
        <f>CHOOSE( CONTROL!$C$37, 36.3837, 36.3826) * CHOOSE(CONTROL!$C$20, $D$12, 100%, $F$12)</f>
        <v>36.383699999999997</v>
      </c>
      <c r="J976" s="4">
        <f>CHOOSE( CONTROL!$C$37, 36.1895, 36.1885) * CHOOSE(CONTROL!$C$20, $D$12, 100%, $F$12)</f>
        <v>36.189500000000002</v>
      </c>
      <c r="K976" s="4"/>
      <c r="L976" s="8">
        <v>28.360600000000002</v>
      </c>
      <c r="M976" s="8">
        <v>11.6745</v>
      </c>
      <c r="N976" s="8">
        <v>4.7850000000000001</v>
      </c>
      <c r="O976" s="8">
        <v>0.36199999999999999</v>
      </c>
      <c r="P976" s="8">
        <v>1.2509999999999999</v>
      </c>
      <c r="Q976" s="8">
        <v>19.053000000000001</v>
      </c>
      <c r="R976" s="8"/>
    </row>
    <row r="977" spans="1:18" ht="14.25" customHeight="1">
      <c r="A977" s="11">
        <v>70859</v>
      </c>
      <c r="B977" s="7">
        <f>CHOOSE( CONTROL!$C$37, 37.2891, 37.288) * CHOOSE(CONTROL!$C$20, $D$12, 100%, $F$12)</f>
        <v>37.289099999999998</v>
      </c>
      <c r="C977" s="7">
        <f>CHOOSE( CONTROL!$C$37, 37.2942, 37.2931) * CHOOSE(CONTROL!$C$20, $D$12, 100%, $F$12)</f>
        <v>37.294199999999996</v>
      </c>
      <c r="D977" s="7">
        <f>CHOOSE( CONTROL!$C$37, 37.2742, 37.2732) * CHOOSE( CONTROL!$C$20, $D$12, 100%, $F$12)</f>
        <v>37.2742</v>
      </c>
      <c r="E977" s="10">
        <f>CHOOSE( CONTROL!$C$37, 37.281, 37.2799) * CHOOSE( CONTROL!$C$20, $D$12, 100%, $F$12)</f>
        <v>37.280999999999999</v>
      </c>
      <c r="F977" s="4">
        <f>CHOOSE( CONTROL!$C$37, 37.9417, 37.9406) * CHOOSE(CONTROL!$C$20, $D$12, 100%, $F$12)</f>
        <v>37.941699999999997</v>
      </c>
      <c r="G977" s="7">
        <f>CHOOSE( CONTROL!$C$37, 36.8027, 36.8016) * CHOOSE( CONTROL!$C$20, $D$12, 100%, $F$12)</f>
        <v>36.802700000000002</v>
      </c>
      <c r="H977" s="4">
        <f>CHOOSE( CONTROL!$C$37, 37.6862, 37.6851) * CHOOSE(CONTROL!$C$20, $D$12, 100%, $F$12)</f>
        <v>37.686199999999999</v>
      </c>
      <c r="I977" s="7">
        <f>CHOOSE( CONTROL!$C$37, 36.3227, 36.3216) * CHOOSE(CONTROL!$C$20, $D$12, 100%, $F$12)</f>
        <v>36.322699999999998</v>
      </c>
      <c r="J977" s="4">
        <f>CHOOSE( CONTROL!$C$37, 36.1237, 36.1227) * CHOOSE(CONTROL!$C$20, $D$12, 100%, $F$12)</f>
        <v>36.123699999999999</v>
      </c>
      <c r="K977" s="4"/>
      <c r="L977" s="8">
        <v>29.306000000000001</v>
      </c>
      <c r="M977" s="8">
        <v>12.063700000000001</v>
      </c>
      <c r="N977" s="8">
        <v>4.9444999999999997</v>
      </c>
      <c r="O977" s="8">
        <v>0.37409999999999999</v>
      </c>
      <c r="P977" s="8">
        <v>1.2927</v>
      </c>
      <c r="Q977" s="8">
        <v>19.688099999999999</v>
      </c>
      <c r="R977" s="8"/>
    </row>
    <row r="978" spans="1:18" ht="14.25" customHeight="1">
      <c r="A978" s="11">
        <v>70890</v>
      </c>
      <c r="B978" s="7">
        <f>CHOOSE( CONTROL!$C$37, 38.3895, 38.3884) * CHOOSE(CONTROL!$C$20, $D$12, 100%, $F$12)</f>
        <v>38.389499999999998</v>
      </c>
      <c r="C978" s="7">
        <f>CHOOSE( CONTROL!$C$37, 38.3946, 38.3935) * CHOOSE(CONTROL!$C$20, $D$12, 100%, $F$12)</f>
        <v>38.394599999999997</v>
      </c>
      <c r="D978" s="7">
        <f>CHOOSE( CONTROL!$C$37, 38.3877, 38.3866) * CHOOSE( CONTROL!$C$20, $D$12, 100%, $F$12)</f>
        <v>38.387700000000002</v>
      </c>
      <c r="E978" s="10">
        <f>CHOOSE( CONTROL!$C$37, 38.3897, 38.3886) * CHOOSE( CONTROL!$C$20, $D$12, 100%, $F$12)</f>
        <v>38.389699999999998</v>
      </c>
      <c r="F978" s="4">
        <f>CHOOSE( CONTROL!$C$37, 39.042, 39.041) * CHOOSE(CONTROL!$C$20, $D$12, 100%, $F$12)</f>
        <v>39.042000000000002</v>
      </c>
      <c r="G978" s="7">
        <f>CHOOSE( CONTROL!$C$37, 37.8922, 37.8912) * CHOOSE( CONTROL!$C$20, $D$12, 100%, $F$12)</f>
        <v>37.892200000000003</v>
      </c>
      <c r="H978" s="4">
        <f>CHOOSE( CONTROL!$C$37, 38.7712, 38.7701) * CHOOSE(CONTROL!$C$20, $D$12, 100%, $F$12)</f>
        <v>38.7712</v>
      </c>
      <c r="I978" s="7">
        <f>CHOOSE( CONTROL!$C$37, 37.36, 37.359) * CHOOSE(CONTROL!$C$20, $D$12, 100%, $F$12)</f>
        <v>37.36</v>
      </c>
      <c r="J978" s="4">
        <f>CHOOSE( CONTROL!$C$37, 37.1892, 37.1882) * CHOOSE(CONTROL!$C$20, $D$12, 100%, $F$12)</f>
        <v>37.1892</v>
      </c>
      <c r="K978" s="4"/>
      <c r="L978" s="8">
        <v>29.306000000000001</v>
      </c>
      <c r="M978" s="8">
        <v>12.063700000000001</v>
      </c>
      <c r="N978" s="8">
        <v>4.9444999999999997</v>
      </c>
      <c r="O978" s="8">
        <v>0.37409999999999999</v>
      </c>
      <c r="P978" s="8">
        <v>1.2927</v>
      </c>
      <c r="Q978" s="8">
        <v>19.688099999999999</v>
      </c>
      <c r="R978" s="8"/>
    </row>
    <row r="979" spans="1:18" ht="14.25" customHeight="1">
      <c r="A979" s="11">
        <v>70918</v>
      </c>
      <c r="B979" s="7">
        <f>CHOOSE( CONTROL!$C$37, 35.9066, 35.9056) * CHOOSE(CONTROL!$C$20, $D$12, 100%, $F$12)</f>
        <v>35.906599999999997</v>
      </c>
      <c r="C979" s="7">
        <f>CHOOSE( CONTROL!$C$37, 35.9117, 35.9107) * CHOOSE(CONTROL!$C$20, $D$12, 100%, $F$12)</f>
        <v>35.911700000000003</v>
      </c>
      <c r="D979" s="7">
        <f>CHOOSE( CONTROL!$C$37, 35.9048, 35.9037) * CHOOSE( CONTROL!$C$20, $D$12, 100%, $F$12)</f>
        <v>35.904800000000002</v>
      </c>
      <c r="E979" s="10">
        <f>CHOOSE( CONTROL!$C$37, 35.9068, 35.9057) * CHOOSE( CONTROL!$C$20, $D$12, 100%, $F$12)</f>
        <v>35.906799999999997</v>
      </c>
      <c r="F979" s="4">
        <f>CHOOSE( CONTROL!$C$37, 36.5592, 36.5581) * CHOOSE(CONTROL!$C$20, $D$12, 100%, $F$12)</f>
        <v>36.559199999999997</v>
      </c>
      <c r="G979" s="7">
        <f>CHOOSE( CONTROL!$C$37, 35.4439, 35.4429) * CHOOSE( CONTROL!$C$20, $D$12, 100%, $F$12)</f>
        <v>35.443899999999999</v>
      </c>
      <c r="H979" s="4">
        <f>CHOOSE( CONTROL!$C$37, 36.323, 36.3219) * CHOOSE(CONTROL!$C$20, $D$12, 100%, $F$12)</f>
        <v>36.323</v>
      </c>
      <c r="I979" s="7">
        <f>CHOOSE( CONTROL!$C$37, 34.9544, 34.9534) * CHOOSE(CONTROL!$C$20, $D$12, 100%, $F$12)</f>
        <v>34.9544</v>
      </c>
      <c r="J979" s="4">
        <f>CHOOSE( CONTROL!$C$37, 34.7851, 34.784) * CHOOSE(CONTROL!$C$20, $D$12, 100%, $F$12)</f>
        <v>34.7851</v>
      </c>
      <c r="K979" s="4"/>
      <c r="L979" s="8">
        <v>26.469899999999999</v>
      </c>
      <c r="M979" s="8">
        <v>10.8962</v>
      </c>
      <c r="N979" s="8">
        <v>4.4660000000000002</v>
      </c>
      <c r="O979" s="8">
        <v>0.33789999999999998</v>
      </c>
      <c r="P979" s="8">
        <v>1.1676</v>
      </c>
      <c r="Q979" s="8">
        <v>17.782800000000002</v>
      </c>
      <c r="R979" s="8"/>
    </row>
    <row r="980" spans="1:18" ht="14.25" customHeight="1">
      <c r="A980" s="11">
        <v>70949</v>
      </c>
      <c r="B980" s="7">
        <f>CHOOSE( CONTROL!$C$37, 35.1419, 35.1408) * CHOOSE(CONTROL!$C$20, $D$12, 100%, $F$12)</f>
        <v>35.1419</v>
      </c>
      <c r="C980" s="7">
        <f>CHOOSE( CONTROL!$C$37, 35.147, 35.1459) * CHOOSE(CONTROL!$C$20, $D$12, 100%, $F$12)</f>
        <v>35.146999999999998</v>
      </c>
      <c r="D980" s="7">
        <f>CHOOSE( CONTROL!$C$37, 35.1394, 35.1383) * CHOOSE( CONTROL!$C$20, $D$12, 100%, $F$12)</f>
        <v>35.139400000000002</v>
      </c>
      <c r="E980" s="10">
        <f>CHOOSE( CONTROL!$C$37, 35.1416, 35.1405) * CHOOSE( CONTROL!$C$20, $D$12, 100%, $F$12)</f>
        <v>35.141599999999997</v>
      </c>
      <c r="F980" s="4">
        <f>CHOOSE( CONTROL!$C$37, 35.7945, 35.7934) * CHOOSE(CONTROL!$C$20, $D$12, 100%, $F$12)</f>
        <v>35.794499999999999</v>
      </c>
      <c r="G980" s="7">
        <f>CHOOSE( CONTROL!$C$37, 34.6895, 34.6884) * CHOOSE( CONTROL!$C$20, $D$12, 100%, $F$12)</f>
        <v>34.689500000000002</v>
      </c>
      <c r="H980" s="4">
        <f>CHOOSE( CONTROL!$C$37, 35.5689, 35.5679) * CHOOSE(CONTROL!$C$20, $D$12, 100%, $F$12)</f>
        <v>35.568899999999999</v>
      </c>
      <c r="I980" s="7">
        <f>CHOOSE( CONTROL!$C$37, 34.2116, 34.2106) * CHOOSE(CONTROL!$C$20, $D$12, 100%, $F$12)</f>
        <v>34.211599999999997</v>
      </c>
      <c r="J980" s="4">
        <f>CHOOSE( CONTROL!$C$37, 34.0446, 34.0435) * CHOOSE(CONTROL!$C$20, $D$12, 100%, $F$12)</f>
        <v>34.044600000000003</v>
      </c>
      <c r="K980" s="4"/>
      <c r="L980" s="8">
        <v>29.306000000000001</v>
      </c>
      <c r="M980" s="8">
        <v>12.063700000000001</v>
      </c>
      <c r="N980" s="8">
        <v>4.9444999999999997</v>
      </c>
      <c r="O980" s="8">
        <v>0.37409999999999999</v>
      </c>
      <c r="P980" s="8">
        <v>1.2927</v>
      </c>
      <c r="Q980" s="8">
        <v>19.688099999999999</v>
      </c>
      <c r="R980" s="8"/>
    </row>
    <row r="981" spans="1:18" ht="14.25" customHeight="1">
      <c r="A981" s="11">
        <v>70979</v>
      </c>
      <c r="B981" s="7">
        <f>CHOOSE( CONTROL!$C$37, 35.6771, 35.676) * CHOOSE(CONTROL!$C$20, $D$12, 100%, $F$12)</f>
        <v>35.677100000000003</v>
      </c>
      <c r="C981" s="7">
        <f>CHOOSE( CONTROL!$C$37, 35.6816, 35.6805) * CHOOSE(CONTROL!$C$20, $D$12, 100%, $F$12)</f>
        <v>35.681600000000003</v>
      </c>
      <c r="D981" s="7">
        <f>CHOOSE( CONTROL!$C$37, 35.6934, 35.6923) * CHOOSE( CONTROL!$C$20, $D$12, 100%, $F$12)</f>
        <v>35.693399999999997</v>
      </c>
      <c r="E981" s="10">
        <f>CHOOSE( CONTROL!$C$37, 35.689, 35.6879) * CHOOSE( CONTROL!$C$20, $D$12, 100%, $F$12)</f>
        <v>35.689</v>
      </c>
      <c r="F981" s="4">
        <f>CHOOSE( CONTROL!$C$37, 36.4037, 36.4026) * CHOOSE(CONTROL!$C$20, $D$12, 100%, $F$12)</f>
        <v>36.403700000000001</v>
      </c>
      <c r="G981" s="7">
        <f>CHOOSE( CONTROL!$C$37, 35.2246, 35.2235) * CHOOSE( CONTROL!$C$20, $D$12, 100%, $F$12)</f>
        <v>35.224600000000002</v>
      </c>
      <c r="H981" s="4">
        <f>CHOOSE( CONTROL!$C$37, 36.1697, 36.1686) * CHOOSE(CONTROL!$C$20, $D$12, 100%, $F$12)</f>
        <v>36.169699999999999</v>
      </c>
      <c r="I981" s="7">
        <f>CHOOSE( CONTROL!$C$37, 34.7019, 34.7009) * CHOOSE(CONTROL!$C$20, $D$12, 100%, $F$12)</f>
        <v>34.701900000000002</v>
      </c>
      <c r="J981" s="4">
        <f>CHOOSE( CONTROL!$C$37, 34.562, 34.561) * CHOOSE(CONTROL!$C$20, $D$12, 100%, $F$12)</f>
        <v>34.561999999999998</v>
      </c>
      <c r="K981" s="4"/>
      <c r="L981" s="8">
        <v>30.092199999999998</v>
      </c>
      <c r="M981" s="8">
        <v>11.6745</v>
      </c>
      <c r="N981" s="8">
        <v>4.7850000000000001</v>
      </c>
      <c r="O981" s="8">
        <v>0.36199999999999999</v>
      </c>
      <c r="P981" s="8">
        <v>1.2509999999999999</v>
      </c>
      <c r="Q981" s="8">
        <v>19.053000000000001</v>
      </c>
      <c r="R981" s="8"/>
    </row>
    <row r="982" spans="1:18" ht="14.25" customHeight="1">
      <c r="A982" s="11">
        <v>71010</v>
      </c>
      <c r="B982" s="7">
        <f>CHOOSE( CONTROL!$C$37, 36.63, 36.6284) * CHOOSE(CONTROL!$C$20, $D$12, 100%, $F$12)</f>
        <v>36.630000000000003</v>
      </c>
      <c r="C982" s="7">
        <f>CHOOSE( CONTROL!$C$37, 36.638, 36.6364) * CHOOSE(CONTROL!$C$20, $D$12, 100%, $F$12)</f>
        <v>36.637999999999998</v>
      </c>
      <c r="D982" s="7">
        <f>CHOOSE( CONTROL!$C$37, 36.6437, 36.642) * CHOOSE( CONTROL!$C$20, $D$12, 100%, $F$12)</f>
        <v>36.643700000000003</v>
      </c>
      <c r="E982" s="10">
        <f>CHOOSE( CONTROL!$C$37, 36.6404, 36.6388) * CHOOSE( CONTROL!$C$20, $D$12, 100%, $F$12)</f>
        <v>36.6404</v>
      </c>
      <c r="F982" s="4">
        <f>CHOOSE( CONTROL!$C$37, 37.3553, 37.3537) * CHOOSE(CONTROL!$C$20, $D$12, 100%, $F$12)</f>
        <v>37.3553</v>
      </c>
      <c r="G982" s="7">
        <f>CHOOSE( CONTROL!$C$37, 36.1629, 36.1613) * CHOOSE( CONTROL!$C$20, $D$12, 100%, $F$12)</f>
        <v>36.1629</v>
      </c>
      <c r="H982" s="4">
        <f>CHOOSE( CONTROL!$C$37, 37.108, 37.1064) * CHOOSE(CONTROL!$C$20, $D$12, 100%, $F$12)</f>
        <v>37.107999999999997</v>
      </c>
      <c r="I982" s="7">
        <f>CHOOSE( CONTROL!$C$37, 35.6235, 35.6219) * CHOOSE(CONTROL!$C$20, $D$12, 100%, $F$12)</f>
        <v>35.6235</v>
      </c>
      <c r="J982" s="4">
        <f>CHOOSE( CONTROL!$C$37, 35.4835, 35.4819) * CHOOSE(CONTROL!$C$20, $D$12, 100%, $F$12)</f>
        <v>35.483499999999999</v>
      </c>
      <c r="K982" s="4"/>
      <c r="L982" s="8">
        <v>30.7165</v>
      </c>
      <c r="M982" s="8">
        <v>12.063700000000001</v>
      </c>
      <c r="N982" s="8">
        <v>4.9444999999999997</v>
      </c>
      <c r="O982" s="8">
        <v>0.37409999999999999</v>
      </c>
      <c r="P982" s="8">
        <v>1.2927</v>
      </c>
      <c r="Q982" s="8">
        <v>19.688099999999999</v>
      </c>
      <c r="R982" s="8"/>
    </row>
    <row r="983" spans="1:18" ht="14.25" customHeight="1">
      <c r="A983" s="11">
        <v>71040</v>
      </c>
      <c r="B983" s="7">
        <f>CHOOSE( CONTROL!$C$37, 36.0409, 36.0392) * CHOOSE(CONTROL!$C$20, $D$12, 100%, $F$12)</f>
        <v>36.040900000000001</v>
      </c>
      <c r="C983" s="7">
        <f>CHOOSE( CONTROL!$C$37, 36.0489, 36.0472) * CHOOSE(CONTROL!$C$20, $D$12, 100%, $F$12)</f>
        <v>36.048900000000003</v>
      </c>
      <c r="D983" s="7">
        <f>CHOOSE( CONTROL!$C$37, 36.0548, 36.0532) * CHOOSE( CONTROL!$C$20, $D$12, 100%, $F$12)</f>
        <v>36.0548</v>
      </c>
      <c r="E983" s="10">
        <f>CHOOSE( CONTROL!$C$37, 36.0514, 36.0498) * CHOOSE( CONTROL!$C$20, $D$12, 100%, $F$12)</f>
        <v>36.051400000000001</v>
      </c>
      <c r="F983" s="4">
        <f>CHOOSE( CONTROL!$C$37, 36.7662, 36.7645) * CHOOSE(CONTROL!$C$20, $D$12, 100%, $F$12)</f>
        <v>36.766199999999998</v>
      </c>
      <c r="G983" s="7">
        <f>CHOOSE( CONTROL!$C$37, 35.5822, 35.5806) * CHOOSE( CONTROL!$C$20, $D$12, 100%, $F$12)</f>
        <v>35.5822</v>
      </c>
      <c r="H983" s="4">
        <f>CHOOSE( CONTROL!$C$37, 36.5271, 36.5255) * CHOOSE(CONTROL!$C$20, $D$12, 100%, $F$12)</f>
        <v>36.527099999999997</v>
      </c>
      <c r="I983" s="7">
        <f>CHOOSE( CONTROL!$C$37, 35.0537, 35.0521) * CHOOSE(CONTROL!$C$20, $D$12, 100%, $F$12)</f>
        <v>35.053699999999999</v>
      </c>
      <c r="J983" s="4">
        <f>CHOOSE( CONTROL!$C$37, 34.913, 34.9114) * CHOOSE(CONTROL!$C$20, $D$12, 100%, $F$12)</f>
        <v>34.912999999999997</v>
      </c>
      <c r="K983" s="4"/>
      <c r="L983" s="8">
        <v>29.7257</v>
      </c>
      <c r="M983" s="8">
        <v>11.6745</v>
      </c>
      <c r="N983" s="8">
        <v>4.7850000000000001</v>
      </c>
      <c r="O983" s="8">
        <v>0.36199999999999999</v>
      </c>
      <c r="P983" s="8">
        <v>1.2509999999999999</v>
      </c>
      <c r="Q983" s="8">
        <v>19.053000000000001</v>
      </c>
      <c r="R983" s="8"/>
    </row>
    <row r="984" spans="1:18" ht="14.25" customHeight="1">
      <c r="A984" s="11">
        <v>71071</v>
      </c>
      <c r="B984" s="7">
        <f>CHOOSE( CONTROL!$C$37, 37.5923, 37.5907) * CHOOSE(CONTROL!$C$20, $D$12, 100%, $F$12)</f>
        <v>37.592300000000002</v>
      </c>
      <c r="C984" s="7">
        <f>CHOOSE( CONTROL!$C$37, 37.6003, 37.5987) * CHOOSE(CONTROL!$C$20, $D$12, 100%, $F$12)</f>
        <v>37.600299999999997</v>
      </c>
      <c r="D984" s="7">
        <f>CHOOSE( CONTROL!$C$37, 37.6066, 37.6049) * CHOOSE( CONTROL!$C$20, $D$12, 100%, $F$12)</f>
        <v>37.6066</v>
      </c>
      <c r="E984" s="10">
        <f>CHOOSE( CONTROL!$C$37, 37.6031, 37.6014) * CHOOSE( CONTROL!$C$20, $D$12, 100%, $F$12)</f>
        <v>37.603099999999998</v>
      </c>
      <c r="F984" s="4">
        <f>CHOOSE( CONTROL!$C$37, 38.3176, 38.316) * CHOOSE(CONTROL!$C$20, $D$12, 100%, $F$12)</f>
        <v>38.317599999999999</v>
      </c>
      <c r="G984" s="7">
        <f>CHOOSE( CONTROL!$C$37, 37.1122, 37.1106) * CHOOSE( CONTROL!$C$20, $D$12, 100%, $F$12)</f>
        <v>37.112200000000001</v>
      </c>
      <c r="H984" s="4">
        <f>CHOOSE( CONTROL!$C$37, 38.0569, 38.0552) * CHOOSE(CONTROL!$C$20, $D$12, 100%, $F$12)</f>
        <v>38.056899999999999</v>
      </c>
      <c r="I984" s="7">
        <f>CHOOSE( CONTROL!$C$37, 36.5578, 36.5562) * CHOOSE(CONTROL!$C$20, $D$12, 100%, $F$12)</f>
        <v>36.5578</v>
      </c>
      <c r="J984" s="4">
        <f>CHOOSE( CONTROL!$C$37, 36.4153, 36.4136) * CHOOSE(CONTROL!$C$20, $D$12, 100%, $F$12)</f>
        <v>36.415300000000002</v>
      </c>
      <c r="K984" s="4"/>
      <c r="L984" s="8">
        <v>30.7165</v>
      </c>
      <c r="M984" s="8">
        <v>12.063700000000001</v>
      </c>
      <c r="N984" s="8">
        <v>4.9444999999999997</v>
      </c>
      <c r="O984" s="8">
        <v>0.37409999999999999</v>
      </c>
      <c r="P984" s="8">
        <v>1.2927</v>
      </c>
      <c r="Q984" s="8">
        <v>19.688099999999999</v>
      </c>
      <c r="R984" s="8"/>
    </row>
    <row r="985" spans="1:18" ht="14.25" customHeight="1">
      <c r="A985" s="11">
        <v>71102</v>
      </c>
      <c r="B985" s="7">
        <f>CHOOSE( CONTROL!$C$37, 34.6894, 34.6878) * CHOOSE(CONTROL!$C$20, $D$12, 100%, $F$12)</f>
        <v>34.689399999999999</v>
      </c>
      <c r="C985" s="7">
        <f>CHOOSE( CONTROL!$C$37, 34.6974, 34.6958) * CHOOSE(CONTROL!$C$20, $D$12, 100%, $F$12)</f>
        <v>34.697400000000002</v>
      </c>
      <c r="D985" s="7">
        <f>CHOOSE( CONTROL!$C$37, 34.7038, 34.7021) * CHOOSE( CONTROL!$C$20, $D$12, 100%, $F$12)</f>
        <v>34.703800000000001</v>
      </c>
      <c r="E985" s="10">
        <f>CHOOSE( CONTROL!$C$37, 34.7003, 34.6986) * CHOOSE( CONTROL!$C$20, $D$12, 100%, $F$12)</f>
        <v>34.700299999999999</v>
      </c>
      <c r="F985" s="4">
        <f>CHOOSE( CONTROL!$C$37, 35.4147, 35.4131) * CHOOSE(CONTROL!$C$20, $D$12, 100%, $F$12)</f>
        <v>35.414700000000003</v>
      </c>
      <c r="G985" s="7">
        <f>CHOOSE( CONTROL!$C$37, 34.2499, 34.2483) * CHOOSE( CONTROL!$C$20, $D$12, 100%, $F$12)</f>
        <v>34.249899999999997</v>
      </c>
      <c r="H985" s="4">
        <f>CHOOSE( CONTROL!$C$37, 35.1945, 35.1929) * CHOOSE(CONTROL!$C$20, $D$12, 100%, $F$12)</f>
        <v>35.194499999999998</v>
      </c>
      <c r="I985" s="7">
        <f>CHOOSE( CONTROL!$C$37, 33.7458, 33.7442) * CHOOSE(CONTROL!$C$20, $D$12, 100%, $F$12)</f>
        <v>33.745800000000003</v>
      </c>
      <c r="J985" s="4">
        <f>CHOOSE( CONTROL!$C$37, 33.6044, 33.6028) * CHOOSE(CONTROL!$C$20, $D$12, 100%, $F$12)</f>
        <v>33.604399999999998</v>
      </c>
      <c r="K985" s="4"/>
      <c r="L985" s="8">
        <v>30.7165</v>
      </c>
      <c r="M985" s="8">
        <v>12.063700000000001</v>
      </c>
      <c r="N985" s="8">
        <v>4.9444999999999997</v>
      </c>
      <c r="O985" s="8">
        <v>0.37409999999999999</v>
      </c>
      <c r="P985" s="8">
        <v>1.2927</v>
      </c>
      <c r="Q985" s="8">
        <v>19.688099999999999</v>
      </c>
      <c r="R985" s="8"/>
    </row>
    <row r="986" spans="1:18" ht="14.25" customHeight="1">
      <c r="A986" s="11">
        <v>71132</v>
      </c>
      <c r="B986" s="7">
        <f>CHOOSE( CONTROL!$C$37, 33.9625, 33.9609) * CHOOSE(CONTROL!$C$20, $D$12, 100%, $F$12)</f>
        <v>33.962499999999999</v>
      </c>
      <c r="C986" s="7">
        <f>CHOOSE( CONTROL!$C$37, 33.9705, 33.9689) * CHOOSE(CONTROL!$C$20, $D$12, 100%, $F$12)</f>
        <v>33.970500000000001</v>
      </c>
      <c r="D986" s="7">
        <f>CHOOSE( CONTROL!$C$37, 33.9767, 33.9751) * CHOOSE( CONTROL!$C$20, $D$12, 100%, $F$12)</f>
        <v>33.976700000000001</v>
      </c>
      <c r="E986" s="10">
        <f>CHOOSE( CONTROL!$C$37, 33.9732, 33.9716) * CHOOSE( CONTROL!$C$20, $D$12, 100%, $F$12)</f>
        <v>33.973199999999999</v>
      </c>
      <c r="F986" s="4">
        <f>CHOOSE( CONTROL!$C$37, 34.6878, 34.6862) * CHOOSE(CONTROL!$C$20, $D$12, 100%, $F$12)</f>
        <v>34.687800000000003</v>
      </c>
      <c r="G986" s="7">
        <f>CHOOSE( CONTROL!$C$37, 33.5331, 33.5314) * CHOOSE( CONTROL!$C$20, $D$12, 100%, $F$12)</f>
        <v>33.533099999999997</v>
      </c>
      <c r="H986" s="4">
        <f>CHOOSE( CONTROL!$C$37, 34.4777, 34.4761) * CHOOSE(CONTROL!$C$20, $D$12, 100%, $F$12)</f>
        <v>34.477699999999999</v>
      </c>
      <c r="I986" s="7">
        <f>CHOOSE( CONTROL!$C$37, 33.0412, 33.0396) * CHOOSE(CONTROL!$C$20, $D$12, 100%, $F$12)</f>
        <v>33.041200000000003</v>
      </c>
      <c r="J986" s="4">
        <f>CHOOSE( CONTROL!$C$37, 32.9005, 32.8989) * CHOOSE(CONTROL!$C$20, $D$12, 100%, $F$12)</f>
        <v>32.900500000000001</v>
      </c>
      <c r="K986" s="4"/>
      <c r="L986" s="8">
        <v>29.7257</v>
      </c>
      <c r="M986" s="8">
        <v>11.6745</v>
      </c>
      <c r="N986" s="8">
        <v>4.7850000000000001</v>
      </c>
      <c r="O986" s="8">
        <v>0.36199999999999999</v>
      </c>
      <c r="P986" s="8">
        <v>1.2509999999999999</v>
      </c>
      <c r="Q986" s="8">
        <v>19.053000000000001</v>
      </c>
      <c r="R986" s="8"/>
    </row>
    <row r="987" spans="1:18" ht="14.25" customHeight="1">
      <c r="A987" s="11">
        <v>71163</v>
      </c>
      <c r="B987" s="7">
        <f>CHOOSE( CONTROL!$C$37, 35.4696, 35.4685) * CHOOSE(CONTROL!$C$20, $D$12, 100%, $F$12)</f>
        <v>35.4696</v>
      </c>
      <c r="C987" s="7">
        <f>CHOOSE( CONTROL!$C$37, 35.4749, 35.4738) * CHOOSE(CONTROL!$C$20, $D$12, 100%, $F$12)</f>
        <v>35.474899999999998</v>
      </c>
      <c r="D987" s="7">
        <f>CHOOSE( CONTROL!$C$37, 35.4869, 35.4858) * CHOOSE( CONTROL!$C$20, $D$12, 100%, $F$12)</f>
        <v>35.486899999999999</v>
      </c>
      <c r="E987" s="10">
        <f>CHOOSE( CONTROL!$C$37, 35.4824, 35.4813) * CHOOSE( CONTROL!$C$20, $D$12, 100%, $F$12)</f>
        <v>35.482399999999998</v>
      </c>
      <c r="F987" s="4">
        <f>CHOOSE( CONTROL!$C$37, 36.1966, 36.1955) * CHOOSE(CONTROL!$C$20, $D$12, 100%, $F$12)</f>
        <v>36.196599999999997</v>
      </c>
      <c r="G987" s="7">
        <f>CHOOSE( CONTROL!$C$37, 35.0209, 35.0198) * CHOOSE( CONTROL!$C$20, $D$12, 100%, $F$12)</f>
        <v>35.020899999999997</v>
      </c>
      <c r="H987" s="4">
        <f>CHOOSE( CONTROL!$C$37, 35.9654, 35.9644) * CHOOSE(CONTROL!$C$20, $D$12, 100%, $F$12)</f>
        <v>35.965400000000002</v>
      </c>
      <c r="I987" s="7">
        <f>CHOOSE( CONTROL!$C$37, 34.5035, 34.5025) * CHOOSE(CONTROL!$C$20, $D$12, 100%, $F$12)</f>
        <v>34.503500000000003</v>
      </c>
      <c r="J987" s="4">
        <f>CHOOSE( CONTROL!$C$37, 34.3614, 34.3604) * CHOOSE(CONTROL!$C$20, $D$12, 100%, $F$12)</f>
        <v>34.361400000000003</v>
      </c>
      <c r="K987" s="4"/>
      <c r="L987" s="8">
        <v>31.095300000000002</v>
      </c>
      <c r="M987" s="8">
        <v>12.063700000000001</v>
      </c>
      <c r="N987" s="8">
        <v>4.9444999999999997</v>
      </c>
      <c r="O987" s="8">
        <v>0.37409999999999999</v>
      </c>
      <c r="P987" s="8">
        <v>1.2927</v>
      </c>
      <c r="Q987" s="8">
        <v>19.688099999999999</v>
      </c>
      <c r="R987" s="8"/>
    </row>
    <row r="988" spans="1:18" ht="14.25" customHeight="1">
      <c r="A988" s="11">
        <v>71193</v>
      </c>
      <c r="B988" s="7">
        <f>CHOOSE( CONTROL!$C$37, 38.2551, 38.254) * CHOOSE(CONTROL!$C$20, $D$12, 100%, $F$12)</f>
        <v>38.255099999999999</v>
      </c>
      <c r="C988" s="7">
        <f>CHOOSE( CONTROL!$C$37, 38.2602, 38.2591) * CHOOSE(CONTROL!$C$20, $D$12, 100%, $F$12)</f>
        <v>38.260199999999998</v>
      </c>
      <c r="D988" s="7">
        <f>CHOOSE( CONTROL!$C$37, 38.2386, 38.2375) * CHOOSE( CONTROL!$C$20, $D$12, 100%, $F$12)</f>
        <v>38.238599999999998</v>
      </c>
      <c r="E988" s="10">
        <f>CHOOSE( CONTROL!$C$37, 38.246, 38.2449) * CHOOSE( CONTROL!$C$20, $D$12, 100%, $F$12)</f>
        <v>38.246000000000002</v>
      </c>
      <c r="F988" s="4">
        <f>CHOOSE( CONTROL!$C$37, 38.9076, 38.9065) * CHOOSE(CONTROL!$C$20, $D$12, 100%, $F$12)</f>
        <v>38.907600000000002</v>
      </c>
      <c r="G988" s="7">
        <f>CHOOSE( CONTROL!$C$37, 37.754, 37.753) * CHOOSE( CONTROL!$C$20, $D$12, 100%, $F$12)</f>
        <v>37.753999999999998</v>
      </c>
      <c r="H988" s="4">
        <f>CHOOSE( CONTROL!$C$37, 38.6387, 38.6376) * CHOOSE(CONTROL!$C$20, $D$12, 100%, $F$12)</f>
        <v>38.6387</v>
      </c>
      <c r="I988" s="7">
        <f>CHOOSE( CONTROL!$C$37, 37.2536, 37.2526) * CHOOSE(CONTROL!$C$20, $D$12, 100%, $F$12)</f>
        <v>37.253599999999999</v>
      </c>
      <c r="J988" s="4">
        <f>CHOOSE( CONTROL!$C$37, 37.059, 37.058) * CHOOSE(CONTROL!$C$20, $D$12, 100%, $F$12)</f>
        <v>37.058999999999997</v>
      </c>
      <c r="K988" s="4"/>
      <c r="L988" s="8">
        <v>28.360600000000002</v>
      </c>
      <c r="M988" s="8">
        <v>11.6745</v>
      </c>
      <c r="N988" s="8">
        <v>4.7850000000000001</v>
      </c>
      <c r="O988" s="8">
        <v>0.36199999999999999</v>
      </c>
      <c r="P988" s="8">
        <v>1.2509999999999999</v>
      </c>
      <c r="Q988" s="8">
        <v>19.053000000000001</v>
      </c>
      <c r="R988" s="8"/>
    </row>
    <row r="989" spans="1:18" ht="14.25" customHeight="1">
      <c r="A989" s="11">
        <v>71224</v>
      </c>
      <c r="B989" s="7">
        <f>CHOOSE( CONTROL!$C$37, 38.1855, 38.1844) * CHOOSE(CONTROL!$C$20, $D$12, 100%, $F$12)</f>
        <v>38.185499999999998</v>
      </c>
      <c r="C989" s="7">
        <f>CHOOSE( CONTROL!$C$37, 38.1906, 38.1895) * CHOOSE(CONTROL!$C$20, $D$12, 100%, $F$12)</f>
        <v>38.190600000000003</v>
      </c>
      <c r="D989" s="7">
        <f>CHOOSE( CONTROL!$C$37, 38.1706, 38.1695) * CHOOSE( CONTROL!$C$20, $D$12, 100%, $F$12)</f>
        <v>38.1706</v>
      </c>
      <c r="E989" s="10">
        <f>CHOOSE( CONTROL!$C$37, 38.1774, 38.1763) * CHOOSE( CONTROL!$C$20, $D$12, 100%, $F$12)</f>
        <v>38.177399999999999</v>
      </c>
      <c r="F989" s="4">
        <f>CHOOSE( CONTROL!$C$37, 38.838, 38.8369) * CHOOSE(CONTROL!$C$20, $D$12, 100%, $F$12)</f>
        <v>38.838000000000001</v>
      </c>
      <c r="G989" s="7">
        <f>CHOOSE( CONTROL!$C$37, 37.6865, 37.6855) * CHOOSE( CONTROL!$C$20, $D$12, 100%, $F$12)</f>
        <v>37.686500000000002</v>
      </c>
      <c r="H989" s="4">
        <f>CHOOSE( CONTROL!$C$37, 38.57, 38.5689) * CHOOSE(CONTROL!$C$20, $D$12, 100%, $F$12)</f>
        <v>38.57</v>
      </c>
      <c r="I989" s="7">
        <f>CHOOSE( CONTROL!$C$37, 37.1911, 37.19) * CHOOSE(CONTROL!$C$20, $D$12, 100%, $F$12)</f>
        <v>37.191099999999999</v>
      </c>
      <c r="J989" s="4">
        <f>CHOOSE( CONTROL!$C$37, 36.9916, 36.9906) * CHOOSE(CONTROL!$C$20, $D$12, 100%, $F$12)</f>
        <v>36.991599999999998</v>
      </c>
      <c r="K989" s="4"/>
      <c r="L989" s="8">
        <v>29.306000000000001</v>
      </c>
      <c r="M989" s="8">
        <v>12.063700000000001</v>
      </c>
      <c r="N989" s="8">
        <v>4.9444999999999997</v>
      </c>
      <c r="O989" s="8">
        <v>0.37409999999999999</v>
      </c>
      <c r="P989" s="8">
        <v>1.2927</v>
      </c>
      <c r="Q989" s="8">
        <v>19.688099999999999</v>
      </c>
      <c r="R989" s="8"/>
    </row>
    <row r="990" spans="1:18" ht="14.25" customHeight="1">
      <c r="A990" s="11">
        <v>71255</v>
      </c>
      <c r="B990" s="7">
        <f>CHOOSE( CONTROL!$C$37, 39.3123, 39.3112) * CHOOSE(CONTROL!$C$20, $D$12, 100%, $F$12)</f>
        <v>39.3123</v>
      </c>
      <c r="C990" s="7">
        <f>CHOOSE( CONTROL!$C$37, 39.3174, 39.3163) * CHOOSE(CONTROL!$C$20, $D$12, 100%, $F$12)</f>
        <v>39.317399999999999</v>
      </c>
      <c r="D990" s="7">
        <f>CHOOSE( CONTROL!$C$37, 39.3105, 39.3094) * CHOOSE( CONTROL!$C$20, $D$12, 100%, $F$12)</f>
        <v>39.310499999999998</v>
      </c>
      <c r="E990" s="10">
        <f>CHOOSE( CONTROL!$C$37, 39.3125, 39.3114) * CHOOSE( CONTROL!$C$20, $D$12, 100%, $F$12)</f>
        <v>39.3125</v>
      </c>
      <c r="F990" s="4">
        <f>CHOOSE( CONTROL!$C$37, 39.9648, 39.9637) * CHOOSE(CONTROL!$C$20, $D$12, 100%, $F$12)</f>
        <v>39.964799999999997</v>
      </c>
      <c r="G990" s="7">
        <f>CHOOSE( CONTROL!$C$37, 38.8021, 38.8011) * CHOOSE( CONTROL!$C$20, $D$12, 100%, $F$12)</f>
        <v>38.802100000000003</v>
      </c>
      <c r="H990" s="4">
        <f>CHOOSE( CONTROL!$C$37, 39.6811, 39.68) * CHOOSE(CONTROL!$C$20, $D$12, 100%, $F$12)</f>
        <v>39.681100000000001</v>
      </c>
      <c r="I990" s="7">
        <f>CHOOSE( CONTROL!$C$37, 38.254, 38.253) * CHOOSE(CONTROL!$C$20, $D$12, 100%, $F$12)</f>
        <v>38.253999999999998</v>
      </c>
      <c r="J990" s="4">
        <f>CHOOSE( CONTROL!$C$37, 38.0827, 38.0817) * CHOOSE(CONTROL!$C$20, $D$12, 100%, $F$12)</f>
        <v>38.082700000000003</v>
      </c>
      <c r="K990" s="4"/>
      <c r="L990" s="8">
        <v>29.306000000000001</v>
      </c>
      <c r="M990" s="8">
        <v>12.063700000000001</v>
      </c>
      <c r="N990" s="8">
        <v>4.9444999999999997</v>
      </c>
      <c r="O990" s="8">
        <v>0.37409999999999999</v>
      </c>
      <c r="P990" s="8">
        <v>1.2927</v>
      </c>
      <c r="Q990" s="8">
        <v>19.688099999999999</v>
      </c>
      <c r="R990" s="8"/>
    </row>
    <row r="991" spans="1:18" ht="14.25" customHeight="1">
      <c r="A991" s="11">
        <v>71283</v>
      </c>
      <c r="B991" s="7">
        <f>CHOOSE( CONTROL!$C$37, 36.7698, 36.7687) * CHOOSE(CONTROL!$C$20, $D$12, 100%, $F$12)</f>
        <v>36.769799999999996</v>
      </c>
      <c r="C991" s="7">
        <f>CHOOSE( CONTROL!$C$37, 36.7749, 36.7738) * CHOOSE(CONTROL!$C$20, $D$12, 100%, $F$12)</f>
        <v>36.774900000000002</v>
      </c>
      <c r="D991" s="7">
        <f>CHOOSE( CONTROL!$C$37, 36.7679, 36.7668) * CHOOSE( CONTROL!$C$20, $D$12, 100%, $F$12)</f>
        <v>36.767899999999997</v>
      </c>
      <c r="E991" s="10">
        <f>CHOOSE( CONTROL!$C$37, 36.7699, 36.7688) * CHOOSE( CONTROL!$C$20, $D$12, 100%, $F$12)</f>
        <v>36.7699</v>
      </c>
      <c r="F991" s="4">
        <f>CHOOSE( CONTROL!$C$37, 37.4223, 37.4212) * CHOOSE(CONTROL!$C$20, $D$12, 100%, $F$12)</f>
        <v>37.4223</v>
      </c>
      <c r="G991" s="7">
        <f>CHOOSE( CONTROL!$C$37, 36.295, 36.294) * CHOOSE( CONTROL!$C$20, $D$12, 100%, $F$12)</f>
        <v>36.295000000000002</v>
      </c>
      <c r="H991" s="4">
        <f>CHOOSE( CONTROL!$C$37, 37.1741, 37.173) * CHOOSE(CONTROL!$C$20, $D$12, 100%, $F$12)</f>
        <v>37.174100000000003</v>
      </c>
      <c r="I991" s="7">
        <f>CHOOSE( CONTROL!$C$37, 35.7906, 35.7895) * CHOOSE(CONTROL!$C$20, $D$12, 100%, $F$12)</f>
        <v>35.790599999999998</v>
      </c>
      <c r="J991" s="4">
        <f>CHOOSE( CONTROL!$C$37, 35.6208, 35.6198) * CHOOSE(CONTROL!$C$20, $D$12, 100%, $F$12)</f>
        <v>35.620800000000003</v>
      </c>
      <c r="K991" s="4"/>
      <c r="L991" s="8">
        <v>26.469899999999999</v>
      </c>
      <c r="M991" s="8">
        <v>10.8962</v>
      </c>
      <c r="N991" s="8">
        <v>4.4660000000000002</v>
      </c>
      <c r="O991" s="8">
        <v>0.33789999999999998</v>
      </c>
      <c r="P991" s="8">
        <v>1.1676</v>
      </c>
      <c r="Q991" s="8">
        <v>17.782800000000002</v>
      </c>
      <c r="R991" s="8"/>
    </row>
    <row r="992" spans="1:18" ht="14.25" customHeight="1">
      <c r="A992" s="11">
        <v>71314</v>
      </c>
      <c r="B992" s="7">
        <f>CHOOSE( CONTROL!$C$37, 35.9867, 35.9856) * CHOOSE(CONTROL!$C$20, $D$12, 100%, $F$12)</f>
        <v>35.986699999999999</v>
      </c>
      <c r="C992" s="7">
        <f>CHOOSE( CONTROL!$C$37, 35.9918, 35.9907) * CHOOSE(CONTROL!$C$20, $D$12, 100%, $F$12)</f>
        <v>35.991799999999998</v>
      </c>
      <c r="D992" s="7">
        <f>CHOOSE( CONTROL!$C$37, 35.9842, 35.9831) * CHOOSE( CONTROL!$C$20, $D$12, 100%, $F$12)</f>
        <v>35.984200000000001</v>
      </c>
      <c r="E992" s="10">
        <f>CHOOSE( CONTROL!$C$37, 35.9864, 35.9853) * CHOOSE( CONTROL!$C$20, $D$12, 100%, $F$12)</f>
        <v>35.986400000000003</v>
      </c>
      <c r="F992" s="4">
        <f>CHOOSE( CONTROL!$C$37, 36.6392, 36.6381) * CHOOSE(CONTROL!$C$20, $D$12, 100%, $F$12)</f>
        <v>36.639200000000002</v>
      </c>
      <c r="G992" s="7">
        <f>CHOOSE( CONTROL!$C$37, 35.5224, 35.5214) * CHOOSE( CONTROL!$C$20, $D$12, 100%, $F$12)</f>
        <v>35.522399999999998</v>
      </c>
      <c r="H992" s="4">
        <f>CHOOSE( CONTROL!$C$37, 36.4019, 36.4008) * CHOOSE(CONTROL!$C$20, $D$12, 100%, $F$12)</f>
        <v>36.401899999999998</v>
      </c>
      <c r="I992" s="7">
        <f>CHOOSE( CONTROL!$C$37, 35.03, 35.029) * CHOOSE(CONTROL!$C$20, $D$12, 100%, $F$12)</f>
        <v>35.03</v>
      </c>
      <c r="J992" s="4">
        <f>CHOOSE( CONTROL!$C$37, 34.8626, 34.8615) * CHOOSE(CONTROL!$C$20, $D$12, 100%, $F$12)</f>
        <v>34.8626</v>
      </c>
      <c r="K992" s="4"/>
      <c r="L992" s="8">
        <v>29.306000000000001</v>
      </c>
      <c r="M992" s="8">
        <v>12.063700000000001</v>
      </c>
      <c r="N992" s="8">
        <v>4.9444999999999997</v>
      </c>
      <c r="O992" s="8">
        <v>0.37409999999999999</v>
      </c>
      <c r="P992" s="8">
        <v>1.2927</v>
      </c>
      <c r="Q992" s="8">
        <v>19.688099999999999</v>
      </c>
      <c r="R992" s="8"/>
    </row>
    <row r="993" spans="1:18" ht="14.25" customHeight="1">
      <c r="A993" s="11">
        <v>71344</v>
      </c>
      <c r="B993" s="7">
        <f>CHOOSE( CONTROL!$C$37, 36.5347, 36.5336) * CHOOSE(CONTROL!$C$20, $D$12, 100%, $F$12)</f>
        <v>36.534700000000001</v>
      </c>
      <c r="C993" s="7">
        <f>CHOOSE( CONTROL!$C$37, 36.5392, 36.5381) * CHOOSE(CONTROL!$C$20, $D$12, 100%, $F$12)</f>
        <v>36.539200000000001</v>
      </c>
      <c r="D993" s="7">
        <f>CHOOSE( CONTROL!$C$37, 36.551, 36.5499) * CHOOSE( CONTROL!$C$20, $D$12, 100%, $F$12)</f>
        <v>36.551000000000002</v>
      </c>
      <c r="E993" s="10">
        <f>CHOOSE( CONTROL!$C$37, 36.5466, 36.5455) * CHOOSE( CONTROL!$C$20, $D$12, 100%, $F$12)</f>
        <v>36.546599999999998</v>
      </c>
      <c r="F993" s="4">
        <f>CHOOSE( CONTROL!$C$37, 37.2613, 37.2602) * CHOOSE(CONTROL!$C$20, $D$12, 100%, $F$12)</f>
        <v>37.261299999999999</v>
      </c>
      <c r="G993" s="7">
        <f>CHOOSE( CONTROL!$C$37, 36.0702, 36.0692) * CHOOSE( CONTROL!$C$20, $D$12, 100%, $F$12)</f>
        <v>36.0702</v>
      </c>
      <c r="H993" s="4">
        <f>CHOOSE( CONTROL!$C$37, 37.0153, 37.0142) * CHOOSE(CONTROL!$C$20, $D$12, 100%, $F$12)</f>
        <v>37.015300000000003</v>
      </c>
      <c r="I993" s="7">
        <f>CHOOSE( CONTROL!$C$37, 35.5327, 35.5317) * CHOOSE(CONTROL!$C$20, $D$12, 100%, $F$12)</f>
        <v>35.532699999999998</v>
      </c>
      <c r="J993" s="4">
        <f>CHOOSE( CONTROL!$C$37, 35.3924, 35.3914) * CHOOSE(CONTROL!$C$20, $D$12, 100%, $F$12)</f>
        <v>35.392400000000002</v>
      </c>
      <c r="K993" s="4"/>
      <c r="L993" s="8">
        <v>30.092199999999998</v>
      </c>
      <c r="M993" s="8">
        <v>11.6745</v>
      </c>
      <c r="N993" s="8">
        <v>4.7850000000000001</v>
      </c>
      <c r="O993" s="8">
        <v>0.36199999999999999</v>
      </c>
      <c r="P993" s="8">
        <v>1.2509999999999999</v>
      </c>
      <c r="Q993" s="8">
        <v>19.053000000000001</v>
      </c>
      <c r="R993" s="8"/>
    </row>
    <row r="994" spans="1:18" ht="14.25" customHeight="1">
      <c r="A994" s="11">
        <v>71375</v>
      </c>
      <c r="B994" s="7">
        <f>CHOOSE( CONTROL!$C$37, 37.5105, 37.5088) * CHOOSE(CONTROL!$C$20, $D$12, 100%, $F$12)</f>
        <v>37.5105</v>
      </c>
      <c r="C994" s="7">
        <f>CHOOSE( CONTROL!$C$37, 37.5185, 37.5168) * CHOOSE(CONTROL!$C$20, $D$12, 100%, $F$12)</f>
        <v>37.518500000000003</v>
      </c>
      <c r="D994" s="7">
        <f>CHOOSE( CONTROL!$C$37, 37.5241, 37.5225) * CHOOSE( CONTROL!$C$20, $D$12, 100%, $F$12)</f>
        <v>37.524099999999997</v>
      </c>
      <c r="E994" s="10">
        <f>CHOOSE( CONTROL!$C$37, 37.5209, 37.5192) * CHOOSE( CONTROL!$C$20, $D$12, 100%, $F$12)</f>
        <v>37.520899999999997</v>
      </c>
      <c r="F994" s="4">
        <f>CHOOSE( CONTROL!$C$37, 38.2358, 38.2341) * CHOOSE(CONTROL!$C$20, $D$12, 100%, $F$12)</f>
        <v>38.235799999999998</v>
      </c>
      <c r="G994" s="7">
        <f>CHOOSE( CONTROL!$C$37, 37.0311, 37.0294) * CHOOSE( CONTROL!$C$20, $D$12, 100%, $F$12)</f>
        <v>37.031100000000002</v>
      </c>
      <c r="H994" s="4">
        <f>CHOOSE( CONTROL!$C$37, 37.9762, 37.9746) * CHOOSE(CONTROL!$C$20, $D$12, 100%, $F$12)</f>
        <v>37.976199999999999</v>
      </c>
      <c r="I994" s="7">
        <f>CHOOSE( CONTROL!$C$37, 36.4765, 36.4749) * CHOOSE(CONTROL!$C$20, $D$12, 100%, $F$12)</f>
        <v>36.476500000000001</v>
      </c>
      <c r="J994" s="4">
        <f>CHOOSE( CONTROL!$C$37, 36.336, 36.3344) * CHOOSE(CONTROL!$C$20, $D$12, 100%, $F$12)</f>
        <v>36.335999999999999</v>
      </c>
      <c r="K994" s="4"/>
      <c r="L994" s="8">
        <v>30.7165</v>
      </c>
      <c r="M994" s="8">
        <v>12.063700000000001</v>
      </c>
      <c r="N994" s="8">
        <v>4.9444999999999997</v>
      </c>
      <c r="O994" s="8">
        <v>0.37409999999999999</v>
      </c>
      <c r="P994" s="8">
        <v>1.2927</v>
      </c>
      <c r="Q994" s="8">
        <v>19.688099999999999</v>
      </c>
      <c r="R994" s="8"/>
    </row>
    <row r="995" spans="1:18" ht="14.25" customHeight="1">
      <c r="A995" s="11">
        <v>71405</v>
      </c>
      <c r="B995" s="7">
        <f>CHOOSE( CONTROL!$C$37, 36.9072, 36.9055) * CHOOSE(CONTROL!$C$20, $D$12, 100%, $F$12)</f>
        <v>36.907200000000003</v>
      </c>
      <c r="C995" s="7">
        <f>CHOOSE( CONTROL!$C$37, 36.9152, 36.9135) * CHOOSE(CONTROL!$C$20, $D$12, 100%, $F$12)</f>
        <v>36.915199999999999</v>
      </c>
      <c r="D995" s="7">
        <f>CHOOSE( CONTROL!$C$37, 36.9211, 36.9195) * CHOOSE( CONTROL!$C$20, $D$12, 100%, $F$12)</f>
        <v>36.921100000000003</v>
      </c>
      <c r="E995" s="10">
        <f>CHOOSE( CONTROL!$C$37, 36.9177, 36.9161) * CHOOSE( CONTROL!$C$20, $D$12, 100%, $F$12)</f>
        <v>36.917700000000004</v>
      </c>
      <c r="F995" s="4">
        <f>CHOOSE( CONTROL!$C$37, 37.6325, 37.6308) * CHOOSE(CONTROL!$C$20, $D$12, 100%, $F$12)</f>
        <v>37.6325</v>
      </c>
      <c r="G995" s="7">
        <f>CHOOSE( CONTROL!$C$37, 36.4364, 36.4348) * CHOOSE( CONTROL!$C$20, $D$12, 100%, $F$12)</f>
        <v>36.436399999999999</v>
      </c>
      <c r="H995" s="4">
        <f>CHOOSE( CONTROL!$C$37, 37.3813, 37.3797) * CHOOSE(CONTROL!$C$20, $D$12, 100%, $F$12)</f>
        <v>37.381300000000003</v>
      </c>
      <c r="I995" s="7">
        <f>CHOOSE( CONTROL!$C$37, 35.893, 35.8914) * CHOOSE(CONTROL!$C$20, $D$12, 100%, $F$12)</f>
        <v>35.893000000000001</v>
      </c>
      <c r="J995" s="4">
        <f>CHOOSE( CONTROL!$C$37, 35.7518, 35.7502) * CHOOSE(CONTROL!$C$20, $D$12, 100%, $F$12)</f>
        <v>35.751800000000003</v>
      </c>
      <c r="K995" s="4"/>
      <c r="L995" s="8">
        <v>29.7257</v>
      </c>
      <c r="M995" s="8">
        <v>11.6745</v>
      </c>
      <c r="N995" s="8">
        <v>4.7850000000000001</v>
      </c>
      <c r="O995" s="8">
        <v>0.36199999999999999</v>
      </c>
      <c r="P995" s="8">
        <v>1.2509999999999999</v>
      </c>
      <c r="Q995" s="8">
        <v>19.053000000000001</v>
      </c>
      <c r="R995" s="8"/>
    </row>
    <row r="996" spans="1:18" ht="14.25" customHeight="1">
      <c r="A996" s="11">
        <v>71436</v>
      </c>
      <c r="B996" s="7">
        <f>CHOOSE( CONTROL!$C$37, 38.4959, 38.4942) * CHOOSE(CONTROL!$C$20, $D$12, 100%, $F$12)</f>
        <v>38.495899999999999</v>
      </c>
      <c r="C996" s="7">
        <f>CHOOSE( CONTROL!$C$37, 38.5039, 38.5022) * CHOOSE(CONTROL!$C$20, $D$12, 100%, $F$12)</f>
        <v>38.503900000000002</v>
      </c>
      <c r="D996" s="7">
        <f>CHOOSE( CONTROL!$C$37, 38.5101, 38.5085) * CHOOSE( CONTROL!$C$20, $D$12, 100%, $F$12)</f>
        <v>38.510100000000001</v>
      </c>
      <c r="E996" s="10">
        <f>CHOOSE( CONTROL!$C$37, 38.5066, 38.505) * CHOOSE( CONTROL!$C$20, $D$12, 100%, $F$12)</f>
        <v>38.506599999999999</v>
      </c>
      <c r="F996" s="4">
        <f>CHOOSE( CONTROL!$C$37, 39.2212, 39.2195) * CHOOSE(CONTROL!$C$20, $D$12, 100%, $F$12)</f>
        <v>39.221200000000003</v>
      </c>
      <c r="G996" s="7">
        <f>CHOOSE( CONTROL!$C$37, 38.0032, 38.0016) * CHOOSE( CONTROL!$C$20, $D$12, 100%, $F$12)</f>
        <v>38.0032</v>
      </c>
      <c r="H996" s="4">
        <f>CHOOSE( CONTROL!$C$37, 38.9479, 38.9462) * CHOOSE(CONTROL!$C$20, $D$12, 100%, $F$12)</f>
        <v>38.947899999999997</v>
      </c>
      <c r="I996" s="7">
        <f>CHOOSE( CONTROL!$C$37, 37.4331, 37.4315) * CHOOSE(CONTROL!$C$20, $D$12, 100%, $F$12)</f>
        <v>37.433100000000003</v>
      </c>
      <c r="J996" s="4">
        <f>CHOOSE( CONTROL!$C$37, 37.2902, 37.2886) * CHOOSE(CONTROL!$C$20, $D$12, 100%, $F$12)</f>
        <v>37.290199999999999</v>
      </c>
      <c r="K996" s="4"/>
      <c r="L996" s="8">
        <v>30.7165</v>
      </c>
      <c r="M996" s="8">
        <v>12.063700000000001</v>
      </c>
      <c r="N996" s="8">
        <v>4.9444999999999997</v>
      </c>
      <c r="O996" s="8">
        <v>0.37409999999999999</v>
      </c>
      <c r="P996" s="8">
        <v>1.2927</v>
      </c>
      <c r="Q996" s="8">
        <v>19.688099999999999</v>
      </c>
      <c r="R996" s="8"/>
    </row>
    <row r="997" spans="1:18" ht="14.25" customHeight="1">
      <c r="A997" s="11">
        <v>71467</v>
      </c>
      <c r="B997" s="7">
        <f>CHOOSE( CONTROL!$C$37, 35.5233, 35.5216) * CHOOSE(CONTROL!$C$20, $D$12, 100%, $F$12)</f>
        <v>35.523299999999999</v>
      </c>
      <c r="C997" s="7">
        <f>CHOOSE( CONTROL!$C$37, 35.5313, 35.5296) * CHOOSE(CONTROL!$C$20, $D$12, 100%, $F$12)</f>
        <v>35.531300000000002</v>
      </c>
      <c r="D997" s="7">
        <f>CHOOSE( CONTROL!$C$37, 35.5376, 35.5359) * CHOOSE( CONTROL!$C$20, $D$12, 100%, $F$12)</f>
        <v>35.537599999999998</v>
      </c>
      <c r="E997" s="10">
        <f>CHOOSE( CONTROL!$C$37, 35.5341, 35.5324) * CHOOSE( CONTROL!$C$20, $D$12, 100%, $F$12)</f>
        <v>35.534100000000002</v>
      </c>
      <c r="F997" s="4">
        <f>CHOOSE( CONTROL!$C$37, 36.2486, 36.2469) * CHOOSE(CONTROL!$C$20, $D$12, 100%, $F$12)</f>
        <v>36.248600000000003</v>
      </c>
      <c r="G997" s="7">
        <f>CHOOSE( CONTROL!$C$37, 35.0721, 35.0705) * CHOOSE( CONTROL!$C$20, $D$12, 100%, $F$12)</f>
        <v>35.072099999999999</v>
      </c>
      <c r="H997" s="4">
        <f>CHOOSE( CONTROL!$C$37, 36.0167, 36.015) * CHOOSE(CONTROL!$C$20, $D$12, 100%, $F$12)</f>
        <v>36.0167</v>
      </c>
      <c r="I997" s="7">
        <f>CHOOSE( CONTROL!$C$37, 34.5536, 34.552) * CHOOSE(CONTROL!$C$20, $D$12, 100%, $F$12)</f>
        <v>34.553600000000003</v>
      </c>
      <c r="J997" s="4">
        <f>CHOOSE( CONTROL!$C$37, 34.4118, 34.4102) * CHOOSE(CONTROL!$C$20, $D$12, 100%, $F$12)</f>
        <v>34.411799999999999</v>
      </c>
      <c r="K997" s="4"/>
      <c r="L997" s="8">
        <v>30.7165</v>
      </c>
      <c r="M997" s="8">
        <v>12.063700000000001</v>
      </c>
      <c r="N997" s="8">
        <v>4.9444999999999997</v>
      </c>
      <c r="O997" s="8">
        <v>0.37409999999999999</v>
      </c>
      <c r="P997" s="8">
        <v>1.2927</v>
      </c>
      <c r="Q997" s="8">
        <v>19.688099999999999</v>
      </c>
      <c r="R997" s="8"/>
    </row>
    <row r="998" spans="1:18" ht="14.25" customHeight="1">
      <c r="A998" s="11">
        <v>71497</v>
      </c>
      <c r="B998" s="7">
        <f>CHOOSE( CONTROL!$C$37, 34.7789, 34.7772) * CHOOSE(CONTROL!$C$20, $D$12, 100%, $F$12)</f>
        <v>34.7789</v>
      </c>
      <c r="C998" s="7">
        <f>CHOOSE( CONTROL!$C$37, 34.7869, 34.7852) * CHOOSE(CONTROL!$C$20, $D$12, 100%, $F$12)</f>
        <v>34.786900000000003</v>
      </c>
      <c r="D998" s="7">
        <f>CHOOSE( CONTROL!$C$37, 34.7931, 34.7914) * CHOOSE( CONTROL!$C$20, $D$12, 100%, $F$12)</f>
        <v>34.793100000000003</v>
      </c>
      <c r="E998" s="10">
        <f>CHOOSE( CONTROL!$C$37, 34.7896, 34.7879) * CHOOSE( CONTROL!$C$20, $D$12, 100%, $F$12)</f>
        <v>34.7896</v>
      </c>
      <c r="F998" s="4">
        <f>CHOOSE( CONTROL!$C$37, 35.5042, 35.5025) * CHOOSE(CONTROL!$C$20, $D$12, 100%, $F$12)</f>
        <v>35.504199999999997</v>
      </c>
      <c r="G998" s="7">
        <f>CHOOSE( CONTROL!$C$37, 34.338, 34.3364) * CHOOSE( CONTROL!$C$20, $D$12, 100%, $F$12)</f>
        <v>34.338000000000001</v>
      </c>
      <c r="H998" s="4">
        <f>CHOOSE( CONTROL!$C$37, 35.2827, 35.281) * CHOOSE(CONTROL!$C$20, $D$12, 100%, $F$12)</f>
        <v>35.282699999999998</v>
      </c>
      <c r="I998" s="7">
        <f>CHOOSE( CONTROL!$C$37, 33.8321, 33.8304) * CHOOSE(CONTROL!$C$20, $D$12, 100%, $F$12)</f>
        <v>33.832099999999997</v>
      </c>
      <c r="J998" s="4">
        <f>CHOOSE( CONTROL!$C$37, 33.691, 33.6894) * CHOOSE(CONTROL!$C$20, $D$12, 100%, $F$12)</f>
        <v>33.691000000000003</v>
      </c>
      <c r="K998" s="4"/>
      <c r="L998" s="8">
        <v>29.7257</v>
      </c>
      <c r="M998" s="8">
        <v>11.6745</v>
      </c>
      <c r="N998" s="8">
        <v>4.7850000000000001</v>
      </c>
      <c r="O998" s="8">
        <v>0.36199999999999999</v>
      </c>
      <c r="P998" s="8">
        <v>1.2509999999999999</v>
      </c>
      <c r="Q998" s="8">
        <v>19.053000000000001</v>
      </c>
      <c r="R998" s="8"/>
    </row>
    <row r="999" spans="1:18" ht="14.25" customHeight="1">
      <c r="A999" s="11">
        <v>71528</v>
      </c>
      <c r="B999" s="7">
        <f>CHOOSE( CONTROL!$C$37, 36.3222, 36.3211) * CHOOSE(CONTROL!$C$20, $D$12, 100%, $F$12)</f>
        <v>36.322200000000002</v>
      </c>
      <c r="C999" s="7">
        <f>CHOOSE( CONTROL!$C$37, 36.3275, 36.3264) * CHOOSE(CONTROL!$C$20, $D$12, 100%, $F$12)</f>
        <v>36.327500000000001</v>
      </c>
      <c r="D999" s="7">
        <f>CHOOSE( CONTROL!$C$37, 36.3395, 36.3385) * CHOOSE( CONTROL!$C$20, $D$12, 100%, $F$12)</f>
        <v>36.339500000000001</v>
      </c>
      <c r="E999" s="10">
        <f>CHOOSE( CONTROL!$C$37, 36.335, 36.3339) * CHOOSE( CONTROL!$C$20, $D$12, 100%, $F$12)</f>
        <v>36.335000000000001</v>
      </c>
      <c r="F999" s="4">
        <f>CHOOSE( CONTROL!$C$37, 37.0492, 37.0481) * CHOOSE(CONTROL!$C$20, $D$12, 100%, $F$12)</f>
        <v>37.049199999999999</v>
      </c>
      <c r="G999" s="7">
        <f>CHOOSE( CONTROL!$C$37, 35.8616, 35.8605) * CHOOSE( CONTROL!$C$20, $D$12, 100%, $F$12)</f>
        <v>35.861600000000003</v>
      </c>
      <c r="H999" s="4">
        <f>CHOOSE( CONTROL!$C$37, 36.8062, 36.8051) * CHOOSE(CONTROL!$C$20, $D$12, 100%, $F$12)</f>
        <v>36.806199999999997</v>
      </c>
      <c r="I999" s="7">
        <f>CHOOSE( CONTROL!$C$37, 35.3295, 35.3285) * CHOOSE(CONTROL!$C$20, $D$12, 100%, $F$12)</f>
        <v>35.329500000000003</v>
      </c>
      <c r="J999" s="4">
        <f>CHOOSE( CONTROL!$C$37, 35.187, 35.186) * CHOOSE(CONTROL!$C$20, $D$12, 100%, $F$12)</f>
        <v>35.186999999999998</v>
      </c>
      <c r="K999" s="4"/>
      <c r="L999" s="8">
        <v>31.095300000000002</v>
      </c>
      <c r="M999" s="8">
        <v>12.063700000000001</v>
      </c>
      <c r="N999" s="8">
        <v>4.9444999999999997</v>
      </c>
      <c r="O999" s="8">
        <v>0.37409999999999999</v>
      </c>
      <c r="P999" s="8">
        <v>1.2927</v>
      </c>
      <c r="Q999" s="8">
        <v>19.688099999999999</v>
      </c>
      <c r="R999" s="8"/>
    </row>
    <row r="1000" spans="1:18" ht="14.25" customHeight="1">
      <c r="A1000" s="11">
        <v>71558</v>
      </c>
      <c r="B1000" s="7">
        <f>CHOOSE( CONTROL!$C$37, 39.1746, 39.1735) * CHOOSE(CONTROL!$C$20, $D$12, 100%, $F$12)</f>
        <v>39.174599999999998</v>
      </c>
      <c r="C1000" s="7">
        <f>CHOOSE( CONTROL!$C$37, 39.1797, 39.1786) * CHOOSE(CONTROL!$C$20, $D$12, 100%, $F$12)</f>
        <v>39.179699999999997</v>
      </c>
      <c r="D1000" s="7">
        <f>CHOOSE( CONTROL!$C$37, 39.1582, 39.1571) * CHOOSE( CONTROL!$C$20, $D$12, 100%, $F$12)</f>
        <v>39.158200000000001</v>
      </c>
      <c r="E1000" s="10">
        <f>CHOOSE( CONTROL!$C$37, 39.1655, 39.1644) * CHOOSE( CONTROL!$C$20, $D$12, 100%, $F$12)</f>
        <v>39.165500000000002</v>
      </c>
      <c r="F1000" s="4">
        <f>CHOOSE( CONTROL!$C$37, 39.8272, 39.8261) * CHOOSE(CONTROL!$C$20, $D$12, 100%, $F$12)</f>
        <v>39.827199999999998</v>
      </c>
      <c r="G1000" s="7">
        <f>CHOOSE( CONTROL!$C$37, 38.6608, 38.6597) * CHOOSE( CONTROL!$C$20, $D$12, 100%, $F$12)</f>
        <v>38.660800000000002</v>
      </c>
      <c r="H1000" s="4">
        <f>CHOOSE( CONTROL!$C$37, 39.5454, 39.5443) * CHOOSE(CONTROL!$C$20, $D$12, 100%, $F$12)</f>
        <v>39.545400000000001</v>
      </c>
      <c r="I1000" s="7">
        <f>CHOOSE( CONTROL!$C$37, 38.1445, 38.1434) * CHOOSE(CONTROL!$C$20, $D$12, 100%, $F$12)</f>
        <v>38.144500000000001</v>
      </c>
      <c r="J1000" s="4">
        <f>CHOOSE( CONTROL!$C$37, 37.9495, 37.9484) * CHOOSE(CONTROL!$C$20, $D$12, 100%, $F$12)</f>
        <v>37.9495</v>
      </c>
      <c r="K1000" s="4"/>
      <c r="L1000" s="8">
        <v>28.360600000000002</v>
      </c>
      <c r="M1000" s="8">
        <v>11.6745</v>
      </c>
      <c r="N1000" s="8">
        <v>4.7850000000000001</v>
      </c>
      <c r="O1000" s="8">
        <v>0.36199999999999999</v>
      </c>
      <c r="P1000" s="8">
        <v>1.2509999999999999</v>
      </c>
      <c r="Q1000" s="8">
        <v>19.053000000000001</v>
      </c>
      <c r="R1000" s="8"/>
    </row>
    <row r="1001" spans="1:18" ht="14.25" customHeight="1">
      <c r="A1001" s="11">
        <v>71589</v>
      </c>
      <c r="B1001" s="7">
        <f>CHOOSE( CONTROL!$C$37, 39.1034, 39.1023) * CHOOSE(CONTROL!$C$20, $D$12, 100%, $F$12)</f>
        <v>39.103400000000001</v>
      </c>
      <c r="C1001" s="7">
        <f>CHOOSE( CONTROL!$C$37, 39.1085, 39.1074) * CHOOSE(CONTROL!$C$20, $D$12, 100%, $F$12)</f>
        <v>39.108499999999999</v>
      </c>
      <c r="D1001" s="7">
        <f>CHOOSE( CONTROL!$C$37, 39.0885, 39.0874) * CHOOSE( CONTROL!$C$20, $D$12, 100%, $F$12)</f>
        <v>39.088500000000003</v>
      </c>
      <c r="E1001" s="10">
        <f>CHOOSE( CONTROL!$C$37, 39.0953, 39.0942) * CHOOSE( CONTROL!$C$20, $D$12, 100%, $F$12)</f>
        <v>39.095300000000002</v>
      </c>
      <c r="F1001" s="4">
        <f>CHOOSE( CONTROL!$C$37, 39.7559, 39.7548) * CHOOSE(CONTROL!$C$20, $D$12, 100%, $F$12)</f>
        <v>39.755899999999997</v>
      </c>
      <c r="G1001" s="7">
        <f>CHOOSE( CONTROL!$C$37, 38.5916, 38.5905) * CHOOSE( CONTROL!$C$20, $D$12, 100%, $F$12)</f>
        <v>38.5916</v>
      </c>
      <c r="H1001" s="4">
        <f>CHOOSE( CONTROL!$C$37, 39.4751, 39.474) * CHOOSE(CONTROL!$C$20, $D$12, 100%, $F$12)</f>
        <v>39.475099999999998</v>
      </c>
      <c r="I1001" s="7">
        <f>CHOOSE( CONTROL!$C$37, 38.0803, 38.0793) * CHOOSE(CONTROL!$C$20, $D$12, 100%, $F$12)</f>
        <v>38.080300000000001</v>
      </c>
      <c r="J1001" s="4">
        <f>CHOOSE( CONTROL!$C$37, 37.8804, 37.8794) * CHOOSE(CONTROL!$C$20, $D$12, 100%, $F$12)</f>
        <v>37.880400000000002</v>
      </c>
      <c r="K1001" s="4"/>
      <c r="L1001" s="8">
        <v>29.306000000000001</v>
      </c>
      <c r="M1001" s="8">
        <v>12.063700000000001</v>
      </c>
      <c r="N1001" s="8">
        <v>4.9444999999999997</v>
      </c>
      <c r="O1001" s="8">
        <v>0.37409999999999999</v>
      </c>
      <c r="P1001" s="8">
        <v>1.2927</v>
      </c>
      <c r="Q1001" s="8">
        <v>19.688099999999999</v>
      </c>
      <c r="R1001" s="8"/>
    </row>
    <row r="1002" spans="1:18" ht="14.25" customHeight="1">
      <c r="A1002" s="11">
        <v>71620</v>
      </c>
      <c r="B1002" s="7">
        <f>CHOOSE( CONTROL!$C$37, 40.2573, 40.2562) * CHOOSE(CONTROL!$C$20, $D$12, 100%, $F$12)</f>
        <v>40.257300000000001</v>
      </c>
      <c r="C1002" s="7">
        <f>CHOOSE( CONTROL!$C$37, 40.2624, 40.2613) * CHOOSE(CONTROL!$C$20, $D$12, 100%, $F$12)</f>
        <v>40.2624</v>
      </c>
      <c r="D1002" s="7">
        <f>CHOOSE( CONTROL!$C$37, 40.2555, 40.2544) * CHOOSE( CONTROL!$C$20, $D$12, 100%, $F$12)</f>
        <v>40.255499999999998</v>
      </c>
      <c r="E1002" s="10">
        <f>CHOOSE( CONTROL!$C$37, 40.2575, 40.2564) * CHOOSE( CONTROL!$C$20, $D$12, 100%, $F$12)</f>
        <v>40.2575</v>
      </c>
      <c r="F1002" s="4">
        <f>CHOOSE( CONTROL!$C$37, 40.9098, 40.9087) * CHOOSE(CONTROL!$C$20, $D$12, 100%, $F$12)</f>
        <v>40.909799999999997</v>
      </c>
      <c r="G1002" s="7">
        <f>CHOOSE( CONTROL!$C$37, 39.7339, 39.7329) * CHOOSE( CONTROL!$C$20, $D$12, 100%, $F$12)</f>
        <v>39.733899999999998</v>
      </c>
      <c r="H1002" s="4">
        <f>CHOOSE( CONTROL!$C$37, 40.6129, 40.6118) * CHOOSE(CONTROL!$C$20, $D$12, 100%, $F$12)</f>
        <v>40.612900000000003</v>
      </c>
      <c r="I1002" s="7">
        <f>CHOOSE( CONTROL!$C$37, 39.1695, 39.1684) * CHOOSE(CONTROL!$C$20, $D$12, 100%, $F$12)</f>
        <v>39.169499999999999</v>
      </c>
      <c r="J1002" s="4">
        <f>CHOOSE( CONTROL!$C$37, 38.9978, 38.9967) * CHOOSE(CONTROL!$C$20, $D$12, 100%, $F$12)</f>
        <v>38.997799999999998</v>
      </c>
      <c r="K1002" s="4"/>
      <c r="L1002" s="8">
        <v>29.306000000000001</v>
      </c>
      <c r="M1002" s="8">
        <v>12.063700000000001</v>
      </c>
      <c r="N1002" s="8">
        <v>4.9444999999999997</v>
      </c>
      <c r="O1002" s="8">
        <v>0.37409999999999999</v>
      </c>
      <c r="P1002" s="8">
        <v>1.2927</v>
      </c>
      <c r="Q1002" s="8">
        <v>19.688099999999999</v>
      </c>
      <c r="R1002" s="8"/>
    </row>
    <row r="1003" spans="1:18" ht="14.25" customHeight="1">
      <c r="A1003" s="11">
        <v>71649</v>
      </c>
      <c r="B1003" s="7">
        <f>CHOOSE( CONTROL!$C$37, 37.6536, 37.6526) * CHOOSE(CONTROL!$C$20, $D$12, 100%, $F$12)</f>
        <v>37.653599999999997</v>
      </c>
      <c r="C1003" s="7">
        <f>CHOOSE( CONTROL!$C$37, 37.6587, 37.6577) * CHOOSE(CONTROL!$C$20, $D$12, 100%, $F$12)</f>
        <v>37.658700000000003</v>
      </c>
      <c r="D1003" s="7">
        <f>CHOOSE( CONTROL!$C$37, 37.6518, 37.6507) * CHOOSE( CONTROL!$C$20, $D$12, 100%, $F$12)</f>
        <v>37.651800000000001</v>
      </c>
      <c r="E1003" s="10">
        <f>CHOOSE( CONTROL!$C$37, 37.6538, 37.6527) * CHOOSE( CONTROL!$C$20, $D$12, 100%, $F$12)</f>
        <v>37.653799999999997</v>
      </c>
      <c r="F1003" s="4">
        <f>CHOOSE( CONTROL!$C$37, 38.3062, 38.3051) * CHOOSE(CONTROL!$C$20, $D$12, 100%, $F$12)</f>
        <v>38.306199999999997</v>
      </c>
      <c r="G1003" s="7">
        <f>CHOOSE( CONTROL!$C$37, 37.1666, 37.1655) * CHOOSE( CONTROL!$C$20, $D$12, 100%, $F$12)</f>
        <v>37.166600000000003</v>
      </c>
      <c r="H1003" s="4">
        <f>CHOOSE( CONTROL!$C$37, 38.0456, 38.0445) * CHOOSE(CONTROL!$C$20, $D$12, 100%, $F$12)</f>
        <v>38.0456</v>
      </c>
      <c r="I1003" s="7">
        <f>CHOOSE( CONTROL!$C$37, 36.6469, 36.6458) * CHOOSE(CONTROL!$C$20, $D$12, 100%, $F$12)</f>
        <v>36.646900000000002</v>
      </c>
      <c r="J1003" s="4">
        <f>CHOOSE( CONTROL!$C$37, 36.4767, 36.4756) * CHOOSE(CONTROL!$C$20, $D$12, 100%, $F$12)</f>
        <v>36.476700000000001</v>
      </c>
      <c r="K1003" s="4"/>
      <c r="L1003" s="8">
        <v>27.415299999999998</v>
      </c>
      <c r="M1003" s="8">
        <v>11.285299999999999</v>
      </c>
      <c r="N1003" s="8">
        <v>4.6254999999999997</v>
      </c>
      <c r="O1003" s="8">
        <v>0.34989999999999999</v>
      </c>
      <c r="P1003" s="8">
        <v>1.2093</v>
      </c>
      <c r="Q1003" s="8">
        <v>18.417899999999999</v>
      </c>
      <c r="R1003" s="8"/>
    </row>
    <row r="1004" spans="1:18" ht="14.25" customHeight="1">
      <c r="A1004" s="11">
        <v>71680</v>
      </c>
      <c r="B1004" s="7">
        <f>CHOOSE( CONTROL!$C$37, 36.8517, 36.8507) * CHOOSE(CONTROL!$C$20, $D$12, 100%, $F$12)</f>
        <v>36.851700000000001</v>
      </c>
      <c r="C1004" s="7">
        <f>CHOOSE( CONTROL!$C$37, 36.8568, 36.8558) * CHOOSE(CONTROL!$C$20, $D$12, 100%, $F$12)</f>
        <v>36.8568</v>
      </c>
      <c r="D1004" s="7">
        <f>CHOOSE( CONTROL!$C$37, 36.8492, 36.8482) * CHOOSE( CONTROL!$C$20, $D$12, 100%, $F$12)</f>
        <v>36.849200000000003</v>
      </c>
      <c r="E1004" s="10">
        <f>CHOOSE( CONTROL!$C$37, 36.8514, 36.8504) * CHOOSE( CONTROL!$C$20, $D$12, 100%, $F$12)</f>
        <v>36.851399999999998</v>
      </c>
      <c r="F1004" s="4">
        <f>CHOOSE( CONTROL!$C$37, 37.5043, 37.5032) * CHOOSE(CONTROL!$C$20, $D$12, 100%, $F$12)</f>
        <v>37.504300000000001</v>
      </c>
      <c r="G1004" s="7">
        <f>CHOOSE( CONTROL!$C$37, 36.3754, 36.3743) * CHOOSE( CONTROL!$C$20, $D$12, 100%, $F$12)</f>
        <v>36.375399999999999</v>
      </c>
      <c r="H1004" s="4">
        <f>CHOOSE( CONTROL!$C$37, 37.2549, 37.2538) * CHOOSE(CONTROL!$C$20, $D$12, 100%, $F$12)</f>
        <v>37.254899999999999</v>
      </c>
      <c r="I1004" s="7">
        <f>CHOOSE( CONTROL!$C$37, 35.8681, 35.867) * CHOOSE(CONTROL!$C$20, $D$12, 100%, $F$12)</f>
        <v>35.868099999999998</v>
      </c>
      <c r="J1004" s="4">
        <f>CHOOSE( CONTROL!$C$37, 35.7002, 35.6992) * CHOOSE(CONTROL!$C$20, $D$12, 100%, $F$12)</f>
        <v>35.700200000000002</v>
      </c>
      <c r="K1004" s="4"/>
      <c r="L1004" s="8">
        <v>29.306000000000001</v>
      </c>
      <c r="M1004" s="8">
        <v>12.063700000000001</v>
      </c>
      <c r="N1004" s="8">
        <v>4.9444999999999997</v>
      </c>
      <c r="O1004" s="8">
        <v>0.37409999999999999</v>
      </c>
      <c r="P1004" s="8">
        <v>1.2927</v>
      </c>
      <c r="Q1004" s="8">
        <v>19.688099999999999</v>
      </c>
      <c r="R1004" s="8"/>
    </row>
    <row r="1005" spans="1:18" ht="14.25" customHeight="1">
      <c r="A1005" s="11">
        <v>71710</v>
      </c>
      <c r="B1005" s="7">
        <f>CHOOSE( CONTROL!$C$37, 37.4129, 37.4118) * CHOOSE(CONTROL!$C$20, $D$12, 100%, $F$12)</f>
        <v>37.4129</v>
      </c>
      <c r="C1005" s="7">
        <f>CHOOSE( CONTROL!$C$37, 37.4174, 37.4163) * CHOOSE(CONTROL!$C$20, $D$12, 100%, $F$12)</f>
        <v>37.417400000000001</v>
      </c>
      <c r="D1005" s="7">
        <f>CHOOSE( CONTROL!$C$37, 37.4292, 37.4281) * CHOOSE( CONTROL!$C$20, $D$12, 100%, $F$12)</f>
        <v>37.429200000000002</v>
      </c>
      <c r="E1005" s="10">
        <f>CHOOSE( CONTROL!$C$37, 37.4248, 37.4237) * CHOOSE( CONTROL!$C$20, $D$12, 100%, $F$12)</f>
        <v>37.424799999999998</v>
      </c>
      <c r="F1005" s="4">
        <f>CHOOSE( CONTROL!$C$37, 38.1395, 38.1384) * CHOOSE(CONTROL!$C$20, $D$12, 100%, $F$12)</f>
        <v>38.139499999999998</v>
      </c>
      <c r="G1005" s="7">
        <f>CHOOSE( CONTROL!$C$37, 36.9362, 36.9351) * CHOOSE( CONTROL!$C$20, $D$12, 100%, $F$12)</f>
        <v>36.936199999999999</v>
      </c>
      <c r="H1005" s="4">
        <f>CHOOSE( CONTROL!$C$37, 37.8813, 37.8802) * CHOOSE(CONTROL!$C$20, $D$12, 100%, $F$12)</f>
        <v>37.881300000000003</v>
      </c>
      <c r="I1005" s="7">
        <f>CHOOSE( CONTROL!$C$37, 36.3835, 36.3825) * CHOOSE(CONTROL!$C$20, $D$12, 100%, $F$12)</f>
        <v>36.383499999999998</v>
      </c>
      <c r="J1005" s="4">
        <f>CHOOSE( CONTROL!$C$37, 36.2428, 36.2417) * CHOOSE(CONTROL!$C$20, $D$12, 100%, $F$12)</f>
        <v>36.242800000000003</v>
      </c>
      <c r="K1005" s="4"/>
      <c r="L1005" s="8">
        <v>30.092199999999998</v>
      </c>
      <c r="M1005" s="8">
        <v>11.6745</v>
      </c>
      <c r="N1005" s="8">
        <v>4.7850000000000001</v>
      </c>
      <c r="O1005" s="8">
        <v>0.36199999999999999</v>
      </c>
      <c r="P1005" s="8">
        <v>1.2509999999999999</v>
      </c>
      <c r="Q1005" s="8">
        <v>19.053000000000001</v>
      </c>
      <c r="R1005" s="8"/>
    </row>
    <row r="1006" spans="1:18" ht="14.25" customHeight="1">
      <c r="A1006" s="11">
        <v>71741</v>
      </c>
      <c r="B1006" s="7">
        <f>CHOOSE( CONTROL!$C$37, 38.4121, 38.4104) * CHOOSE(CONTROL!$C$20, $D$12, 100%, $F$12)</f>
        <v>38.412100000000002</v>
      </c>
      <c r="C1006" s="7">
        <f>CHOOSE( CONTROL!$C$37, 38.4201, 38.4184) * CHOOSE(CONTROL!$C$20, $D$12, 100%, $F$12)</f>
        <v>38.420099999999998</v>
      </c>
      <c r="D1006" s="7">
        <f>CHOOSE( CONTROL!$C$37, 38.4257, 38.4241) * CHOOSE( CONTROL!$C$20, $D$12, 100%, $F$12)</f>
        <v>38.425699999999999</v>
      </c>
      <c r="E1006" s="10">
        <f>CHOOSE( CONTROL!$C$37, 38.4225, 38.4208) * CHOOSE( CONTROL!$C$20, $D$12, 100%, $F$12)</f>
        <v>38.422499999999999</v>
      </c>
      <c r="F1006" s="4">
        <f>CHOOSE( CONTROL!$C$37, 39.1374, 39.1357) * CHOOSE(CONTROL!$C$20, $D$12, 100%, $F$12)</f>
        <v>39.1374</v>
      </c>
      <c r="G1006" s="7">
        <f>CHOOSE( CONTROL!$C$37, 37.9201, 37.9185) * CHOOSE( CONTROL!$C$20, $D$12, 100%, $F$12)</f>
        <v>37.920099999999998</v>
      </c>
      <c r="H1006" s="4">
        <f>CHOOSE( CONTROL!$C$37, 38.8652, 38.8636) * CHOOSE(CONTROL!$C$20, $D$12, 100%, $F$12)</f>
        <v>38.865200000000002</v>
      </c>
      <c r="I1006" s="7">
        <f>CHOOSE( CONTROL!$C$37, 37.35, 37.3483) * CHOOSE(CONTROL!$C$20, $D$12, 100%, $F$12)</f>
        <v>37.35</v>
      </c>
      <c r="J1006" s="4">
        <f>CHOOSE( CONTROL!$C$37, 37.209, 37.2074) * CHOOSE(CONTROL!$C$20, $D$12, 100%, $F$12)</f>
        <v>37.209000000000003</v>
      </c>
      <c r="K1006" s="4"/>
      <c r="L1006" s="8">
        <v>30.7165</v>
      </c>
      <c r="M1006" s="8">
        <v>12.063700000000001</v>
      </c>
      <c r="N1006" s="8">
        <v>4.9444999999999997</v>
      </c>
      <c r="O1006" s="8">
        <v>0.37409999999999999</v>
      </c>
      <c r="P1006" s="8">
        <v>1.2927</v>
      </c>
      <c r="Q1006" s="8">
        <v>19.688099999999999</v>
      </c>
      <c r="R1006" s="8"/>
    </row>
    <row r="1007" spans="1:18" ht="14.25" customHeight="1">
      <c r="A1007" s="11">
        <v>71771</v>
      </c>
      <c r="B1007" s="7">
        <f>CHOOSE( CONTROL!$C$37, 37.7943, 37.7926) * CHOOSE(CONTROL!$C$20, $D$12, 100%, $F$12)</f>
        <v>37.7943</v>
      </c>
      <c r="C1007" s="7">
        <f>CHOOSE( CONTROL!$C$37, 37.8023, 37.8006) * CHOOSE(CONTROL!$C$20, $D$12, 100%, $F$12)</f>
        <v>37.802300000000002</v>
      </c>
      <c r="D1007" s="7">
        <f>CHOOSE( CONTROL!$C$37, 37.8082, 37.8066) * CHOOSE( CONTROL!$C$20, $D$12, 100%, $F$12)</f>
        <v>37.808199999999999</v>
      </c>
      <c r="E1007" s="10">
        <f>CHOOSE( CONTROL!$C$37, 37.8048, 37.8032) * CHOOSE( CONTROL!$C$20, $D$12, 100%, $F$12)</f>
        <v>37.8048</v>
      </c>
      <c r="F1007" s="4">
        <f>CHOOSE( CONTROL!$C$37, 38.5196, 38.5179) * CHOOSE(CONTROL!$C$20, $D$12, 100%, $F$12)</f>
        <v>38.519599999999997</v>
      </c>
      <c r="G1007" s="7">
        <f>CHOOSE( CONTROL!$C$37, 37.3112, 37.3095) * CHOOSE( CONTROL!$C$20, $D$12, 100%, $F$12)</f>
        <v>37.311199999999999</v>
      </c>
      <c r="H1007" s="4">
        <f>CHOOSE( CONTROL!$C$37, 38.256, 38.2544) * CHOOSE(CONTROL!$C$20, $D$12, 100%, $F$12)</f>
        <v>38.256</v>
      </c>
      <c r="I1007" s="7">
        <f>CHOOSE( CONTROL!$C$37, 36.7524, 36.7508) * CHOOSE(CONTROL!$C$20, $D$12, 100%, $F$12)</f>
        <v>36.752400000000002</v>
      </c>
      <c r="J1007" s="4">
        <f>CHOOSE( CONTROL!$C$37, 36.6108, 36.6092) * CHOOSE(CONTROL!$C$20, $D$12, 100%, $F$12)</f>
        <v>36.610799999999998</v>
      </c>
      <c r="K1007" s="4"/>
      <c r="L1007" s="8">
        <v>29.7257</v>
      </c>
      <c r="M1007" s="8">
        <v>11.6745</v>
      </c>
      <c r="N1007" s="8">
        <v>4.7850000000000001</v>
      </c>
      <c r="O1007" s="8">
        <v>0.36199999999999999</v>
      </c>
      <c r="P1007" s="8">
        <v>1.2509999999999999</v>
      </c>
      <c r="Q1007" s="8">
        <v>19.053000000000001</v>
      </c>
      <c r="R1007" s="8"/>
    </row>
    <row r="1008" spans="1:18" ht="14.25" customHeight="1">
      <c r="A1008" s="11">
        <v>71802</v>
      </c>
      <c r="B1008" s="7">
        <f>CHOOSE( CONTROL!$C$37, 39.4212, 39.4195) * CHOOSE(CONTROL!$C$20, $D$12, 100%, $F$12)</f>
        <v>39.421199999999999</v>
      </c>
      <c r="C1008" s="7">
        <f>CHOOSE( CONTROL!$C$37, 39.4292, 39.4275) * CHOOSE(CONTROL!$C$20, $D$12, 100%, $F$12)</f>
        <v>39.429200000000002</v>
      </c>
      <c r="D1008" s="7">
        <f>CHOOSE( CONTROL!$C$37, 39.4354, 39.4337) * CHOOSE( CONTROL!$C$20, $D$12, 100%, $F$12)</f>
        <v>39.435400000000001</v>
      </c>
      <c r="E1008" s="10">
        <f>CHOOSE( CONTROL!$C$37, 39.4319, 39.4302) * CHOOSE( CONTROL!$C$20, $D$12, 100%, $F$12)</f>
        <v>39.431899999999999</v>
      </c>
      <c r="F1008" s="4">
        <f>CHOOSE( CONTROL!$C$37, 40.1465, 40.1448) * CHOOSE(CONTROL!$C$20, $D$12, 100%, $F$12)</f>
        <v>40.146500000000003</v>
      </c>
      <c r="G1008" s="7">
        <f>CHOOSE( CONTROL!$C$37, 38.9156, 38.9139) * CHOOSE( CONTROL!$C$20, $D$12, 100%, $F$12)</f>
        <v>38.915599999999998</v>
      </c>
      <c r="H1008" s="4">
        <f>CHOOSE( CONTROL!$C$37, 39.8602, 39.8586) * CHOOSE(CONTROL!$C$20, $D$12, 100%, $F$12)</f>
        <v>39.860199999999999</v>
      </c>
      <c r="I1008" s="7">
        <f>CHOOSE( CONTROL!$C$37, 38.3295, 38.3279) * CHOOSE(CONTROL!$C$20, $D$12, 100%, $F$12)</f>
        <v>38.329500000000003</v>
      </c>
      <c r="J1008" s="4">
        <f>CHOOSE( CONTROL!$C$37, 38.1861, 38.1845) * CHOOSE(CONTROL!$C$20, $D$12, 100%, $F$12)</f>
        <v>38.186100000000003</v>
      </c>
      <c r="K1008" s="4"/>
      <c r="L1008" s="8">
        <v>30.7165</v>
      </c>
      <c r="M1008" s="8">
        <v>12.063700000000001</v>
      </c>
      <c r="N1008" s="8">
        <v>4.9444999999999997</v>
      </c>
      <c r="O1008" s="8">
        <v>0.37409999999999999</v>
      </c>
      <c r="P1008" s="8">
        <v>1.2927</v>
      </c>
      <c r="Q1008" s="8">
        <v>19.688099999999999</v>
      </c>
      <c r="R1008" s="8"/>
    </row>
    <row r="1009" spans="1:18" ht="14.25" customHeight="1">
      <c r="A1009" s="11">
        <v>71833</v>
      </c>
      <c r="B1009" s="7">
        <f>CHOOSE( CONTROL!$C$37, 36.3771, 36.3755) * CHOOSE(CONTROL!$C$20, $D$12, 100%, $F$12)</f>
        <v>36.377099999999999</v>
      </c>
      <c r="C1009" s="7">
        <f>CHOOSE( CONTROL!$C$37, 36.3851, 36.3835) * CHOOSE(CONTROL!$C$20, $D$12, 100%, $F$12)</f>
        <v>36.385100000000001</v>
      </c>
      <c r="D1009" s="7">
        <f>CHOOSE( CONTROL!$C$37, 36.3914, 36.3898) * CHOOSE( CONTROL!$C$20, $D$12, 100%, $F$12)</f>
        <v>36.391399999999997</v>
      </c>
      <c r="E1009" s="10">
        <f>CHOOSE( CONTROL!$C$37, 36.3879, 36.3863) * CHOOSE( CONTROL!$C$20, $D$12, 100%, $F$12)</f>
        <v>36.387900000000002</v>
      </c>
      <c r="F1009" s="4">
        <f>CHOOSE( CONTROL!$C$37, 37.1024, 37.1007) * CHOOSE(CONTROL!$C$20, $D$12, 100%, $F$12)</f>
        <v>37.102400000000003</v>
      </c>
      <c r="G1009" s="7">
        <f>CHOOSE( CONTROL!$C$37, 35.914, 35.9124) * CHOOSE( CONTROL!$C$20, $D$12, 100%, $F$12)</f>
        <v>35.914000000000001</v>
      </c>
      <c r="H1009" s="4">
        <f>CHOOSE( CONTROL!$C$37, 36.8586, 36.857) * CHOOSE(CONTROL!$C$20, $D$12, 100%, $F$12)</f>
        <v>36.858600000000003</v>
      </c>
      <c r="I1009" s="7">
        <f>CHOOSE( CONTROL!$C$37, 35.3808, 35.3792) * CHOOSE(CONTROL!$C$20, $D$12, 100%, $F$12)</f>
        <v>35.380800000000001</v>
      </c>
      <c r="J1009" s="4">
        <f>CHOOSE( CONTROL!$C$37, 35.2386, 35.237) * CHOOSE(CONTROL!$C$20, $D$12, 100%, $F$12)</f>
        <v>35.238599999999998</v>
      </c>
      <c r="K1009" s="4"/>
      <c r="L1009" s="8">
        <v>30.7165</v>
      </c>
      <c r="M1009" s="8">
        <v>12.063700000000001</v>
      </c>
      <c r="N1009" s="8">
        <v>4.9444999999999997</v>
      </c>
      <c r="O1009" s="8">
        <v>0.37409999999999999</v>
      </c>
      <c r="P1009" s="8">
        <v>1.2927</v>
      </c>
      <c r="Q1009" s="8">
        <v>19.688099999999999</v>
      </c>
      <c r="R1009" s="8"/>
    </row>
    <row r="1010" spans="1:18" ht="14.25" customHeight="1">
      <c r="A1010" s="11">
        <v>71863</v>
      </c>
      <c r="B1010" s="7">
        <f>CHOOSE( CONTROL!$C$37, 35.6149, 35.6132) * CHOOSE(CONTROL!$C$20, $D$12, 100%, $F$12)</f>
        <v>35.614899999999999</v>
      </c>
      <c r="C1010" s="7">
        <f>CHOOSE( CONTROL!$C$37, 35.6229, 35.6212) * CHOOSE(CONTROL!$C$20, $D$12, 100%, $F$12)</f>
        <v>35.622900000000001</v>
      </c>
      <c r="D1010" s="7">
        <f>CHOOSE( CONTROL!$C$37, 35.6291, 35.6274) * CHOOSE( CONTROL!$C$20, $D$12, 100%, $F$12)</f>
        <v>35.629100000000001</v>
      </c>
      <c r="E1010" s="10">
        <f>CHOOSE( CONTROL!$C$37, 35.6256, 35.6239) * CHOOSE( CONTROL!$C$20, $D$12, 100%, $F$12)</f>
        <v>35.625599999999999</v>
      </c>
      <c r="F1010" s="4">
        <f>CHOOSE( CONTROL!$C$37, 36.3401, 36.3385) * CHOOSE(CONTROL!$C$20, $D$12, 100%, $F$12)</f>
        <v>36.3401</v>
      </c>
      <c r="G1010" s="7">
        <f>CHOOSE( CONTROL!$C$37, 35.1623, 35.1607) * CHOOSE( CONTROL!$C$20, $D$12, 100%, $F$12)</f>
        <v>35.162300000000002</v>
      </c>
      <c r="H1010" s="4">
        <f>CHOOSE( CONTROL!$C$37, 36.107, 36.1054) * CHOOSE(CONTROL!$C$20, $D$12, 100%, $F$12)</f>
        <v>36.106999999999999</v>
      </c>
      <c r="I1010" s="7">
        <f>CHOOSE( CONTROL!$C$37, 34.6419, 34.6403) * CHOOSE(CONTROL!$C$20, $D$12, 100%, $F$12)</f>
        <v>34.6419</v>
      </c>
      <c r="J1010" s="4">
        <f>CHOOSE( CONTROL!$C$37, 34.5005, 34.4988) * CHOOSE(CONTROL!$C$20, $D$12, 100%, $F$12)</f>
        <v>34.500500000000002</v>
      </c>
      <c r="K1010" s="4"/>
      <c r="L1010" s="8">
        <v>29.7257</v>
      </c>
      <c r="M1010" s="8">
        <v>11.6745</v>
      </c>
      <c r="N1010" s="8">
        <v>4.7850000000000001</v>
      </c>
      <c r="O1010" s="8">
        <v>0.36199999999999999</v>
      </c>
      <c r="P1010" s="8">
        <v>1.2509999999999999</v>
      </c>
      <c r="Q1010" s="8">
        <v>19.053000000000001</v>
      </c>
      <c r="R1010" s="8"/>
    </row>
    <row r="1011" spans="1:18" ht="14.25" customHeight="1">
      <c r="A1011" s="11">
        <v>71894</v>
      </c>
      <c r="B1011" s="7">
        <f>CHOOSE( CONTROL!$C$37, 37.1953, 37.1942) * CHOOSE(CONTROL!$C$20, $D$12, 100%, $F$12)</f>
        <v>37.195300000000003</v>
      </c>
      <c r="C1011" s="7">
        <f>CHOOSE( CONTROL!$C$37, 37.2006, 37.1996) * CHOOSE(CONTROL!$C$20, $D$12, 100%, $F$12)</f>
        <v>37.200600000000001</v>
      </c>
      <c r="D1011" s="7">
        <f>CHOOSE( CONTROL!$C$37, 37.2126, 37.2116) * CHOOSE( CONTROL!$C$20, $D$12, 100%, $F$12)</f>
        <v>37.212600000000002</v>
      </c>
      <c r="E1011" s="10">
        <f>CHOOSE( CONTROL!$C$37, 37.2081, 37.2071) * CHOOSE( CONTROL!$C$20, $D$12, 100%, $F$12)</f>
        <v>37.208100000000002</v>
      </c>
      <c r="F1011" s="4">
        <f>CHOOSE( CONTROL!$C$37, 37.9223, 37.9212) * CHOOSE(CONTROL!$C$20, $D$12, 100%, $F$12)</f>
        <v>37.9223</v>
      </c>
      <c r="G1011" s="7">
        <f>CHOOSE( CONTROL!$C$37, 36.7225, 36.7215) * CHOOSE( CONTROL!$C$20, $D$12, 100%, $F$12)</f>
        <v>36.722499999999997</v>
      </c>
      <c r="H1011" s="4">
        <f>CHOOSE( CONTROL!$C$37, 37.6671, 37.666) * CHOOSE(CONTROL!$C$20, $D$12, 100%, $F$12)</f>
        <v>37.667099999999998</v>
      </c>
      <c r="I1011" s="7">
        <f>CHOOSE( CONTROL!$C$37, 36.1754, 36.1743) * CHOOSE(CONTROL!$C$20, $D$12, 100%, $F$12)</f>
        <v>36.175400000000003</v>
      </c>
      <c r="J1011" s="4">
        <f>CHOOSE( CONTROL!$C$37, 36.0325, 36.0314) * CHOOSE(CONTROL!$C$20, $D$12, 100%, $F$12)</f>
        <v>36.032499999999999</v>
      </c>
      <c r="K1011" s="4"/>
      <c r="L1011" s="8">
        <v>31.095300000000002</v>
      </c>
      <c r="M1011" s="8">
        <v>12.063700000000001</v>
      </c>
      <c r="N1011" s="8">
        <v>4.9444999999999997</v>
      </c>
      <c r="O1011" s="8">
        <v>0.37409999999999999</v>
      </c>
      <c r="P1011" s="8">
        <v>1.2927</v>
      </c>
      <c r="Q1011" s="8">
        <v>19.688099999999999</v>
      </c>
      <c r="R1011" s="8"/>
    </row>
    <row r="1012" spans="1:18" ht="14.25" customHeight="1">
      <c r="A1012" s="11">
        <v>71924</v>
      </c>
      <c r="B1012" s="7">
        <f>CHOOSE( CONTROL!$C$37, 40.1163, 40.1152) * CHOOSE(CONTROL!$C$20, $D$12, 100%, $F$12)</f>
        <v>40.116300000000003</v>
      </c>
      <c r="C1012" s="7">
        <f>CHOOSE( CONTROL!$C$37, 40.1214, 40.1203) * CHOOSE(CONTROL!$C$20, $D$12, 100%, $F$12)</f>
        <v>40.121400000000001</v>
      </c>
      <c r="D1012" s="7">
        <f>CHOOSE( CONTROL!$C$37, 40.0998, 40.0988) * CHOOSE( CONTROL!$C$20, $D$12, 100%, $F$12)</f>
        <v>40.099800000000002</v>
      </c>
      <c r="E1012" s="10">
        <f>CHOOSE( CONTROL!$C$37, 40.1072, 40.1061) * CHOOSE( CONTROL!$C$20, $D$12, 100%, $F$12)</f>
        <v>40.107199999999999</v>
      </c>
      <c r="F1012" s="4">
        <f>CHOOSE( CONTROL!$C$37, 40.7688, 40.7677) * CHOOSE(CONTROL!$C$20, $D$12, 100%, $F$12)</f>
        <v>40.768799999999999</v>
      </c>
      <c r="G1012" s="7">
        <f>CHOOSE( CONTROL!$C$37, 39.5893, 39.5882) * CHOOSE( CONTROL!$C$20, $D$12, 100%, $F$12)</f>
        <v>39.589300000000001</v>
      </c>
      <c r="H1012" s="4">
        <f>CHOOSE( CONTROL!$C$37, 40.4739, 40.4728) * CHOOSE(CONTROL!$C$20, $D$12, 100%, $F$12)</f>
        <v>40.4739</v>
      </c>
      <c r="I1012" s="7">
        <f>CHOOSE( CONTROL!$C$37, 39.0567, 39.0557) * CHOOSE(CONTROL!$C$20, $D$12, 100%, $F$12)</f>
        <v>39.056699999999999</v>
      </c>
      <c r="J1012" s="4">
        <f>CHOOSE( CONTROL!$C$37, 38.8613, 38.8602) * CHOOSE(CONTROL!$C$20, $D$12, 100%, $F$12)</f>
        <v>38.8613</v>
      </c>
      <c r="K1012" s="4"/>
      <c r="L1012" s="8">
        <v>28.360600000000002</v>
      </c>
      <c r="M1012" s="8">
        <v>11.6745</v>
      </c>
      <c r="N1012" s="8">
        <v>4.7850000000000001</v>
      </c>
      <c r="O1012" s="8">
        <v>0.36199999999999999</v>
      </c>
      <c r="P1012" s="8">
        <v>1.2509999999999999</v>
      </c>
      <c r="Q1012" s="8">
        <v>19.053000000000001</v>
      </c>
      <c r="R1012" s="8"/>
    </row>
    <row r="1013" spans="1:18" ht="14.25" customHeight="1">
      <c r="A1013" s="11">
        <v>71955</v>
      </c>
      <c r="B1013" s="7">
        <f>CHOOSE( CONTROL!$C$37, 40.0433, 40.0422) * CHOOSE(CONTROL!$C$20, $D$12, 100%, $F$12)</f>
        <v>40.043300000000002</v>
      </c>
      <c r="C1013" s="7">
        <f>CHOOSE( CONTROL!$C$37, 40.0484, 40.0473) * CHOOSE(CONTROL!$C$20, $D$12, 100%, $F$12)</f>
        <v>40.048400000000001</v>
      </c>
      <c r="D1013" s="7">
        <f>CHOOSE( CONTROL!$C$37, 40.0284, 40.0273) * CHOOSE( CONTROL!$C$20, $D$12, 100%, $F$12)</f>
        <v>40.028399999999998</v>
      </c>
      <c r="E1013" s="10">
        <f>CHOOSE( CONTROL!$C$37, 40.0352, 40.0341) * CHOOSE( CONTROL!$C$20, $D$12, 100%, $F$12)</f>
        <v>40.035200000000003</v>
      </c>
      <c r="F1013" s="4">
        <f>CHOOSE( CONTROL!$C$37, 40.6958, 40.6947) * CHOOSE(CONTROL!$C$20, $D$12, 100%, $F$12)</f>
        <v>40.695799999999998</v>
      </c>
      <c r="G1013" s="7">
        <f>CHOOSE( CONTROL!$C$37, 39.5184, 39.5174) * CHOOSE( CONTROL!$C$20, $D$12, 100%, $F$12)</f>
        <v>39.5184</v>
      </c>
      <c r="H1013" s="4">
        <f>CHOOSE( CONTROL!$C$37, 40.4019, 40.4009) * CHOOSE(CONTROL!$C$20, $D$12, 100%, $F$12)</f>
        <v>40.401899999999998</v>
      </c>
      <c r="I1013" s="7">
        <f>CHOOSE( CONTROL!$C$37, 38.9909, 38.9899) * CHOOSE(CONTROL!$C$20, $D$12, 100%, $F$12)</f>
        <v>38.990900000000003</v>
      </c>
      <c r="J1013" s="4">
        <f>CHOOSE( CONTROL!$C$37, 38.7906, 38.7895) * CHOOSE(CONTROL!$C$20, $D$12, 100%, $F$12)</f>
        <v>38.790599999999998</v>
      </c>
      <c r="K1013" s="4"/>
      <c r="L1013" s="8">
        <v>29.306000000000001</v>
      </c>
      <c r="M1013" s="8">
        <v>12.063700000000001</v>
      </c>
      <c r="N1013" s="8">
        <v>4.9444999999999997</v>
      </c>
      <c r="O1013" s="8">
        <v>0.37409999999999999</v>
      </c>
      <c r="P1013" s="8">
        <v>1.2927</v>
      </c>
      <c r="Q1013" s="8">
        <v>19.688099999999999</v>
      </c>
      <c r="R1013" s="8"/>
    </row>
    <row r="1014" spans="1:18" ht="14.25" customHeight="1">
      <c r="A1014" s="11">
        <v>71986</v>
      </c>
      <c r="B1014" s="7">
        <f>CHOOSE( CONTROL!$C$37, 41.2249, 41.2238) * CHOOSE(CONTROL!$C$20, $D$12, 100%, $F$12)</f>
        <v>41.224899999999998</v>
      </c>
      <c r="C1014" s="7">
        <f>CHOOSE( CONTROL!$C$37, 41.23, 41.2289) * CHOOSE(CONTROL!$C$20, $D$12, 100%, $F$12)</f>
        <v>41.23</v>
      </c>
      <c r="D1014" s="7">
        <f>CHOOSE( CONTROL!$C$37, 41.2231, 41.222) * CHOOSE( CONTROL!$C$20, $D$12, 100%, $F$12)</f>
        <v>41.223100000000002</v>
      </c>
      <c r="E1014" s="10">
        <f>CHOOSE( CONTROL!$C$37, 41.2251, 41.224) * CHOOSE( CONTROL!$C$20, $D$12, 100%, $F$12)</f>
        <v>41.225099999999998</v>
      </c>
      <c r="F1014" s="4">
        <f>CHOOSE( CONTROL!$C$37, 41.8775, 41.8764) * CHOOSE(CONTROL!$C$20, $D$12, 100%, $F$12)</f>
        <v>41.877499999999998</v>
      </c>
      <c r="G1014" s="7">
        <f>CHOOSE( CONTROL!$C$37, 40.6881, 40.687) * CHOOSE( CONTROL!$C$20, $D$12, 100%, $F$12)</f>
        <v>40.688099999999999</v>
      </c>
      <c r="H1014" s="4">
        <f>CHOOSE( CONTROL!$C$37, 41.5671, 41.566) * CHOOSE(CONTROL!$C$20, $D$12, 100%, $F$12)</f>
        <v>41.567100000000003</v>
      </c>
      <c r="I1014" s="7">
        <f>CHOOSE( CONTROL!$C$37, 40.1069, 40.1059) * CHOOSE(CONTROL!$C$20, $D$12, 100%, $F$12)</f>
        <v>40.106900000000003</v>
      </c>
      <c r="J1014" s="4">
        <f>CHOOSE( CONTROL!$C$37, 39.9347, 39.9337) * CHOOSE(CONTROL!$C$20, $D$12, 100%, $F$12)</f>
        <v>39.934699999999999</v>
      </c>
      <c r="K1014" s="4"/>
      <c r="L1014" s="8">
        <v>29.306000000000001</v>
      </c>
      <c r="M1014" s="8">
        <v>12.063700000000001</v>
      </c>
      <c r="N1014" s="8">
        <v>4.9444999999999997</v>
      </c>
      <c r="O1014" s="8">
        <v>0.37409999999999999</v>
      </c>
      <c r="P1014" s="8">
        <v>1.2927</v>
      </c>
      <c r="Q1014" s="8">
        <v>19.688099999999999</v>
      </c>
      <c r="R1014" s="8"/>
    </row>
    <row r="1015" spans="1:18" ht="14.25" customHeight="1">
      <c r="A1015" s="11">
        <v>72014</v>
      </c>
      <c r="B1015" s="7">
        <f>CHOOSE( CONTROL!$C$37, 38.5588, 38.5577) * CHOOSE(CONTROL!$C$20, $D$12, 100%, $F$12)</f>
        <v>38.558799999999998</v>
      </c>
      <c r="C1015" s="7">
        <f>CHOOSE( CONTROL!$C$37, 38.5639, 38.5628) * CHOOSE(CONTROL!$C$20, $D$12, 100%, $F$12)</f>
        <v>38.563899999999997</v>
      </c>
      <c r="D1015" s="7">
        <f>CHOOSE( CONTROL!$C$37, 38.5569, 38.5558) * CHOOSE( CONTROL!$C$20, $D$12, 100%, $F$12)</f>
        <v>38.556899999999999</v>
      </c>
      <c r="E1015" s="10">
        <f>CHOOSE( CONTROL!$C$37, 38.5589, 38.5578) * CHOOSE( CONTROL!$C$20, $D$12, 100%, $F$12)</f>
        <v>38.558900000000001</v>
      </c>
      <c r="F1015" s="4">
        <f>CHOOSE( CONTROL!$C$37, 39.2113, 39.2102) * CHOOSE(CONTROL!$C$20, $D$12, 100%, $F$12)</f>
        <v>39.211300000000001</v>
      </c>
      <c r="G1015" s="7">
        <f>CHOOSE( CONTROL!$C$37, 38.0591, 38.058) * CHOOSE( CONTROL!$C$20, $D$12, 100%, $F$12)</f>
        <v>38.059100000000001</v>
      </c>
      <c r="H1015" s="4">
        <f>CHOOSE( CONTROL!$C$37, 38.9381, 38.937) * CHOOSE(CONTROL!$C$20, $D$12, 100%, $F$12)</f>
        <v>38.938099999999999</v>
      </c>
      <c r="I1015" s="7">
        <f>CHOOSE( CONTROL!$C$37, 37.5237, 37.5227) * CHOOSE(CONTROL!$C$20, $D$12, 100%, $F$12)</f>
        <v>37.523699999999998</v>
      </c>
      <c r="J1015" s="4">
        <f>CHOOSE( CONTROL!$C$37, 37.3531, 37.352) * CHOOSE(CONTROL!$C$20, $D$12, 100%, $F$12)</f>
        <v>37.353099999999998</v>
      </c>
      <c r="K1015" s="4"/>
      <c r="L1015" s="8">
        <v>26.469899999999999</v>
      </c>
      <c r="M1015" s="8">
        <v>10.8962</v>
      </c>
      <c r="N1015" s="8">
        <v>4.4660000000000002</v>
      </c>
      <c r="O1015" s="8">
        <v>0.33789999999999998</v>
      </c>
      <c r="P1015" s="8">
        <v>1.1676</v>
      </c>
      <c r="Q1015" s="8">
        <v>17.782800000000002</v>
      </c>
      <c r="R1015" s="8"/>
    </row>
    <row r="1016" spans="1:18" ht="14.25" customHeight="1">
      <c r="A1016" s="11">
        <v>72045</v>
      </c>
      <c r="B1016" s="7">
        <f>CHOOSE( CONTROL!$C$37, 37.7376, 37.7365) * CHOOSE(CONTROL!$C$20, $D$12, 100%, $F$12)</f>
        <v>37.7376</v>
      </c>
      <c r="C1016" s="7">
        <f>CHOOSE( CONTROL!$C$37, 37.7427, 37.7416) * CHOOSE(CONTROL!$C$20, $D$12, 100%, $F$12)</f>
        <v>37.742699999999999</v>
      </c>
      <c r="D1016" s="7">
        <f>CHOOSE( CONTROL!$C$37, 37.7351, 37.734) * CHOOSE( CONTROL!$C$20, $D$12, 100%, $F$12)</f>
        <v>37.735100000000003</v>
      </c>
      <c r="E1016" s="10">
        <f>CHOOSE( CONTROL!$C$37, 37.7373, 37.7362) * CHOOSE( CONTROL!$C$20, $D$12, 100%, $F$12)</f>
        <v>37.737299999999998</v>
      </c>
      <c r="F1016" s="4">
        <f>CHOOSE( CONTROL!$C$37, 38.3901, 38.389) * CHOOSE(CONTROL!$C$20, $D$12, 100%, $F$12)</f>
        <v>38.390099999999997</v>
      </c>
      <c r="G1016" s="7">
        <f>CHOOSE( CONTROL!$C$37, 37.2489, 37.2478) * CHOOSE( CONTROL!$C$20, $D$12, 100%, $F$12)</f>
        <v>37.248899999999999</v>
      </c>
      <c r="H1016" s="4">
        <f>CHOOSE( CONTROL!$C$37, 38.1284, 38.1273) * CHOOSE(CONTROL!$C$20, $D$12, 100%, $F$12)</f>
        <v>38.128399999999999</v>
      </c>
      <c r="I1016" s="7">
        <f>CHOOSE( CONTROL!$C$37, 36.7263, 36.7252) * CHOOSE(CONTROL!$C$20, $D$12, 100%, $F$12)</f>
        <v>36.726300000000002</v>
      </c>
      <c r="J1016" s="4">
        <f>CHOOSE( CONTROL!$C$37, 36.558, 36.5569) * CHOOSE(CONTROL!$C$20, $D$12, 100%, $F$12)</f>
        <v>36.558</v>
      </c>
      <c r="K1016" s="4"/>
      <c r="L1016" s="8">
        <v>29.306000000000001</v>
      </c>
      <c r="M1016" s="8">
        <v>12.063700000000001</v>
      </c>
      <c r="N1016" s="8">
        <v>4.9444999999999997</v>
      </c>
      <c r="O1016" s="8">
        <v>0.37409999999999999</v>
      </c>
      <c r="P1016" s="8">
        <v>1.2927</v>
      </c>
      <c r="Q1016" s="8">
        <v>19.688099999999999</v>
      </c>
      <c r="R1016" s="8"/>
    </row>
    <row r="1017" spans="1:18" ht="14.25" customHeight="1">
      <c r="A1017" s="11">
        <v>72075</v>
      </c>
      <c r="B1017" s="7">
        <f>CHOOSE( CONTROL!$C$37, 38.3122, 38.3111) * CHOOSE(CONTROL!$C$20, $D$12, 100%, $F$12)</f>
        <v>38.312199999999997</v>
      </c>
      <c r="C1017" s="7">
        <f>CHOOSE( CONTROL!$C$37, 38.3167, 38.3156) * CHOOSE(CONTROL!$C$20, $D$12, 100%, $F$12)</f>
        <v>38.316699999999997</v>
      </c>
      <c r="D1017" s="7">
        <f>CHOOSE( CONTROL!$C$37, 38.3285, 38.3274) * CHOOSE( CONTROL!$C$20, $D$12, 100%, $F$12)</f>
        <v>38.328499999999998</v>
      </c>
      <c r="E1017" s="10">
        <f>CHOOSE( CONTROL!$C$37, 38.3241, 38.323) * CHOOSE( CONTROL!$C$20, $D$12, 100%, $F$12)</f>
        <v>38.324100000000001</v>
      </c>
      <c r="F1017" s="4">
        <f>CHOOSE( CONTROL!$C$37, 39.0388, 39.0377) * CHOOSE(CONTROL!$C$20, $D$12, 100%, $F$12)</f>
        <v>39.038800000000002</v>
      </c>
      <c r="G1017" s="7">
        <f>CHOOSE( CONTROL!$C$37, 37.823, 37.8219) * CHOOSE( CONTROL!$C$20, $D$12, 100%, $F$12)</f>
        <v>37.823</v>
      </c>
      <c r="H1017" s="4">
        <f>CHOOSE( CONTROL!$C$37, 38.768, 38.767) * CHOOSE(CONTROL!$C$20, $D$12, 100%, $F$12)</f>
        <v>38.768000000000001</v>
      </c>
      <c r="I1017" s="7">
        <f>CHOOSE( CONTROL!$C$37, 37.2548, 37.2537) * CHOOSE(CONTROL!$C$20, $D$12, 100%, $F$12)</f>
        <v>37.254800000000003</v>
      </c>
      <c r="J1017" s="4">
        <f>CHOOSE( CONTROL!$C$37, 37.1136, 37.1125) * CHOOSE(CONTROL!$C$20, $D$12, 100%, $F$12)</f>
        <v>37.113599999999998</v>
      </c>
      <c r="K1017" s="4"/>
      <c r="L1017" s="8">
        <v>30.092199999999998</v>
      </c>
      <c r="M1017" s="8">
        <v>11.6745</v>
      </c>
      <c r="N1017" s="8">
        <v>4.7850000000000001</v>
      </c>
      <c r="O1017" s="8">
        <v>0.36199999999999999</v>
      </c>
      <c r="P1017" s="8">
        <v>1.2509999999999999</v>
      </c>
      <c r="Q1017" s="8">
        <v>19.053000000000001</v>
      </c>
      <c r="R1017" s="8"/>
    </row>
    <row r="1018" spans="1:18" ht="14.25" customHeight="1">
      <c r="A1018" s="11">
        <v>72106</v>
      </c>
      <c r="B1018" s="7">
        <f>CHOOSE( CONTROL!$C$37, 39.3354, 39.3337) * CHOOSE(CONTROL!$C$20, $D$12, 100%, $F$12)</f>
        <v>39.3354</v>
      </c>
      <c r="C1018" s="7">
        <f>CHOOSE( CONTROL!$C$37, 39.3434, 39.3417) * CHOOSE(CONTROL!$C$20, $D$12, 100%, $F$12)</f>
        <v>39.343400000000003</v>
      </c>
      <c r="D1018" s="7">
        <f>CHOOSE( CONTROL!$C$37, 39.349, 39.3474) * CHOOSE( CONTROL!$C$20, $D$12, 100%, $F$12)</f>
        <v>39.348999999999997</v>
      </c>
      <c r="E1018" s="10">
        <f>CHOOSE( CONTROL!$C$37, 39.3458, 39.3441) * CHOOSE( CONTROL!$C$20, $D$12, 100%, $F$12)</f>
        <v>39.345799999999997</v>
      </c>
      <c r="F1018" s="4">
        <f>CHOOSE( CONTROL!$C$37, 40.0607, 40.059) * CHOOSE(CONTROL!$C$20, $D$12, 100%, $F$12)</f>
        <v>40.060699999999997</v>
      </c>
      <c r="G1018" s="7">
        <f>CHOOSE( CONTROL!$C$37, 38.8305, 38.8289) * CHOOSE( CONTROL!$C$20, $D$12, 100%, $F$12)</f>
        <v>38.830500000000001</v>
      </c>
      <c r="H1018" s="4">
        <f>CHOOSE( CONTROL!$C$37, 39.7756, 39.774) * CHOOSE(CONTROL!$C$20, $D$12, 100%, $F$12)</f>
        <v>39.775599999999997</v>
      </c>
      <c r="I1018" s="7">
        <f>CHOOSE( CONTROL!$C$37, 38.2444, 38.2428) * CHOOSE(CONTROL!$C$20, $D$12, 100%, $F$12)</f>
        <v>38.244399999999999</v>
      </c>
      <c r="J1018" s="4">
        <f>CHOOSE( CONTROL!$C$37, 38.103, 38.1014) * CHOOSE(CONTROL!$C$20, $D$12, 100%, $F$12)</f>
        <v>38.103000000000002</v>
      </c>
      <c r="K1018" s="4"/>
      <c r="L1018" s="8">
        <v>30.7165</v>
      </c>
      <c r="M1018" s="8">
        <v>12.063700000000001</v>
      </c>
      <c r="N1018" s="8">
        <v>4.9444999999999997</v>
      </c>
      <c r="O1018" s="8">
        <v>0.37409999999999999</v>
      </c>
      <c r="P1018" s="8">
        <v>1.2927</v>
      </c>
      <c r="Q1018" s="8">
        <v>19.688099999999999</v>
      </c>
      <c r="R1018" s="8"/>
    </row>
    <row r="1019" spans="1:18" ht="14.25" customHeight="1">
      <c r="A1019" s="11">
        <v>72136</v>
      </c>
      <c r="B1019" s="7">
        <f>CHOOSE( CONTROL!$C$37, 38.7027, 38.7011) * CHOOSE(CONTROL!$C$20, $D$12, 100%, $F$12)</f>
        <v>38.7027</v>
      </c>
      <c r="C1019" s="7">
        <f>CHOOSE( CONTROL!$C$37, 38.7107, 38.7091) * CHOOSE(CONTROL!$C$20, $D$12, 100%, $F$12)</f>
        <v>38.710700000000003</v>
      </c>
      <c r="D1019" s="7">
        <f>CHOOSE( CONTROL!$C$37, 38.7167, 38.715) * CHOOSE( CONTROL!$C$20, $D$12, 100%, $F$12)</f>
        <v>38.716700000000003</v>
      </c>
      <c r="E1019" s="10">
        <f>CHOOSE( CONTROL!$C$37, 38.7133, 38.7116) * CHOOSE( CONTROL!$C$20, $D$12, 100%, $F$12)</f>
        <v>38.713299999999997</v>
      </c>
      <c r="F1019" s="4">
        <f>CHOOSE( CONTROL!$C$37, 39.428, 39.4264) * CHOOSE(CONTROL!$C$20, $D$12, 100%, $F$12)</f>
        <v>39.427999999999997</v>
      </c>
      <c r="G1019" s="7">
        <f>CHOOSE( CONTROL!$C$37, 38.2069, 38.2053) * CHOOSE( CONTROL!$C$20, $D$12, 100%, $F$12)</f>
        <v>38.206899999999997</v>
      </c>
      <c r="H1019" s="4">
        <f>CHOOSE( CONTROL!$C$37, 39.1518, 39.1502) * CHOOSE(CONTROL!$C$20, $D$12, 100%, $F$12)</f>
        <v>39.151800000000001</v>
      </c>
      <c r="I1019" s="7">
        <f>CHOOSE( CONTROL!$C$37, 37.6325, 37.6309) * CHOOSE(CONTROL!$C$20, $D$12, 100%, $F$12)</f>
        <v>37.6325</v>
      </c>
      <c r="J1019" s="4">
        <f>CHOOSE( CONTROL!$C$37, 37.4904, 37.4888) * CHOOSE(CONTROL!$C$20, $D$12, 100%, $F$12)</f>
        <v>37.490400000000001</v>
      </c>
      <c r="K1019" s="4"/>
      <c r="L1019" s="8">
        <v>29.7257</v>
      </c>
      <c r="M1019" s="8">
        <v>11.6745</v>
      </c>
      <c r="N1019" s="8">
        <v>4.7850000000000001</v>
      </c>
      <c r="O1019" s="8">
        <v>0.36199999999999999</v>
      </c>
      <c r="P1019" s="8">
        <v>1.2509999999999999</v>
      </c>
      <c r="Q1019" s="8">
        <v>19.053000000000001</v>
      </c>
      <c r="R1019" s="8"/>
    </row>
    <row r="1020" spans="1:18" ht="14.25" customHeight="1">
      <c r="A1020" s="11">
        <v>72167</v>
      </c>
      <c r="B1020" s="7">
        <f>CHOOSE( CONTROL!$C$37, 40.3687, 40.367) * CHOOSE(CONTROL!$C$20, $D$12, 100%, $F$12)</f>
        <v>40.368699999999997</v>
      </c>
      <c r="C1020" s="7">
        <f>CHOOSE( CONTROL!$C$37, 40.3767, 40.375) * CHOOSE(CONTROL!$C$20, $D$12, 100%, $F$12)</f>
        <v>40.3767</v>
      </c>
      <c r="D1020" s="7">
        <f>CHOOSE( CONTROL!$C$37, 40.3829, 40.3813) * CHOOSE( CONTROL!$C$20, $D$12, 100%, $F$12)</f>
        <v>40.382899999999999</v>
      </c>
      <c r="E1020" s="10">
        <f>CHOOSE( CONTROL!$C$37, 40.3794, 40.3778) * CHOOSE( CONTROL!$C$20, $D$12, 100%, $F$12)</f>
        <v>40.379399999999997</v>
      </c>
      <c r="F1020" s="4">
        <f>CHOOSE( CONTROL!$C$37, 41.094, 41.0923) * CHOOSE(CONTROL!$C$20, $D$12, 100%, $F$12)</f>
        <v>41.094000000000001</v>
      </c>
      <c r="G1020" s="7">
        <f>CHOOSE( CONTROL!$C$37, 39.8499, 39.8482) * CHOOSE( CONTROL!$C$20, $D$12, 100%, $F$12)</f>
        <v>39.849899999999998</v>
      </c>
      <c r="H1020" s="4">
        <f>CHOOSE( CONTROL!$C$37, 40.7945, 40.7929) * CHOOSE(CONTROL!$C$20, $D$12, 100%, $F$12)</f>
        <v>40.794499999999999</v>
      </c>
      <c r="I1020" s="7">
        <f>CHOOSE( CONTROL!$C$37, 39.2475, 39.2459) * CHOOSE(CONTROL!$C$20, $D$12, 100%, $F$12)</f>
        <v>39.247500000000002</v>
      </c>
      <c r="J1020" s="4">
        <f>CHOOSE( CONTROL!$C$37, 39.1036, 39.102) * CHOOSE(CONTROL!$C$20, $D$12, 100%, $F$12)</f>
        <v>39.1036</v>
      </c>
      <c r="K1020" s="4"/>
      <c r="L1020" s="8">
        <v>30.7165</v>
      </c>
      <c r="M1020" s="8">
        <v>12.063700000000001</v>
      </c>
      <c r="N1020" s="8">
        <v>4.9444999999999997</v>
      </c>
      <c r="O1020" s="8">
        <v>0.37409999999999999</v>
      </c>
      <c r="P1020" s="8">
        <v>1.2927</v>
      </c>
      <c r="Q1020" s="8">
        <v>19.688099999999999</v>
      </c>
      <c r="R1020" s="8"/>
    </row>
    <row r="1021" spans="1:18" ht="14.25" customHeight="1">
      <c r="A1021" s="11">
        <v>72198</v>
      </c>
      <c r="B1021" s="7">
        <f>CHOOSE( CONTROL!$C$37, 37.2515, 37.2498) * CHOOSE(CONTROL!$C$20, $D$12, 100%, $F$12)</f>
        <v>37.2515</v>
      </c>
      <c r="C1021" s="7">
        <f>CHOOSE( CONTROL!$C$37, 37.2595, 37.2578) * CHOOSE(CONTROL!$C$20, $D$12, 100%, $F$12)</f>
        <v>37.259500000000003</v>
      </c>
      <c r="D1021" s="7">
        <f>CHOOSE( CONTROL!$C$37, 37.2658, 37.2641) * CHOOSE( CONTROL!$C$20, $D$12, 100%, $F$12)</f>
        <v>37.265799999999999</v>
      </c>
      <c r="E1021" s="10">
        <f>CHOOSE( CONTROL!$C$37, 37.2623, 37.2606) * CHOOSE( CONTROL!$C$20, $D$12, 100%, $F$12)</f>
        <v>37.262300000000003</v>
      </c>
      <c r="F1021" s="4">
        <f>CHOOSE( CONTROL!$C$37, 37.9768, 37.9751) * CHOOSE(CONTROL!$C$20, $D$12, 100%, $F$12)</f>
        <v>37.976799999999997</v>
      </c>
      <c r="G1021" s="7">
        <f>CHOOSE( CONTROL!$C$37, 36.7762, 36.7746) * CHOOSE( CONTROL!$C$20, $D$12, 100%, $F$12)</f>
        <v>36.776200000000003</v>
      </c>
      <c r="H1021" s="4">
        <f>CHOOSE( CONTROL!$C$37, 37.7208, 37.7192) * CHOOSE(CONTROL!$C$20, $D$12, 100%, $F$12)</f>
        <v>37.720799999999997</v>
      </c>
      <c r="I1021" s="7">
        <f>CHOOSE( CONTROL!$C$37, 36.2279, 36.2262) * CHOOSE(CONTROL!$C$20, $D$12, 100%, $F$12)</f>
        <v>36.227899999999998</v>
      </c>
      <c r="J1021" s="4">
        <f>CHOOSE( CONTROL!$C$37, 36.0852, 36.0836) * CHOOSE(CONTROL!$C$20, $D$12, 100%, $F$12)</f>
        <v>36.0852</v>
      </c>
      <c r="K1021" s="4"/>
      <c r="L1021" s="8">
        <v>30.7165</v>
      </c>
      <c r="M1021" s="8">
        <v>12.063700000000001</v>
      </c>
      <c r="N1021" s="8">
        <v>4.9444999999999997</v>
      </c>
      <c r="O1021" s="8">
        <v>0.37409999999999999</v>
      </c>
      <c r="P1021" s="8">
        <v>1.2927</v>
      </c>
      <c r="Q1021" s="8">
        <v>19.688099999999999</v>
      </c>
      <c r="R1021" s="8"/>
    </row>
    <row r="1022" spans="1:18" ht="14.25" customHeight="1">
      <c r="A1022" s="11">
        <v>72228</v>
      </c>
      <c r="B1022" s="7">
        <f>CHOOSE( CONTROL!$C$37, 36.4709, 36.4692) * CHOOSE(CONTROL!$C$20, $D$12, 100%, $F$12)</f>
        <v>36.4709</v>
      </c>
      <c r="C1022" s="7">
        <f>CHOOSE( CONTROL!$C$37, 36.4789, 36.4772) * CHOOSE(CONTROL!$C$20, $D$12, 100%, $F$12)</f>
        <v>36.478900000000003</v>
      </c>
      <c r="D1022" s="7">
        <f>CHOOSE( CONTROL!$C$37, 36.4851, 36.4834) * CHOOSE( CONTROL!$C$20, $D$12, 100%, $F$12)</f>
        <v>36.485100000000003</v>
      </c>
      <c r="E1022" s="10">
        <f>CHOOSE( CONTROL!$C$37, 36.4816, 36.4799) * CHOOSE( CONTROL!$C$20, $D$12, 100%, $F$12)</f>
        <v>36.4816</v>
      </c>
      <c r="F1022" s="4">
        <f>CHOOSE( CONTROL!$C$37, 37.1962, 37.1945) * CHOOSE(CONTROL!$C$20, $D$12, 100%, $F$12)</f>
        <v>37.196199999999997</v>
      </c>
      <c r="G1022" s="7">
        <f>CHOOSE( CONTROL!$C$37, 36.0064, 36.0048) * CHOOSE( CONTROL!$C$20, $D$12, 100%, $F$12)</f>
        <v>36.006399999999999</v>
      </c>
      <c r="H1022" s="4">
        <f>CHOOSE( CONTROL!$C$37, 36.9511, 36.9495) * CHOOSE(CONTROL!$C$20, $D$12, 100%, $F$12)</f>
        <v>36.951099999999997</v>
      </c>
      <c r="I1022" s="7">
        <f>CHOOSE( CONTROL!$C$37, 35.4713, 35.4697) * CHOOSE(CONTROL!$C$20, $D$12, 100%, $F$12)</f>
        <v>35.471299999999999</v>
      </c>
      <c r="J1022" s="4">
        <f>CHOOSE( CONTROL!$C$37, 35.3294, 35.3278) * CHOOSE(CONTROL!$C$20, $D$12, 100%, $F$12)</f>
        <v>35.3294</v>
      </c>
      <c r="K1022" s="4"/>
      <c r="L1022" s="8">
        <v>29.7257</v>
      </c>
      <c r="M1022" s="8">
        <v>11.6745</v>
      </c>
      <c r="N1022" s="8">
        <v>4.7850000000000001</v>
      </c>
      <c r="O1022" s="8">
        <v>0.36199999999999999</v>
      </c>
      <c r="P1022" s="8">
        <v>1.2509999999999999</v>
      </c>
      <c r="Q1022" s="8">
        <v>19.053000000000001</v>
      </c>
      <c r="R1022" s="8"/>
    </row>
    <row r="1023" spans="1:18" ht="14.25" customHeight="1">
      <c r="A1023" s="11">
        <v>72259</v>
      </c>
      <c r="B1023" s="7">
        <f>CHOOSE( CONTROL!$C$37, 38.0894, 38.0883) * CHOOSE(CONTROL!$C$20, $D$12, 100%, $F$12)</f>
        <v>38.089399999999998</v>
      </c>
      <c r="C1023" s="7">
        <f>CHOOSE( CONTROL!$C$37, 38.0947, 38.0936) * CHOOSE(CONTROL!$C$20, $D$12, 100%, $F$12)</f>
        <v>38.094700000000003</v>
      </c>
      <c r="D1023" s="7">
        <f>CHOOSE( CONTROL!$C$37, 38.1067, 38.1056) * CHOOSE( CONTROL!$C$20, $D$12, 100%, $F$12)</f>
        <v>38.106699999999996</v>
      </c>
      <c r="E1023" s="10">
        <f>CHOOSE( CONTROL!$C$37, 38.1022, 38.1011) * CHOOSE( CONTROL!$C$20, $D$12, 100%, $F$12)</f>
        <v>38.102200000000003</v>
      </c>
      <c r="F1023" s="4">
        <f>CHOOSE( CONTROL!$C$37, 38.8164, 38.8153) * CHOOSE(CONTROL!$C$20, $D$12, 100%, $F$12)</f>
        <v>38.816400000000002</v>
      </c>
      <c r="G1023" s="7">
        <f>CHOOSE( CONTROL!$C$37, 37.6041, 37.6031) * CHOOSE( CONTROL!$C$20, $D$12, 100%, $F$12)</f>
        <v>37.604100000000003</v>
      </c>
      <c r="H1023" s="4">
        <f>CHOOSE( CONTROL!$C$37, 38.5487, 38.5476) * CHOOSE(CONTROL!$C$20, $D$12, 100%, $F$12)</f>
        <v>38.548699999999997</v>
      </c>
      <c r="I1023" s="7">
        <f>CHOOSE( CONTROL!$C$37, 37.0415, 37.0405) * CHOOSE(CONTROL!$C$20, $D$12, 100%, $F$12)</f>
        <v>37.041499999999999</v>
      </c>
      <c r="J1023" s="4">
        <f>CHOOSE( CONTROL!$C$37, 36.8982, 36.8972) * CHOOSE(CONTROL!$C$20, $D$12, 100%, $F$12)</f>
        <v>36.898200000000003</v>
      </c>
      <c r="K1023" s="4"/>
      <c r="L1023" s="8">
        <v>31.095300000000002</v>
      </c>
      <c r="M1023" s="8">
        <v>12.063700000000001</v>
      </c>
      <c r="N1023" s="8">
        <v>4.9444999999999997</v>
      </c>
      <c r="O1023" s="8">
        <v>0.37409999999999999</v>
      </c>
      <c r="P1023" s="8">
        <v>1.2927</v>
      </c>
      <c r="Q1023" s="8">
        <v>19.688099999999999</v>
      </c>
      <c r="R1023" s="8"/>
    </row>
    <row r="1024" spans="1:18" ht="14.25" customHeight="1">
      <c r="A1024" s="11">
        <v>72289</v>
      </c>
      <c r="B1024" s="7">
        <f>CHOOSE( CONTROL!$C$37, 41.0806, 41.0795) * CHOOSE(CONTROL!$C$20, $D$12, 100%, $F$12)</f>
        <v>41.080599999999997</v>
      </c>
      <c r="C1024" s="7">
        <f>CHOOSE( CONTROL!$C$37, 41.0857, 41.0846) * CHOOSE(CONTROL!$C$20, $D$12, 100%, $F$12)</f>
        <v>41.085700000000003</v>
      </c>
      <c r="D1024" s="7">
        <f>CHOOSE( CONTROL!$C$37, 41.0641, 41.063) * CHOOSE( CONTROL!$C$20, $D$12, 100%, $F$12)</f>
        <v>41.064100000000003</v>
      </c>
      <c r="E1024" s="10">
        <f>CHOOSE( CONTROL!$C$37, 41.0715, 41.0704) * CHOOSE( CONTROL!$C$20, $D$12, 100%, $F$12)</f>
        <v>41.0715</v>
      </c>
      <c r="F1024" s="4">
        <f>CHOOSE( CONTROL!$C$37, 41.7331, 41.732) * CHOOSE(CONTROL!$C$20, $D$12, 100%, $F$12)</f>
        <v>41.7331</v>
      </c>
      <c r="G1024" s="7">
        <f>CHOOSE( CONTROL!$C$37, 40.5401, 40.539) * CHOOSE( CONTROL!$C$20, $D$12, 100%, $F$12)</f>
        <v>40.540100000000002</v>
      </c>
      <c r="H1024" s="4">
        <f>CHOOSE( CONTROL!$C$37, 41.4247, 41.4237) * CHOOSE(CONTROL!$C$20, $D$12, 100%, $F$12)</f>
        <v>41.424700000000001</v>
      </c>
      <c r="I1024" s="7">
        <f>CHOOSE( CONTROL!$C$37, 39.9909, 39.9899) * CHOOSE(CONTROL!$C$20, $D$12, 100%, $F$12)</f>
        <v>39.990900000000003</v>
      </c>
      <c r="J1024" s="4">
        <f>CHOOSE( CONTROL!$C$37, 39.795, 39.7939) * CHOOSE(CONTROL!$C$20, $D$12, 100%, $F$12)</f>
        <v>39.795000000000002</v>
      </c>
      <c r="K1024" s="4"/>
      <c r="L1024" s="8">
        <v>28.360600000000002</v>
      </c>
      <c r="M1024" s="8">
        <v>11.6745</v>
      </c>
      <c r="N1024" s="8">
        <v>4.7850000000000001</v>
      </c>
      <c r="O1024" s="8">
        <v>0.36199999999999999</v>
      </c>
      <c r="P1024" s="8">
        <v>1.2509999999999999</v>
      </c>
      <c r="Q1024" s="8">
        <v>19.053000000000001</v>
      </c>
      <c r="R1024" s="8"/>
    </row>
    <row r="1025" spans="1:18" ht="14.25" customHeight="1">
      <c r="A1025" s="11">
        <v>72320</v>
      </c>
      <c r="B1025" s="7">
        <f>CHOOSE( CONTROL!$C$37, 41.0058, 41.0047) * CHOOSE(CONTROL!$C$20, $D$12, 100%, $F$12)</f>
        <v>41.005800000000001</v>
      </c>
      <c r="C1025" s="7">
        <f>CHOOSE( CONTROL!$C$37, 41.0109, 41.0098) * CHOOSE(CONTROL!$C$20, $D$12, 100%, $F$12)</f>
        <v>41.010899999999999</v>
      </c>
      <c r="D1025" s="7">
        <f>CHOOSE( CONTROL!$C$37, 40.9909, 40.9899) * CHOOSE( CONTROL!$C$20, $D$12, 100%, $F$12)</f>
        <v>40.990900000000003</v>
      </c>
      <c r="E1025" s="10">
        <f>CHOOSE( CONTROL!$C$37, 40.9977, 40.9966) * CHOOSE( CONTROL!$C$20, $D$12, 100%, $F$12)</f>
        <v>40.997700000000002</v>
      </c>
      <c r="F1025" s="4">
        <f>CHOOSE( CONTROL!$C$37, 41.6584, 41.6573) * CHOOSE(CONTROL!$C$20, $D$12, 100%, $F$12)</f>
        <v>41.6584</v>
      </c>
      <c r="G1025" s="7">
        <f>CHOOSE( CONTROL!$C$37, 40.4675, 40.4665) * CHOOSE( CONTROL!$C$20, $D$12, 100%, $F$12)</f>
        <v>40.467500000000001</v>
      </c>
      <c r="H1025" s="4">
        <f>CHOOSE( CONTROL!$C$37, 41.351, 41.35) * CHOOSE(CONTROL!$C$20, $D$12, 100%, $F$12)</f>
        <v>41.350999999999999</v>
      </c>
      <c r="I1025" s="7">
        <f>CHOOSE( CONTROL!$C$37, 39.9234, 39.9223) * CHOOSE(CONTROL!$C$20, $D$12, 100%, $F$12)</f>
        <v>39.923400000000001</v>
      </c>
      <c r="J1025" s="4">
        <f>CHOOSE( CONTROL!$C$37, 39.7226, 39.7215) * CHOOSE(CONTROL!$C$20, $D$12, 100%, $F$12)</f>
        <v>39.7226</v>
      </c>
      <c r="K1025" s="4"/>
      <c r="L1025" s="8">
        <v>29.306000000000001</v>
      </c>
      <c r="M1025" s="8">
        <v>12.063700000000001</v>
      </c>
      <c r="N1025" s="8">
        <v>4.9444999999999997</v>
      </c>
      <c r="O1025" s="8">
        <v>0.37409999999999999</v>
      </c>
      <c r="P1025" s="8">
        <v>1.2927</v>
      </c>
      <c r="Q1025" s="8">
        <v>19.688099999999999</v>
      </c>
      <c r="R1025" s="8"/>
    </row>
    <row r="1026" spans="1:18" ht="14.25" customHeight="1">
      <c r="A1026" s="11">
        <v>72351</v>
      </c>
      <c r="B1026" s="7">
        <f>CHOOSE( CONTROL!$C$37, 42.2158, 42.2147) * CHOOSE(CONTROL!$C$20, $D$12, 100%, $F$12)</f>
        <v>42.215800000000002</v>
      </c>
      <c r="C1026" s="7">
        <f>CHOOSE( CONTROL!$C$37, 42.2209, 42.2198) * CHOOSE(CONTROL!$C$20, $D$12, 100%, $F$12)</f>
        <v>42.2209</v>
      </c>
      <c r="D1026" s="7">
        <f>CHOOSE( CONTROL!$C$37, 42.214, 42.213) * CHOOSE( CONTROL!$C$20, $D$12, 100%, $F$12)</f>
        <v>42.213999999999999</v>
      </c>
      <c r="E1026" s="10">
        <f>CHOOSE( CONTROL!$C$37, 42.216, 42.2149) * CHOOSE( CONTROL!$C$20, $D$12, 100%, $F$12)</f>
        <v>42.216000000000001</v>
      </c>
      <c r="F1026" s="4">
        <f>CHOOSE( CONTROL!$C$37, 42.8684, 42.8673) * CHOOSE(CONTROL!$C$20, $D$12, 100%, $F$12)</f>
        <v>42.868400000000001</v>
      </c>
      <c r="G1026" s="7">
        <f>CHOOSE( CONTROL!$C$37, 41.6652, 41.6641) * CHOOSE( CONTROL!$C$20, $D$12, 100%, $F$12)</f>
        <v>41.665199999999999</v>
      </c>
      <c r="H1026" s="4">
        <f>CHOOSE( CONTROL!$C$37, 42.5442, 42.5431) * CHOOSE(CONTROL!$C$20, $D$12, 100%, $F$12)</f>
        <v>42.544199999999996</v>
      </c>
      <c r="I1026" s="7">
        <f>CHOOSE( CONTROL!$C$37, 41.0669, 41.0659) * CHOOSE(CONTROL!$C$20, $D$12, 100%, $F$12)</f>
        <v>41.066899999999997</v>
      </c>
      <c r="J1026" s="4">
        <f>CHOOSE( CONTROL!$C$37, 40.8943, 40.8932) * CHOOSE(CONTROL!$C$20, $D$12, 100%, $F$12)</f>
        <v>40.894300000000001</v>
      </c>
      <c r="K1026" s="4"/>
      <c r="L1026" s="8">
        <v>29.306000000000001</v>
      </c>
      <c r="M1026" s="8">
        <v>12.063700000000001</v>
      </c>
      <c r="N1026" s="8">
        <v>4.9444999999999997</v>
      </c>
      <c r="O1026" s="8">
        <v>0.37409999999999999</v>
      </c>
      <c r="P1026" s="8">
        <v>1.2927</v>
      </c>
      <c r="Q1026" s="8">
        <v>19.688099999999999</v>
      </c>
      <c r="R1026" s="8"/>
    </row>
    <row r="1027" spans="1:18" ht="14.25" customHeight="1">
      <c r="A1027" s="11">
        <v>72379</v>
      </c>
      <c r="B1027" s="7">
        <f>CHOOSE( CONTROL!$C$37, 39.4856, 39.4845) * CHOOSE(CONTROL!$C$20, $D$12, 100%, $F$12)</f>
        <v>39.485599999999998</v>
      </c>
      <c r="C1027" s="7">
        <f>CHOOSE( CONTROL!$C$37, 39.4907, 39.4896) * CHOOSE(CONTROL!$C$20, $D$12, 100%, $F$12)</f>
        <v>39.490699999999997</v>
      </c>
      <c r="D1027" s="7">
        <f>CHOOSE( CONTROL!$C$37, 39.4837, 39.4826) * CHOOSE( CONTROL!$C$20, $D$12, 100%, $F$12)</f>
        <v>39.483699999999999</v>
      </c>
      <c r="E1027" s="10">
        <f>CHOOSE( CONTROL!$C$37, 39.4857, 39.4846) * CHOOSE( CONTROL!$C$20, $D$12, 100%, $F$12)</f>
        <v>39.485700000000001</v>
      </c>
      <c r="F1027" s="4">
        <f>CHOOSE( CONTROL!$C$37, 40.1382, 40.1371) * CHOOSE(CONTROL!$C$20, $D$12, 100%, $F$12)</f>
        <v>40.138199999999998</v>
      </c>
      <c r="G1027" s="7">
        <f>CHOOSE( CONTROL!$C$37, 38.973, 38.9719) * CHOOSE( CONTROL!$C$20, $D$12, 100%, $F$12)</f>
        <v>38.972999999999999</v>
      </c>
      <c r="H1027" s="4">
        <f>CHOOSE( CONTROL!$C$37, 39.852, 39.851) * CHOOSE(CONTROL!$C$20, $D$12, 100%, $F$12)</f>
        <v>39.851999999999997</v>
      </c>
      <c r="I1027" s="7">
        <f>CHOOSE( CONTROL!$C$37, 38.4217, 38.4206) * CHOOSE(CONTROL!$C$20, $D$12, 100%, $F$12)</f>
        <v>38.421700000000001</v>
      </c>
      <c r="J1027" s="4">
        <f>CHOOSE( CONTROL!$C$37, 38.2506, 38.2495) * CHOOSE(CONTROL!$C$20, $D$12, 100%, $F$12)</f>
        <v>38.250599999999999</v>
      </c>
      <c r="K1027" s="4"/>
      <c r="L1027" s="8">
        <v>26.469899999999999</v>
      </c>
      <c r="M1027" s="8">
        <v>10.8962</v>
      </c>
      <c r="N1027" s="8">
        <v>4.4660000000000002</v>
      </c>
      <c r="O1027" s="8">
        <v>0.33789999999999998</v>
      </c>
      <c r="P1027" s="8">
        <v>1.1676</v>
      </c>
      <c r="Q1027" s="8">
        <v>17.782800000000002</v>
      </c>
      <c r="R1027" s="8"/>
    </row>
    <row r="1028" spans="1:18" ht="14.25" customHeight="1">
      <c r="A1028" s="11">
        <v>72410</v>
      </c>
      <c r="B1028" s="7">
        <f>CHOOSE( CONTROL!$C$37, 38.6447, 38.6436) * CHOOSE(CONTROL!$C$20, $D$12, 100%, $F$12)</f>
        <v>38.6447</v>
      </c>
      <c r="C1028" s="7">
        <f>CHOOSE( CONTROL!$C$37, 38.6498, 38.6487) * CHOOSE(CONTROL!$C$20, $D$12, 100%, $F$12)</f>
        <v>38.649799999999999</v>
      </c>
      <c r="D1028" s="7">
        <f>CHOOSE( CONTROL!$C$37, 38.6422, 38.6411) * CHOOSE( CONTROL!$C$20, $D$12, 100%, $F$12)</f>
        <v>38.642200000000003</v>
      </c>
      <c r="E1028" s="10">
        <f>CHOOSE( CONTROL!$C$37, 38.6444, 38.6433) * CHOOSE( CONTROL!$C$20, $D$12, 100%, $F$12)</f>
        <v>38.644399999999997</v>
      </c>
      <c r="F1028" s="4">
        <f>CHOOSE( CONTROL!$C$37, 39.2973, 39.2962) * CHOOSE(CONTROL!$C$20, $D$12, 100%, $F$12)</f>
        <v>39.2973</v>
      </c>
      <c r="G1028" s="7">
        <f>CHOOSE( CONTROL!$C$37, 38.1434, 38.1423) * CHOOSE( CONTROL!$C$20, $D$12, 100%, $F$12)</f>
        <v>38.1434</v>
      </c>
      <c r="H1028" s="4">
        <f>CHOOSE( CONTROL!$C$37, 39.0229, 39.0218) * CHOOSE(CONTROL!$C$20, $D$12, 100%, $F$12)</f>
        <v>39.0229</v>
      </c>
      <c r="I1028" s="7">
        <f>CHOOSE( CONTROL!$C$37, 37.6051, 37.604) * CHOOSE(CONTROL!$C$20, $D$12, 100%, $F$12)</f>
        <v>37.6051</v>
      </c>
      <c r="J1028" s="4">
        <f>CHOOSE( CONTROL!$C$37, 37.4363, 37.4353) * CHOOSE(CONTROL!$C$20, $D$12, 100%, $F$12)</f>
        <v>37.436300000000003</v>
      </c>
      <c r="K1028" s="4"/>
      <c r="L1028" s="8">
        <v>29.306000000000001</v>
      </c>
      <c r="M1028" s="8">
        <v>12.063700000000001</v>
      </c>
      <c r="N1028" s="8">
        <v>4.9444999999999997</v>
      </c>
      <c r="O1028" s="8">
        <v>0.37409999999999999</v>
      </c>
      <c r="P1028" s="8">
        <v>1.2927</v>
      </c>
      <c r="Q1028" s="8">
        <v>19.688099999999999</v>
      </c>
      <c r="R1028" s="8"/>
    </row>
    <row r="1029" spans="1:18" ht="14.25" customHeight="1">
      <c r="A1029" s="11">
        <v>72440</v>
      </c>
      <c r="B1029" s="7">
        <f>CHOOSE( CONTROL!$C$37, 39.2331, 39.232) * CHOOSE(CONTROL!$C$20, $D$12, 100%, $F$12)</f>
        <v>39.2331</v>
      </c>
      <c r="C1029" s="7">
        <f>CHOOSE( CONTROL!$C$37, 39.2376, 39.2365) * CHOOSE(CONTROL!$C$20, $D$12, 100%, $F$12)</f>
        <v>39.2376</v>
      </c>
      <c r="D1029" s="7">
        <f>CHOOSE( CONTROL!$C$37, 39.2494, 39.2484) * CHOOSE( CONTROL!$C$20, $D$12, 100%, $F$12)</f>
        <v>39.249400000000001</v>
      </c>
      <c r="E1029" s="10">
        <f>CHOOSE( CONTROL!$C$37, 39.245, 39.244) * CHOOSE( CONTROL!$C$20, $D$12, 100%, $F$12)</f>
        <v>39.244999999999997</v>
      </c>
      <c r="F1029" s="4">
        <f>CHOOSE( CONTROL!$C$37, 39.9597, 39.9586) * CHOOSE(CONTROL!$C$20, $D$12, 100%, $F$12)</f>
        <v>39.959699999999998</v>
      </c>
      <c r="G1029" s="7">
        <f>CHOOSE( CONTROL!$C$37, 38.731, 38.7299) * CHOOSE( CONTROL!$C$20, $D$12, 100%, $F$12)</f>
        <v>38.731000000000002</v>
      </c>
      <c r="H1029" s="4">
        <f>CHOOSE( CONTROL!$C$37, 39.6761, 39.675) * CHOOSE(CONTROL!$C$20, $D$12, 100%, $F$12)</f>
        <v>39.676099999999998</v>
      </c>
      <c r="I1029" s="7">
        <f>CHOOSE( CONTROL!$C$37, 38.1469, 38.1459) * CHOOSE(CONTROL!$C$20, $D$12, 100%, $F$12)</f>
        <v>38.146900000000002</v>
      </c>
      <c r="J1029" s="4">
        <f>CHOOSE( CONTROL!$C$37, 38.0053, 38.0043) * CHOOSE(CONTROL!$C$20, $D$12, 100%, $F$12)</f>
        <v>38.005299999999998</v>
      </c>
      <c r="K1029" s="4"/>
      <c r="L1029" s="8">
        <v>30.092199999999998</v>
      </c>
      <c r="M1029" s="8">
        <v>11.6745</v>
      </c>
      <c r="N1029" s="8">
        <v>4.7850000000000001</v>
      </c>
      <c r="O1029" s="8">
        <v>0.36199999999999999</v>
      </c>
      <c r="P1029" s="8">
        <v>1.2509999999999999</v>
      </c>
      <c r="Q1029" s="8">
        <v>19.053000000000001</v>
      </c>
      <c r="R1029" s="8"/>
    </row>
    <row r="1030" spans="1:18" ht="14.25" customHeight="1">
      <c r="A1030" s="11">
        <v>72471</v>
      </c>
      <c r="B1030" s="7">
        <f>CHOOSE( CONTROL!$C$37, 40.2808, 40.2792) * CHOOSE(CONTROL!$C$20, $D$12, 100%, $F$12)</f>
        <v>40.280799999999999</v>
      </c>
      <c r="C1030" s="7">
        <f>CHOOSE( CONTROL!$C$37, 40.2888, 40.2872) * CHOOSE(CONTROL!$C$20, $D$12, 100%, $F$12)</f>
        <v>40.288800000000002</v>
      </c>
      <c r="D1030" s="7">
        <f>CHOOSE( CONTROL!$C$37, 40.2945, 40.2928) * CHOOSE( CONTROL!$C$20, $D$12, 100%, $F$12)</f>
        <v>40.294499999999999</v>
      </c>
      <c r="E1030" s="10">
        <f>CHOOSE( CONTROL!$C$37, 40.2912, 40.2896) * CHOOSE( CONTROL!$C$20, $D$12, 100%, $F$12)</f>
        <v>40.291200000000003</v>
      </c>
      <c r="F1030" s="4">
        <f>CHOOSE( CONTROL!$C$37, 41.0061, 41.0044) * CHOOSE(CONTROL!$C$20, $D$12, 100%, $F$12)</f>
        <v>41.006100000000004</v>
      </c>
      <c r="G1030" s="7">
        <f>CHOOSE( CONTROL!$C$37, 39.7628, 39.7611) * CHOOSE( CONTROL!$C$20, $D$12, 100%, $F$12)</f>
        <v>39.762799999999999</v>
      </c>
      <c r="H1030" s="4">
        <f>CHOOSE( CONTROL!$C$37, 40.7079, 40.7062) * CHOOSE(CONTROL!$C$20, $D$12, 100%, $F$12)</f>
        <v>40.707900000000002</v>
      </c>
      <c r="I1030" s="7">
        <f>CHOOSE( CONTROL!$C$37, 39.1603, 39.1587) * CHOOSE(CONTROL!$C$20, $D$12, 100%, $F$12)</f>
        <v>39.160299999999999</v>
      </c>
      <c r="J1030" s="4">
        <f>CHOOSE( CONTROL!$C$37, 39.0185, 39.0169) * CHOOSE(CONTROL!$C$20, $D$12, 100%, $F$12)</f>
        <v>39.018500000000003</v>
      </c>
      <c r="K1030" s="4"/>
      <c r="L1030" s="8">
        <v>30.7165</v>
      </c>
      <c r="M1030" s="8">
        <v>12.063700000000001</v>
      </c>
      <c r="N1030" s="8">
        <v>4.9444999999999997</v>
      </c>
      <c r="O1030" s="8">
        <v>0.37409999999999999</v>
      </c>
      <c r="P1030" s="8">
        <v>1.2927</v>
      </c>
      <c r="Q1030" s="8">
        <v>19.688099999999999</v>
      </c>
      <c r="R1030" s="8"/>
    </row>
    <row r="1031" spans="1:18" ht="14.25" customHeight="1">
      <c r="A1031" s="11">
        <v>72501</v>
      </c>
      <c r="B1031" s="7">
        <f>CHOOSE( CONTROL!$C$37, 39.633, 39.6313) * CHOOSE(CONTROL!$C$20, $D$12, 100%, $F$12)</f>
        <v>39.633000000000003</v>
      </c>
      <c r="C1031" s="7">
        <f>CHOOSE( CONTROL!$C$37, 39.641, 39.6393) * CHOOSE(CONTROL!$C$20, $D$12, 100%, $F$12)</f>
        <v>39.640999999999998</v>
      </c>
      <c r="D1031" s="7">
        <f>CHOOSE( CONTROL!$C$37, 39.6469, 39.6452) * CHOOSE( CONTROL!$C$20, $D$12, 100%, $F$12)</f>
        <v>39.646900000000002</v>
      </c>
      <c r="E1031" s="10">
        <f>CHOOSE( CONTROL!$C$37, 39.6435, 39.6418) * CHOOSE( CONTROL!$C$20, $D$12, 100%, $F$12)</f>
        <v>39.643500000000003</v>
      </c>
      <c r="F1031" s="4">
        <f>CHOOSE( CONTROL!$C$37, 40.3583, 40.3566) * CHOOSE(CONTROL!$C$20, $D$12, 100%, $F$12)</f>
        <v>40.3583</v>
      </c>
      <c r="G1031" s="7">
        <f>CHOOSE( CONTROL!$C$37, 39.1242, 39.1225) * CHOOSE( CONTROL!$C$20, $D$12, 100%, $F$12)</f>
        <v>39.124200000000002</v>
      </c>
      <c r="H1031" s="4">
        <f>CHOOSE( CONTROL!$C$37, 40.0691, 40.0674) * CHOOSE(CONTROL!$C$20, $D$12, 100%, $F$12)</f>
        <v>40.069099999999999</v>
      </c>
      <c r="I1031" s="7">
        <f>CHOOSE( CONTROL!$C$37, 38.5337, 38.5321) * CHOOSE(CONTROL!$C$20, $D$12, 100%, $F$12)</f>
        <v>38.533700000000003</v>
      </c>
      <c r="J1031" s="4">
        <f>CHOOSE( CONTROL!$C$37, 38.3912, 38.3896) * CHOOSE(CONTROL!$C$20, $D$12, 100%, $F$12)</f>
        <v>38.391199999999998</v>
      </c>
      <c r="K1031" s="4"/>
      <c r="L1031" s="8">
        <v>29.7257</v>
      </c>
      <c r="M1031" s="8">
        <v>11.6745</v>
      </c>
      <c r="N1031" s="8">
        <v>4.7850000000000001</v>
      </c>
      <c r="O1031" s="8">
        <v>0.36199999999999999</v>
      </c>
      <c r="P1031" s="8">
        <v>1.2509999999999999</v>
      </c>
      <c r="Q1031" s="8">
        <v>19.053000000000001</v>
      </c>
      <c r="R1031" s="8"/>
    </row>
    <row r="1032" spans="1:18" ht="14.25" customHeight="1">
      <c r="A1032" s="11">
        <v>72532</v>
      </c>
      <c r="B1032" s="7">
        <f>CHOOSE( CONTROL!$C$37, 41.339, 41.3373) * CHOOSE(CONTROL!$C$20, $D$12, 100%, $F$12)</f>
        <v>41.338999999999999</v>
      </c>
      <c r="C1032" s="7">
        <f>CHOOSE( CONTROL!$C$37, 41.347, 41.3453) * CHOOSE(CONTROL!$C$20, $D$12, 100%, $F$12)</f>
        <v>41.347000000000001</v>
      </c>
      <c r="D1032" s="7">
        <f>CHOOSE( CONTROL!$C$37, 41.3532, 41.3515) * CHOOSE( CONTROL!$C$20, $D$12, 100%, $F$12)</f>
        <v>41.353200000000001</v>
      </c>
      <c r="E1032" s="10">
        <f>CHOOSE( CONTROL!$C$37, 41.3497, 41.348) * CHOOSE( CONTROL!$C$20, $D$12, 100%, $F$12)</f>
        <v>41.349699999999999</v>
      </c>
      <c r="F1032" s="4">
        <f>CHOOSE( CONTROL!$C$37, 42.0643, 42.0626) * CHOOSE(CONTROL!$C$20, $D$12, 100%, $F$12)</f>
        <v>42.064300000000003</v>
      </c>
      <c r="G1032" s="7">
        <f>CHOOSE( CONTROL!$C$37, 40.8066, 40.805) * CHOOSE( CONTROL!$C$20, $D$12, 100%, $F$12)</f>
        <v>40.806600000000003</v>
      </c>
      <c r="H1032" s="4">
        <f>CHOOSE( CONTROL!$C$37, 41.7513, 41.7496) * CHOOSE(CONTROL!$C$20, $D$12, 100%, $F$12)</f>
        <v>41.751300000000001</v>
      </c>
      <c r="I1032" s="7">
        <f>CHOOSE( CONTROL!$C$37, 40.1875, 40.1859) * CHOOSE(CONTROL!$C$20, $D$12, 100%, $F$12)</f>
        <v>40.1875</v>
      </c>
      <c r="J1032" s="4">
        <f>CHOOSE( CONTROL!$C$37, 40.0431, 40.0415) * CHOOSE(CONTROL!$C$20, $D$12, 100%, $F$12)</f>
        <v>40.043100000000003</v>
      </c>
      <c r="K1032" s="4"/>
      <c r="L1032" s="8">
        <v>30.7165</v>
      </c>
      <c r="M1032" s="8">
        <v>12.063700000000001</v>
      </c>
      <c r="N1032" s="8">
        <v>4.9444999999999997</v>
      </c>
      <c r="O1032" s="8">
        <v>0.37409999999999999</v>
      </c>
      <c r="P1032" s="8">
        <v>1.2927</v>
      </c>
      <c r="Q1032" s="8">
        <v>19.688099999999999</v>
      </c>
      <c r="R1032" s="8"/>
    </row>
    <row r="1033" spans="1:18" ht="14.25" customHeight="1">
      <c r="A1033" s="11">
        <v>72563</v>
      </c>
      <c r="B1033" s="7">
        <f>CHOOSE( CONTROL!$C$37, 38.1469, 38.1452) * CHOOSE(CONTROL!$C$20, $D$12, 100%, $F$12)</f>
        <v>38.146900000000002</v>
      </c>
      <c r="C1033" s="7">
        <f>CHOOSE( CONTROL!$C$37, 38.1549, 38.1532) * CHOOSE(CONTROL!$C$20, $D$12, 100%, $F$12)</f>
        <v>38.154899999999998</v>
      </c>
      <c r="D1033" s="7">
        <f>CHOOSE( CONTROL!$C$37, 38.1612, 38.1595) * CHOOSE( CONTROL!$C$20, $D$12, 100%, $F$12)</f>
        <v>38.161200000000001</v>
      </c>
      <c r="E1033" s="10">
        <f>CHOOSE( CONTROL!$C$37, 38.1577, 38.156) * CHOOSE( CONTROL!$C$20, $D$12, 100%, $F$12)</f>
        <v>38.157699999999998</v>
      </c>
      <c r="F1033" s="4">
        <f>CHOOSE( CONTROL!$C$37, 38.8722, 38.8705) * CHOOSE(CONTROL!$C$20, $D$12, 100%, $F$12)</f>
        <v>38.872199999999999</v>
      </c>
      <c r="G1033" s="7">
        <f>CHOOSE( CONTROL!$C$37, 37.6591, 37.6575) * CHOOSE( CONTROL!$C$20, $D$12, 100%, $F$12)</f>
        <v>37.659100000000002</v>
      </c>
      <c r="H1033" s="4">
        <f>CHOOSE( CONTROL!$C$37, 38.6037, 38.6021) * CHOOSE(CONTROL!$C$20, $D$12, 100%, $F$12)</f>
        <v>38.603700000000003</v>
      </c>
      <c r="I1033" s="7">
        <f>CHOOSE( CONTROL!$C$37, 37.0953, 37.0937) * CHOOSE(CONTROL!$C$20, $D$12, 100%, $F$12)</f>
        <v>37.095300000000002</v>
      </c>
      <c r="J1033" s="4">
        <f>CHOOSE( CONTROL!$C$37, 36.9522, 36.9506) * CHOOSE(CONTROL!$C$20, $D$12, 100%, $F$12)</f>
        <v>36.952199999999998</v>
      </c>
      <c r="K1033" s="4"/>
      <c r="L1033" s="8">
        <v>30.7165</v>
      </c>
      <c r="M1033" s="8">
        <v>12.063700000000001</v>
      </c>
      <c r="N1033" s="8">
        <v>4.9444999999999997</v>
      </c>
      <c r="O1033" s="8">
        <v>0.37409999999999999</v>
      </c>
      <c r="P1033" s="8">
        <v>1.2927</v>
      </c>
      <c r="Q1033" s="8">
        <v>19.688099999999999</v>
      </c>
      <c r="R1033" s="8"/>
    </row>
    <row r="1034" spans="1:18" ht="14.25" customHeight="1">
      <c r="A1034" s="11">
        <v>72593</v>
      </c>
      <c r="B1034" s="7">
        <f>CHOOSE( CONTROL!$C$37, 37.3475, 37.3459) * CHOOSE(CONTROL!$C$20, $D$12, 100%, $F$12)</f>
        <v>37.347499999999997</v>
      </c>
      <c r="C1034" s="7">
        <f>CHOOSE( CONTROL!$C$37, 37.3555, 37.3539) * CHOOSE(CONTROL!$C$20, $D$12, 100%, $F$12)</f>
        <v>37.355499999999999</v>
      </c>
      <c r="D1034" s="7">
        <f>CHOOSE( CONTROL!$C$37, 37.3617, 37.3601) * CHOOSE( CONTROL!$C$20, $D$12, 100%, $F$12)</f>
        <v>37.361699999999999</v>
      </c>
      <c r="E1034" s="10">
        <f>CHOOSE( CONTROL!$C$37, 37.3582, 37.3566) * CHOOSE( CONTROL!$C$20, $D$12, 100%, $F$12)</f>
        <v>37.358199999999997</v>
      </c>
      <c r="F1034" s="4">
        <f>CHOOSE( CONTROL!$C$37, 38.0728, 38.0712) * CHOOSE(CONTROL!$C$20, $D$12, 100%, $F$12)</f>
        <v>38.072800000000001</v>
      </c>
      <c r="G1034" s="7">
        <f>CHOOSE( CONTROL!$C$37, 36.8708, 36.8692) * CHOOSE( CONTROL!$C$20, $D$12, 100%, $F$12)</f>
        <v>36.870800000000003</v>
      </c>
      <c r="H1034" s="4">
        <f>CHOOSE( CONTROL!$C$37, 37.8155, 37.8139) * CHOOSE(CONTROL!$C$20, $D$12, 100%, $F$12)</f>
        <v>37.8155</v>
      </c>
      <c r="I1034" s="7">
        <f>CHOOSE( CONTROL!$C$37, 36.3205, 36.3189) * CHOOSE(CONTROL!$C$20, $D$12, 100%, $F$12)</f>
        <v>36.320500000000003</v>
      </c>
      <c r="J1034" s="4">
        <f>CHOOSE( CONTROL!$C$37, 36.1782, 36.1766) * CHOOSE(CONTROL!$C$20, $D$12, 100%, $F$12)</f>
        <v>36.178199999999997</v>
      </c>
      <c r="K1034" s="4"/>
      <c r="L1034" s="8">
        <v>29.7257</v>
      </c>
      <c r="M1034" s="8">
        <v>11.6745</v>
      </c>
      <c r="N1034" s="8">
        <v>4.7850000000000001</v>
      </c>
      <c r="O1034" s="8">
        <v>0.36199999999999999</v>
      </c>
      <c r="P1034" s="8">
        <v>1.2509999999999999</v>
      </c>
      <c r="Q1034" s="8">
        <v>19.053000000000001</v>
      </c>
      <c r="R1034" s="8"/>
    </row>
    <row r="1035" spans="1:18" ht="14.25" customHeight="1">
      <c r="A1035" s="11">
        <v>72624</v>
      </c>
      <c r="B1035" s="7">
        <f>CHOOSE( CONTROL!$C$37, 39.0049, 39.0039) * CHOOSE(CONTROL!$C$20, $D$12, 100%, $F$12)</f>
        <v>39.004899999999999</v>
      </c>
      <c r="C1035" s="7">
        <f>CHOOSE( CONTROL!$C$37, 39.0103, 39.0092) * CHOOSE(CONTROL!$C$20, $D$12, 100%, $F$12)</f>
        <v>39.010300000000001</v>
      </c>
      <c r="D1035" s="7">
        <f>CHOOSE( CONTROL!$C$37, 39.0223, 39.0212) * CHOOSE( CONTROL!$C$20, $D$12, 100%, $F$12)</f>
        <v>39.022300000000001</v>
      </c>
      <c r="E1035" s="10">
        <f>CHOOSE( CONTROL!$C$37, 39.0178, 39.0167) * CHOOSE( CONTROL!$C$20, $D$12, 100%, $F$12)</f>
        <v>39.017800000000001</v>
      </c>
      <c r="F1035" s="4">
        <f>CHOOSE( CONTROL!$C$37, 39.7319, 39.7309) * CHOOSE(CONTROL!$C$20, $D$12, 100%, $F$12)</f>
        <v>39.731900000000003</v>
      </c>
      <c r="G1035" s="7">
        <f>CHOOSE( CONTROL!$C$37, 38.5069, 38.5059) * CHOOSE( CONTROL!$C$20, $D$12, 100%, $F$12)</f>
        <v>38.506900000000002</v>
      </c>
      <c r="H1035" s="4">
        <f>CHOOSE( CONTROL!$C$37, 39.4515, 39.4504) * CHOOSE(CONTROL!$C$20, $D$12, 100%, $F$12)</f>
        <v>39.451500000000003</v>
      </c>
      <c r="I1035" s="7">
        <f>CHOOSE( CONTROL!$C$37, 37.9285, 37.9275) * CHOOSE(CONTROL!$C$20, $D$12, 100%, $F$12)</f>
        <v>37.9285</v>
      </c>
      <c r="J1035" s="4">
        <f>CHOOSE( CONTROL!$C$37, 37.7847, 37.7837) * CHOOSE(CONTROL!$C$20, $D$12, 100%, $F$12)</f>
        <v>37.784700000000001</v>
      </c>
      <c r="K1035" s="4"/>
      <c r="L1035" s="8">
        <v>31.095300000000002</v>
      </c>
      <c r="M1035" s="8">
        <v>12.063700000000001</v>
      </c>
      <c r="N1035" s="8">
        <v>4.9444999999999997</v>
      </c>
      <c r="O1035" s="8">
        <v>0.37409999999999999</v>
      </c>
      <c r="P1035" s="8">
        <v>1.2927</v>
      </c>
      <c r="Q1035" s="8">
        <v>19.688099999999999</v>
      </c>
      <c r="R1035" s="8"/>
    </row>
    <row r="1036" spans="1:18" ht="14.25" customHeight="1">
      <c r="A1036" s="11">
        <v>72654</v>
      </c>
      <c r="B1036" s="7">
        <f>CHOOSE( CONTROL!$C$37, 42.068, 42.0669) * CHOOSE(CONTROL!$C$20, $D$12, 100%, $F$12)</f>
        <v>42.067999999999998</v>
      </c>
      <c r="C1036" s="7">
        <f>CHOOSE( CONTROL!$C$37, 42.0731, 42.072) * CHOOSE(CONTROL!$C$20, $D$12, 100%, $F$12)</f>
        <v>42.073099999999997</v>
      </c>
      <c r="D1036" s="7">
        <f>CHOOSE( CONTROL!$C$37, 42.0516, 42.0505) * CHOOSE( CONTROL!$C$20, $D$12, 100%, $F$12)</f>
        <v>42.051600000000001</v>
      </c>
      <c r="E1036" s="10">
        <f>CHOOSE( CONTROL!$C$37, 42.0589, 42.0578) * CHOOSE( CONTROL!$C$20, $D$12, 100%, $F$12)</f>
        <v>42.058900000000001</v>
      </c>
      <c r="F1036" s="4">
        <f>CHOOSE( CONTROL!$C$37, 42.7206, 42.7195) * CHOOSE(CONTROL!$C$20, $D$12, 100%, $F$12)</f>
        <v>42.720599999999997</v>
      </c>
      <c r="G1036" s="7">
        <f>CHOOSE( CONTROL!$C$37, 41.5138, 41.5127) * CHOOSE( CONTROL!$C$20, $D$12, 100%, $F$12)</f>
        <v>41.513800000000003</v>
      </c>
      <c r="H1036" s="4">
        <f>CHOOSE( CONTROL!$C$37, 42.3984, 42.3973) * CHOOSE(CONTROL!$C$20, $D$12, 100%, $F$12)</f>
        <v>42.398400000000002</v>
      </c>
      <c r="I1036" s="7">
        <f>CHOOSE( CONTROL!$C$37, 40.9475, 40.9465) * CHOOSE(CONTROL!$C$20, $D$12, 100%, $F$12)</f>
        <v>40.947499999999998</v>
      </c>
      <c r="J1036" s="4">
        <f>CHOOSE( CONTROL!$C$37, 40.7511, 40.7501) * CHOOSE(CONTROL!$C$20, $D$12, 100%, $F$12)</f>
        <v>40.751100000000001</v>
      </c>
      <c r="K1036" s="4"/>
      <c r="L1036" s="8">
        <v>28.360600000000002</v>
      </c>
      <c r="M1036" s="8">
        <v>11.6745</v>
      </c>
      <c r="N1036" s="8">
        <v>4.7850000000000001</v>
      </c>
      <c r="O1036" s="8">
        <v>0.36199999999999999</v>
      </c>
      <c r="P1036" s="8">
        <v>1.2509999999999999</v>
      </c>
      <c r="Q1036" s="8">
        <v>19.053000000000001</v>
      </c>
      <c r="R1036" s="8"/>
    </row>
    <row r="1037" spans="1:18" ht="14.25" customHeight="1">
      <c r="A1037" s="11">
        <v>72685</v>
      </c>
      <c r="B1037" s="7">
        <f>CHOOSE( CONTROL!$C$37, 41.9915, 41.9904) * CHOOSE(CONTROL!$C$20, $D$12, 100%, $F$12)</f>
        <v>41.991500000000002</v>
      </c>
      <c r="C1037" s="7">
        <f>CHOOSE( CONTROL!$C$37, 41.9966, 41.9955) * CHOOSE(CONTROL!$C$20, $D$12, 100%, $F$12)</f>
        <v>41.996600000000001</v>
      </c>
      <c r="D1037" s="7">
        <f>CHOOSE( CONTROL!$C$37, 41.9766, 41.9755) * CHOOSE( CONTROL!$C$20, $D$12, 100%, $F$12)</f>
        <v>41.976599999999998</v>
      </c>
      <c r="E1037" s="10">
        <f>CHOOSE( CONTROL!$C$37, 41.9834, 41.9823) * CHOOSE( CONTROL!$C$20, $D$12, 100%, $F$12)</f>
        <v>41.983400000000003</v>
      </c>
      <c r="F1037" s="4">
        <f>CHOOSE( CONTROL!$C$37, 42.644, 42.6429) * CHOOSE(CONTROL!$C$20, $D$12, 100%, $F$12)</f>
        <v>42.643999999999998</v>
      </c>
      <c r="G1037" s="7">
        <f>CHOOSE( CONTROL!$C$37, 41.4394, 41.4384) * CHOOSE( CONTROL!$C$20, $D$12, 100%, $F$12)</f>
        <v>41.439399999999999</v>
      </c>
      <c r="H1037" s="4">
        <f>CHOOSE( CONTROL!$C$37, 42.3229, 42.3219) * CHOOSE(CONTROL!$C$20, $D$12, 100%, $F$12)</f>
        <v>42.322899999999997</v>
      </c>
      <c r="I1037" s="7">
        <f>CHOOSE( CONTROL!$C$37, 40.8783, 40.8772) * CHOOSE(CONTROL!$C$20, $D$12, 100%, $F$12)</f>
        <v>40.878300000000003</v>
      </c>
      <c r="J1037" s="4">
        <f>CHOOSE( CONTROL!$C$37, 40.677, 40.676) * CHOOSE(CONTROL!$C$20, $D$12, 100%, $F$12)</f>
        <v>40.677</v>
      </c>
      <c r="K1037" s="4"/>
      <c r="L1037" s="8">
        <v>29.306000000000001</v>
      </c>
      <c r="M1037" s="8">
        <v>12.063700000000001</v>
      </c>
      <c r="N1037" s="8">
        <v>4.9444999999999997</v>
      </c>
      <c r="O1037" s="8">
        <v>0.37409999999999999</v>
      </c>
      <c r="P1037" s="8">
        <v>1.2927</v>
      </c>
      <c r="Q1037" s="8">
        <v>19.688099999999999</v>
      </c>
      <c r="R1037" s="8"/>
    </row>
    <row r="1038" spans="1:18" ht="14.25" customHeight="1">
      <c r="A1038" s="11">
        <v>72716</v>
      </c>
      <c r="B1038" s="7">
        <f>CHOOSE( CONTROL!$C$37, 43.2306, 43.2295) * CHOOSE(CONTROL!$C$20, $D$12, 100%, $F$12)</f>
        <v>43.230600000000003</v>
      </c>
      <c r="C1038" s="7">
        <f>CHOOSE( CONTROL!$C$37, 43.2357, 43.2346) * CHOOSE(CONTROL!$C$20, $D$12, 100%, $F$12)</f>
        <v>43.235700000000001</v>
      </c>
      <c r="D1038" s="7">
        <f>CHOOSE( CONTROL!$C$37, 43.2288, 43.2277) * CHOOSE( CONTROL!$C$20, $D$12, 100%, $F$12)</f>
        <v>43.2288</v>
      </c>
      <c r="E1038" s="10">
        <f>CHOOSE( CONTROL!$C$37, 43.2308, 43.2297) * CHOOSE( CONTROL!$C$20, $D$12, 100%, $F$12)</f>
        <v>43.230800000000002</v>
      </c>
      <c r="F1038" s="4">
        <f>CHOOSE( CONTROL!$C$37, 43.8831, 43.882) * CHOOSE(CONTROL!$C$20, $D$12, 100%, $F$12)</f>
        <v>43.883099999999999</v>
      </c>
      <c r="G1038" s="7">
        <f>CHOOSE( CONTROL!$C$37, 42.6658, 42.6647) * CHOOSE( CONTROL!$C$20, $D$12, 100%, $F$12)</f>
        <v>42.665799999999997</v>
      </c>
      <c r="H1038" s="4">
        <f>CHOOSE( CONTROL!$C$37, 43.5447, 43.5437) * CHOOSE(CONTROL!$C$20, $D$12, 100%, $F$12)</f>
        <v>43.544699999999999</v>
      </c>
      <c r="I1038" s="7">
        <f>CHOOSE( CONTROL!$C$37, 42.05, 42.0489) * CHOOSE(CONTROL!$C$20, $D$12, 100%, $F$12)</f>
        <v>42.05</v>
      </c>
      <c r="J1038" s="4">
        <f>CHOOSE( CONTROL!$C$37, 41.8768, 41.8758) * CHOOSE(CONTROL!$C$20, $D$12, 100%, $F$12)</f>
        <v>41.876800000000003</v>
      </c>
      <c r="K1038" s="4"/>
      <c r="L1038" s="8">
        <v>29.306000000000001</v>
      </c>
      <c r="M1038" s="8">
        <v>12.063700000000001</v>
      </c>
      <c r="N1038" s="8">
        <v>4.9444999999999997</v>
      </c>
      <c r="O1038" s="8">
        <v>0.37409999999999999</v>
      </c>
      <c r="P1038" s="8">
        <v>1.2927</v>
      </c>
      <c r="Q1038" s="8">
        <v>19.688099999999999</v>
      </c>
      <c r="R1038" s="8"/>
    </row>
    <row r="1039" spans="1:18" ht="14.25" customHeight="1">
      <c r="A1039" s="11">
        <v>72744</v>
      </c>
      <c r="B1039" s="7">
        <f>CHOOSE( CONTROL!$C$37, 40.4347, 40.4336) * CHOOSE(CONTROL!$C$20, $D$12, 100%, $F$12)</f>
        <v>40.434699999999999</v>
      </c>
      <c r="C1039" s="7">
        <f>CHOOSE( CONTROL!$C$37, 40.4398, 40.4387) * CHOOSE(CONTROL!$C$20, $D$12, 100%, $F$12)</f>
        <v>40.439799999999998</v>
      </c>
      <c r="D1039" s="7">
        <f>CHOOSE( CONTROL!$C$37, 40.4329, 40.4318) * CHOOSE( CONTROL!$C$20, $D$12, 100%, $F$12)</f>
        <v>40.432899999999997</v>
      </c>
      <c r="E1039" s="10">
        <f>CHOOSE( CONTROL!$C$37, 40.4349, 40.4338) * CHOOSE( CONTROL!$C$20, $D$12, 100%, $F$12)</f>
        <v>40.434899999999999</v>
      </c>
      <c r="F1039" s="4">
        <f>CHOOSE( CONTROL!$C$37, 41.0873, 41.0862) * CHOOSE(CONTROL!$C$20, $D$12, 100%, $F$12)</f>
        <v>41.087299999999999</v>
      </c>
      <c r="G1039" s="7">
        <f>CHOOSE( CONTROL!$C$37, 39.9089, 39.9078) * CHOOSE( CONTROL!$C$20, $D$12, 100%, $F$12)</f>
        <v>39.908900000000003</v>
      </c>
      <c r="H1039" s="4">
        <f>CHOOSE( CONTROL!$C$37, 40.7879, 40.7868) * CHOOSE(CONTROL!$C$20, $D$12, 100%, $F$12)</f>
        <v>40.7879</v>
      </c>
      <c r="I1039" s="7">
        <f>CHOOSE( CONTROL!$C$37, 39.3412, 39.3401) * CHOOSE(CONTROL!$C$20, $D$12, 100%, $F$12)</f>
        <v>39.341200000000001</v>
      </c>
      <c r="J1039" s="4">
        <f>CHOOSE( CONTROL!$C$37, 39.1696, 39.1686) * CHOOSE(CONTROL!$C$20, $D$12, 100%, $F$12)</f>
        <v>39.169600000000003</v>
      </c>
      <c r="K1039" s="4"/>
      <c r="L1039" s="8">
        <v>26.469899999999999</v>
      </c>
      <c r="M1039" s="8">
        <v>10.8962</v>
      </c>
      <c r="N1039" s="8">
        <v>4.4660000000000002</v>
      </c>
      <c r="O1039" s="8">
        <v>0.33789999999999998</v>
      </c>
      <c r="P1039" s="8">
        <v>1.1676</v>
      </c>
      <c r="Q1039" s="8">
        <v>17.782800000000002</v>
      </c>
      <c r="R1039" s="8"/>
    </row>
    <row r="1040" spans="1:18" ht="14.25" customHeight="1">
      <c r="A1040" s="11">
        <v>72775</v>
      </c>
      <c r="B1040" s="7">
        <f>CHOOSE( CONTROL!$C$37, 39.5736, 39.5725) * CHOOSE(CONTROL!$C$20, $D$12, 100%, $F$12)</f>
        <v>39.573599999999999</v>
      </c>
      <c r="C1040" s="7">
        <f>CHOOSE( CONTROL!$C$37, 39.5787, 39.5776) * CHOOSE(CONTROL!$C$20, $D$12, 100%, $F$12)</f>
        <v>39.578699999999998</v>
      </c>
      <c r="D1040" s="7">
        <f>CHOOSE( CONTROL!$C$37, 39.5711, 39.57) * CHOOSE( CONTROL!$C$20, $D$12, 100%, $F$12)</f>
        <v>39.571100000000001</v>
      </c>
      <c r="E1040" s="10">
        <f>CHOOSE( CONTROL!$C$37, 39.5733, 39.5722) * CHOOSE( CONTROL!$C$20, $D$12, 100%, $F$12)</f>
        <v>39.573300000000003</v>
      </c>
      <c r="F1040" s="4">
        <f>CHOOSE( CONTROL!$C$37, 40.2262, 40.2251) * CHOOSE(CONTROL!$C$20, $D$12, 100%, $F$12)</f>
        <v>40.226199999999999</v>
      </c>
      <c r="G1040" s="7">
        <f>CHOOSE( CONTROL!$C$37, 39.0593, 39.0583) * CHOOSE( CONTROL!$C$20, $D$12, 100%, $F$12)</f>
        <v>39.0593</v>
      </c>
      <c r="H1040" s="4">
        <f>CHOOSE( CONTROL!$C$37, 39.9388, 39.9377) * CHOOSE(CONTROL!$C$20, $D$12, 100%, $F$12)</f>
        <v>39.938800000000001</v>
      </c>
      <c r="I1040" s="7">
        <f>CHOOSE( CONTROL!$C$37, 38.505, 38.5039) * CHOOSE(CONTROL!$C$20, $D$12, 100%, $F$12)</f>
        <v>38.505000000000003</v>
      </c>
      <c r="J1040" s="4">
        <f>CHOOSE( CONTROL!$C$37, 38.3358, 38.3348) * CHOOSE(CONTROL!$C$20, $D$12, 100%, $F$12)</f>
        <v>38.335799999999999</v>
      </c>
      <c r="K1040" s="4"/>
      <c r="L1040" s="8">
        <v>29.306000000000001</v>
      </c>
      <c r="M1040" s="8">
        <v>12.063700000000001</v>
      </c>
      <c r="N1040" s="8">
        <v>4.9444999999999997</v>
      </c>
      <c r="O1040" s="8">
        <v>0.37409999999999999</v>
      </c>
      <c r="P1040" s="8">
        <v>1.2927</v>
      </c>
      <c r="Q1040" s="8">
        <v>19.688099999999999</v>
      </c>
      <c r="R1040" s="8"/>
    </row>
    <row r="1041" spans="1:18" ht="14.25" customHeight="1">
      <c r="A1041" s="11">
        <v>72805</v>
      </c>
      <c r="B1041" s="7">
        <f>CHOOSE( CONTROL!$C$37, 40.1761, 40.175) * CHOOSE(CONTROL!$C$20, $D$12, 100%, $F$12)</f>
        <v>40.176099999999998</v>
      </c>
      <c r="C1041" s="7">
        <f>CHOOSE( CONTROL!$C$37, 40.1806, 40.1796) * CHOOSE(CONTROL!$C$20, $D$12, 100%, $F$12)</f>
        <v>40.180599999999998</v>
      </c>
      <c r="D1041" s="7">
        <f>CHOOSE( CONTROL!$C$37, 40.1925, 40.1914) * CHOOSE( CONTROL!$C$20, $D$12, 100%, $F$12)</f>
        <v>40.192500000000003</v>
      </c>
      <c r="E1041" s="10">
        <f>CHOOSE( CONTROL!$C$37, 40.1881, 40.187) * CHOOSE( CONTROL!$C$20, $D$12, 100%, $F$12)</f>
        <v>40.188099999999999</v>
      </c>
      <c r="F1041" s="4">
        <f>CHOOSE( CONTROL!$C$37, 40.9028, 40.9017) * CHOOSE(CONTROL!$C$20, $D$12, 100%, $F$12)</f>
        <v>40.902799999999999</v>
      </c>
      <c r="G1041" s="7">
        <f>CHOOSE( CONTROL!$C$37, 39.6609, 39.6598) * CHOOSE( CONTROL!$C$20, $D$12, 100%, $F$12)</f>
        <v>39.660899999999998</v>
      </c>
      <c r="H1041" s="4">
        <f>CHOOSE( CONTROL!$C$37, 40.606, 40.6049) * CHOOSE(CONTROL!$C$20, $D$12, 100%, $F$12)</f>
        <v>40.606000000000002</v>
      </c>
      <c r="I1041" s="7">
        <f>CHOOSE( CONTROL!$C$37, 39.0605, 39.0595) * CHOOSE(CONTROL!$C$20, $D$12, 100%, $F$12)</f>
        <v>39.060499999999998</v>
      </c>
      <c r="J1041" s="4">
        <f>CHOOSE( CONTROL!$C$37, 38.9185, 38.9174) * CHOOSE(CONTROL!$C$20, $D$12, 100%, $F$12)</f>
        <v>38.918500000000002</v>
      </c>
      <c r="K1041" s="4"/>
      <c r="L1041" s="8">
        <v>30.092199999999998</v>
      </c>
      <c r="M1041" s="8">
        <v>11.6745</v>
      </c>
      <c r="N1041" s="8">
        <v>4.7850000000000001</v>
      </c>
      <c r="O1041" s="8">
        <v>0.36199999999999999</v>
      </c>
      <c r="P1041" s="8">
        <v>1.2509999999999999</v>
      </c>
      <c r="Q1041" s="8">
        <v>19.053000000000001</v>
      </c>
      <c r="R1041" s="8"/>
    </row>
    <row r="1042" spans="1:18" ht="14.25" customHeight="1">
      <c r="A1042" s="11">
        <v>72836</v>
      </c>
      <c r="B1042" s="7">
        <f>CHOOSE( CONTROL!$C$37, 41.249, 41.2473) * CHOOSE(CONTROL!$C$20, $D$12, 100%, $F$12)</f>
        <v>41.249000000000002</v>
      </c>
      <c r="C1042" s="7">
        <f>CHOOSE( CONTROL!$C$37, 41.257, 41.2553) * CHOOSE(CONTROL!$C$20, $D$12, 100%, $F$12)</f>
        <v>41.256999999999998</v>
      </c>
      <c r="D1042" s="7">
        <f>CHOOSE( CONTROL!$C$37, 41.2626, 41.261) * CHOOSE( CONTROL!$C$20, $D$12, 100%, $F$12)</f>
        <v>41.262599999999999</v>
      </c>
      <c r="E1042" s="10">
        <f>CHOOSE( CONTROL!$C$37, 41.2594, 41.2577) * CHOOSE( CONTROL!$C$20, $D$12, 100%, $F$12)</f>
        <v>41.259399999999999</v>
      </c>
      <c r="F1042" s="4">
        <f>CHOOSE( CONTROL!$C$37, 41.9743, 41.9726) * CHOOSE(CONTROL!$C$20, $D$12, 100%, $F$12)</f>
        <v>41.974299999999999</v>
      </c>
      <c r="G1042" s="7">
        <f>CHOOSE( CONTROL!$C$37, 40.7174, 40.7158) * CHOOSE( CONTROL!$C$20, $D$12, 100%, $F$12)</f>
        <v>40.717399999999998</v>
      </c>
      <c r="H1042" s="4">
        <f>CHOOSE( CONTROL!$C$37, 41.6625, 41.6609) * CHOOSE(CONTROL!$C$20, $D$12, 100%, $F$12)</f>
        <v>41.662500000000001</v>
      </c>
      <c r="I1042" s="7">
        <f>CHOOSE( CONTROL!$C$37, 40.0983, 40.0967) * CHOOSE(CONTROL!$C$20, $D$12, 100%, $F$12)</f>
        <v>40.098300000000002</v>
      </c>
      <c r="J1042" s="4">
        <f>CHOOSE( CONTROL!$C$37, 39.956, 39.9544) * CHOOSE(CONTROL!$C$20, $D$12, 100%, $F$12)</f>
        <v>39.956000000000003</v>
      </c>
      <c r="K1042" s="4"/>
      <c r="L1042" s="8">
        <v>30.7165</v>
      </c>
      <c r="M1042" s="8">
        <v>12.063700000000001</v>
      </c>
      <c r="N1042" s="8">
        <v>4.9444999999999997</v>
      </c>
      <c r="O1042" s="8">
        <v>0.37409999999999999</v>
      </c>
      <c r="P1042" s="8">
        <v>1.2927</v>
      </c>
      <c r="Q1042" s="8">
        <v>19.688099999999999</v>
      </c>
      <c r="R1042" s="8"/>
    </row>
    <row r="1043" spans="1:18" ht="14.25" customHeight="1">
      <c r="A1043" s="11">
        <v>72866</v>
      </c>
      <c r="B1043" s="7">
        <f>CHOOSE( CONTROL!$C$37, 40.5856, 40.5839) * CHOOSE(CONTROL!$C$20, $D$12, 100%, $F$12)</f>
        <v>40.585599999999999</v>
      </c>
      <c r="C1043" s="7">
        <f>CHOOSE( CONTROL!$C$37, 40.5936, 40.5919) * CHOOSE(CONTROL!$C$20, $D$12, 100%, $F$12)</f>
        <v>40.593600000000002</v>
      </c>
      <c r="D1043" s="7">
        <f>CHOOSE( CONTROL!$C$37, 40.5995, 40.5978) * CHOOSE( CONTROL!$C$20, $D$12, 100%, $F$12)</f>
        <v>40.599499999999999</v>
      </c>
      <c r="E1043" s="10">
        <f>CHOOSE( CONTROL!$C$37, 40.5961, 40.5944) * CHOOSE( CONTROL!$C$20, $D$12, 100%, $F$12)</f>
        <v>40.5961</v>
      </c>
      <c r="F1043" s="4">
        <f>CHOOSE( CONTROL!$C$37, 41.3109, 41.3092) * CHOOSE(CONTROL!$C$20, $D$12, 100%, $F$12)</f>
        <v>41.310899999999997</v>
      </c>
      <c r="G1043" s="7">
        <f>CHOOSE( CONTROL!$C$37, 40.0635, 40.0619) * CHOOSE( CONTROL!$C$20, $D$12, 100%, $F$12)</f>
        <v>40.063499999999998</v>
      </c>
      <c r="H1043" s="4">
        <f>CHOOSE( CONTROL!$C$37, 41.0084, 41.0067) * CHOOSE(CONTROL!$C$20, $D$12, 100%, $F$12)</f>
        <v>41.008400000000002</v>
      </c>
      <c r="I1043" s="7">
        <f>CHOOSE( CONTROL!$C$37, 39.4565, 39.4549) * CHOOSE(CONTROL!$C$20, $D$12, 100%, $F$12)</f>
        <v>39.456499999999998</v>
      </c>
      <c r="J1043" s="4">
        <f>CHOOSE( CONTROL!$C$37, 39.3136, 39.312) * CHOOSE(CONTROL!$C$20, $D$12, 100%, $F$12)</f>
        <v>39.313600000000001</v>
      </c>
      <c r="K1043" s="4"/>
      <c r="L1043" s="8">
        <v>29.7257</v>
      </c>
      <c r="M1043" s="8">
        <v>11.6745</v>
      </c>
      <c r="N1043" s="8">
        <v>4.7850000000000001</v>
      </c>
      <c r="O1043" s="8">
        <v>0.36199999999999999</v>
      </c>
      <c r="P1043" s="8">
        <v>1.2509999999999999</v>
      </c>
      <c r="Q1043" s="8">
        <v>19.053000000000001</v>
      </c>
      <c r="R1043" s="8"/>
    </row>
    <row r="1044" spans="1:18" ht="14.25" customHeight="1">
      <c r="A1044" s="11">
        <v>72897</v>
      </c>
      <c r="B1044" s="7">
        <f>CHOOSE( CONTROL!$C$37, 42.3326, 42.3309) * CHOOSE(CONTROL!$C$20, $D$12, 100%, $F$12)</f>
        <v>42.332599999999999</v>
      </c>
      <c r="C1044" s="7">
        <f>CHOOSE( CONTROL!$C$37, 42.3406, 42.3389) * CHOOSE(CONTROL!$C$20, $D$12, 100%, $F$12)</f>
        <v>42.340600000000002</v>
      </c>
      <c r="D1044" s="7">
        <f>CHOOSE( CONTROL!$C$37, 42.3468, 42.3451) * CHOOSE( CONTROL!$C$20, $D$12, 100%, $F$12)</f>
        <v>42.346800000000002</v>
      </c>
      <c r="E1044" s="10">
        <f>CHOOSE( CONTROL!$C$37, 42.3433, 42.3416) * CHOOSE( CONTROL!$C$20, $D$12, 100%, $F$12)</f>
        <v>42.343299999999999</v>
      </c>
      <c r="F1044" s="4">
        <f>CHOOSE( CONTROL!$C$37, 43.0579, 43.0562) * CHOOSE(CONTROL!$C$20, $D$12, 100%, $F$12)</f>
        <v>43.057899999999997</v>
      </c>
      <c r="G1044" s="7">
        <f>CHOOSE( CONTROL!$C$37, 41.7863, 41.7847) * CHOOSE( CONTROL!$C$20, $D$12, 100%, $F$12)</f>
        <v>41.786299999999997</v>
      </c>
      <c r="H1044" s="4">
        <f>CHOOSE( CONTROL!$C$37, 42.731, 42.7294) * CHOOSE(CONTROL!$C$20, $D$12, 100%, $F$12)</f>
        <v>42.731000000000002</v>
      </c>
      <c r="I1044" s="7">
        <f>CHOOSE( CONTROL!$C$37, 41.15, 41.1484) * CHOOSE(CONTROL!$C$20, $D$12, 100%, $F$12)</f>
        <v>41.15</v>
      </c>
      <c r="J1044" s="4">
        <f>CHOOSE( CONTROL!$C$37, 41.0052, 41.0036) * CHOOSE(CONTROL!$C$20, $D$12, 100%, $F$12)</f>
        <v>41.005200000000002</v>
      </c>
      <c r="K1044" s="4"/>
      <c r="L1044" s="8">
        <v>30.7165</v>
      </c>
      <c r="M1044" s="8">
        <v>12.063700000000001</v>
      </c>
      <c r="N1044" s="8">
        <v>4.9444999999999997</v>
      </c>
      <c r="O1044" s="8">
        <v>0.37409999999999999</v>
      </c>
      <c r="P1044" s="8">
        <v>1.2927</v>
      </c>
      <c r="Q1044" s="8">
        <v>19.688099999999999</v>
      </c>
      <c r="R1044" s="8"/>
    </row>
    <row r="1045" spans="1:18" ht="14.25" customHeight="1">
      <c r="A1045" s="11">
        <v>72928</v>
      </c>
      <c r="B1045" s="7">
        <f>CHOOSE( CONTROL!$C$37, 39.0638, 39.0621) * CHOOSE(CONTROL!$C$20, $D$12, 100%, $F$12)</f>
        <v>39.063800000000001</v>
      </c>
      <c r="C1045" s="7">
        <f>CHOOSE( CONTROL!$C$37, 39.0718, 39.0701) * CHOOSE(CONTROL!$C$20, $D$12, 100%, $F$12)</f>
        <v>39.071800000000003</v>
      </c>
      <c r="D1045" s="7">
        <f>CHOOSE( CONTROL!$C$37, 39.0781, 39.0764) * CHOOSE( CONTROL!$C$20, $D$12, 100%, $F$12)</f>
        <v>39.078099999999999</v>
      </c>
      <c r="E1045" s="10">
        <f>CHOOSE( CONTROL!$C$37, 39.0746, 39.0729) * CHOOSE( CONTROL!$C$20, $D$12, 100%, $F$12)</f>
        <v>39.074599999999997</v>
      </c>
      <c r="F1045" s="4">
        <f>CHOOSE( CONTROL!$C$37, 39.7891, 39.7874) * CHOOSE(CONTROL!$C$20, $D$12, 100%, $F$12)</f>
        <v>39.789099999999998</v>
      </c>
      <c r="G1045" s="7">
        <f>CHOOSE( CONTROL!$C$37, 38.5632, 38.5616) * CHOOSE( CONTROL!$C$20, $D$12, 100%, $F$12)</f>
        <v>38.563200000000002</v>
      </c>
      <c r="H1045" s="4">
        <f>CHOOSE( CONTROL!$C$37, 39.5078, 39.5062) * CHOOSE(CONTROL!$C$20, $D$12, 100%, $F$12)</f>
        <v>39.507800000000003</v>
      </c>
      <c r="I1045" s="7">
        <f>CHOOSE( CONTROL!$C$37, 37.9836, 37.982) * CHOOSE(CONTROL!$C$20, $D$12, 100%, $F$12)</f>
        <v>37.983600000000003</v>
      </c>
      <c r="J1045" s="4">
        <f>CHOOSE( CONTROL!$C$37, 37.84, 37.8384) * CHOOSE(CONTROL!$C$20, $D$12, 100%, $F$12)</f>
        <v>37.840000000000003</v>
      </c>
      <c r="K1045" s="4"/>
      <c r="L1045" s="8">
        <v>30.7165</v>
      </c>
      <c r="M1045" s="8">
        <v>12.063700000000001</v>
      </c>
      <c r="N1045" s="8">
        <v>4.9444999999999997</v>
      </c>
      <c r="O1045" s="8">
        <v>0.37409999999999999</v>
      </c>
      <c r="P1045" s="8">
        <v>1.2927</v>
      </c>
      <c r="Q1045" s="8">
        <v>19.688099999999999</v>
      </c>
      <c r="R1045" s="8"/>
    </row>
    <row r="1046" spans="1:18" ht="14.25" customHeight="1">
      <c r="A1046" s="11">
        <v>72958</v>
      </c>
      <c r="B1046" s="7">
        <f>CHOOSE( CONTROL!$C$37, 38.2452, 38.2436) * CHOOSE(CONTROL!$C$20, $D$12, 100%, $F$12)</f>
        <v>38.245199999999997</v>
      </c>
      <c r="C1046" s="7">
        <f>CHOOSE( CONTROL!$C$37, 38.2532, 38.2516) * CHOOSE(CONTROL!$C$20, $D$12, 100%, $F$12)</f>
        <v>38.2532</v>
      </c>
      <c r="D1046" s="7">
        <f>CHOOSE( CONTROL!$C$37, 38.2594, 38.2578) * CHOOSE( CONTROL!$C$20, $D$12, 100%, $F$12)</f>
        <v>38.259399999999999</v>
      </c>
      <c r="E1046" s="10">
        <f>CHOOSE( CONTROL!$C$37, 38.2559, 38.2543) * CHOOSE( CONTROL!$C$20, $D$12, 100%, $F$12)</f>
        <v>38.255899999999997</v>
      </c>
      <c r="F1046" s="4">
        <f>CHOOSE( CONTROL!$C$37, 38.9705, 38.9688) * CHOOSE(CONTROL!$C$20, $D$12, 100%, $F$12)</f>
        <v>38.970500000000001</v>
      </c>
      <c r="G1046" s="7">
        <f>CHOOSE( CONTROL!$C$37, 37.756, 37.7544) * CHOOSE( CONTROL!$C$20, $D$12, 100%, $F$12)</f>
        <v>37.756</v>
      </c>
      <c r="H1046" s="4">
        <f>CHOOSE( CONTROL!$C$37, 38.7007, 38.699) * CHOOSE(CONTROL!$C$20, $D$12, 100%, $F$12)</f>
        <v>38.700699999999998</v>
      </c>
      <c r="I1046" s="7">
        <f>CHOOSE( CONTROL!$C$37, 37.1902, 37.1886) * CHOOSE(CONTROL!$C$20, $D$12, 100%, $F$12)</f>
        <v>37.190199999999997</v>
      </c>
      <c r="J1046" s="4">
        <f>CHOOSE( CONTROL!$C$37, 37.0474, 37.0458) * CHOOSE(CONTROL!$C$20, $D$12, 100%, $F$12)</f>
        <v>37.047400000000003</v>
      </c>
      <c r="K1046" s="4"/>
      <c r="L1046" s="8">
        <v>29.7257</v>
      </c>
      <c r="M1046" s="8">
        <v>11.6745</v>
      </c>
      <c r="N1046" s="8">
        <v>4.7850000000000001</v>
      </c>
      <c r="O1046" s="8">
        <v>0.36199999999999999</v>
      </c>
      <c r="P1046" s="8">
        <v>1.2509999999999999</v>
      </c>
      <c r="Q1046" s="8">
        <v>19.053000000000001</v>
      </c>
      <c r="R1046" s="8"/>
    </row>
    <row r="1047" spans="1:18" ht="14.25" customHeight="1">
      <c r="A1047" s="11">
        <v>72989</v>
      </c>
      <c r="B1047" s="7">
        <f>CHOOSE( CONTROL!$C$37, 39.9425, 39.9414) * CHOOSE(CONTROL!$C$20, $D$12, 100%, $F$12)</f>
        <v>39.942500000000003</v>
      </c>
      <c r="C1047" s="7">
        <f>CHOOSE( CONTROL!$C$37, 39.9479, 39.9468) * CHOOSE(CONTROL!$C$20, $D$12, 100%, $F$12)</f>
        <v>39.947899999999997</v>
      </c>
      <c r="D1047" s="7">
        <f>CHOOSE( CONTROL!$C$37, 39.9599, 39.9588) * CHOOSE( CONTROL!$C$20, $D$12, 100%, $F$12)</f>
        <v>39.959899999999998</v>
      </c>
      <c r="E1047" s="10">
        <f>CHOOSE( CONTROL!$C$37, 39.9554, 39.9543) * CHOOSE( CONTROL!$C$20, $D$12, 100%, $F$12)</f>
        <v>39.955399999999997</v>
      </c>
      <c r="F1047" s="4">
        <f>CHOOSE( CONTROL!$C$37, 40.6695, 40.6684) * CHOOSE(CONTROL!$C$20, $D$12, 100%, $F$12)</f>
        <v>40.669499999999999</v>
      </c>
      <c r="G1047" s="7">
        <f>CHOOSE( CONTROL!$C$37, 39.4314, 39.4304) * CHOOSE( CONTROL!$C$20, $D$12, 100%, $F$12)</f>
        <v>39.431399999999996</v>
      </c>
      <c r="H1047" s="4">
        <f>CHOOSE( CONTROL!$C$37, 40.376, 40.3749) * CHOOSE(CONTROL!$C$20, $D$12, 100%, $F$12)</f>
        <v>40.375999999999998</v>
      </c>
      <c r="I1047" s="7">
        <f>CHOOSE( CONTROL!$C$37, 38.8368, 38.8358) * CHOOSE(CONTROL!$C$20, $D$12, 100%, $F$12)</f>
        <v>38.836799999999997</v>
      </c>
      <c r="J1047" s="4">
        <f>CHOOSE( CONTROL!$C$37, 38.6926, 38.6915) * CHOOSE(CONTROL!$C$20, $D$12, 100%, $F$12)</f>
        <v>38.692599999999999</v>
      </c>
      <c r="K1047" s="4"/>
      <c r="L1047" s="8">
        <v>31.095300000000002</v>
      </c>
      <c r="M1047" s="8">
        <v>12.063700000000001</v>
      </c>
      <c r="N1047" s="8">
        <v>4.9444999999999997</v>
      </c>
      <c r="O1047" s="8">
        <v>0.37409999999999999</v>
      </c>
      <c r="P1047" s="8">
        <v>1.2927</v>
      </c>
      <c r="Q1047" s="8">
        <v>19.688099999999999</v>
      </c>
      <c r="R1047" s="8"/>
    </row>
    <row r="1048" spans="1:18" ht="14.25" customHeight="1">
      <c r="A1048" s="11">
        <v>73019</v>
      </c>
      <c r="B1048" s="7">
        <f>CHOOSE( CONTROL!$C$37, 43.0792, 43.0781) * CHOOSE(CONTROL!$C$20, $D$12, 100%, $F$12)</f>
        <v>43.0792</v>
      </c>
      <c r="C1048" s="7">
        <f>CHOOSE( CONTROL!$C$37, 43.0843, 43.0832) * CHOOSE(CONTROL!$C$20, $D$12, 100%, $F$12)</f>
        <v>43.084299999999999</v>
      </c>
      <c r="D1048" s="7">
        <f>CHOOSE( CONTROL!$C$37, 43.0627, 43.0617) * CHOOSE( CONTROL!$C$20, $D$12, 100%, $F$12)</f>
        <v>43.0627</v>
      </c>
      <c r="E1048" s="10">
        <f>CHOOSE( CONTROL!$C$37, 43.0701, 43.069) * CHOOSE( CONTROL!$C$20, $D$12, 100%, $F$12)</f>
        <v>43.070099999999996</v>
      </c>
      <c r="F1048" s="4">
        <f>CHOOSE( CONTROL!$C$37, 43.7317, 43.7306) * CHOOSE(CONTROL!$C$20, $D$12, 100%, $F$12)</f>
        <v>43.731699999999996</v>
      </c>
      <c r="G1048" s="7">
        <f>CHOOSE( CONTROL!$C$37, 42.5109, 42.5098) * CHOOSE( CONTROL!$C$20, $D$12, 100%, $F$12)</f>
        <v>42.510899999999999</v>
      </c>
      <c r="H1048" s="4">
        <f>CHOOSE( CONTROL!$C$37, 43.3955, 43.3944) * CHOOSE(CONTROL!$C$20, $D$12, 100%, $F$12)</f>
        <v>43.395499999999998</v>
      </c>
      <c r="I1048" s="7">
        <f>CHOOSE( CONTROL!$C$37, 41.9272, 41.9261) * CHOOSE(CONTROL!$C$20, $D$12, 100%, $F$12)</f>
        <v>41.927199999999999</v>
      </c>
      <c r="J1048" s="4">
        <f>CHOOSE( CONTROL!$C$37, 41.7302, 41.7292) * CHOOSE(CONTROL!$C$20, $D$12, 100%, $F$12)</f>
        <v>41.730200000000004</v>
      </c>
      <c r="K1048" s="4"/>
      <c r="L1048" s="8">
        <v>28.360600000000002</v>
      </c>
      <c r="M1048" s="8">
        <v>11.6745</v>
      </c>
      <c r="N1048" s="8">
        <v>4.7850000000000001</v>
      </c>
      <c r="O1048" s="8">
        <v>0.36199999999999999</v>
      </c>
      <c r="P1048" s="8">
        <v>1.2509999999999999</v>
      </c>
      <c r="Q1048" s="8">
        <v>19.053000000000001</v>
      </c>
      <c r="R1048" s="8"/>
    </row>
    <row r="1049" spans="1:18" ht="14.25" customHeight="1">
      <c r="A1049" s="11">
        <v>73050</v>
      </c>
      <c r="B1049" s="7">
        <f>CHOOSE( CONTROL!$C$37, 43.0008, 42.9997) * CHOOSE(CONTROL!$C$20, $D$12, 100%, $F$12)</f>
        <v>43.000799999999998</v>
      </c>
      <c r="C1049" s="7">
        <f>CHOOSE( CONTROL!$C$37, 43.0059, 43.0048) * CHOOSE(CONTROL!$C$20, $D$12, 100%, $F$12)</f>
        <v>43.005899999999997</v>
      </c>
      <c r="D1049" s="7">
        <f>CHOOSE( CONTROL!$C$37, 42.9859, 42.9848) * CHOOSE( CONTROL!$C$20, $D$12, 100%, $F$12)</f>
        <v>42.985900000000001</v>
      </c>
      <c r="E1049" s="10">
        <f>CHOOSE( CONTROL!$C$37, 42.9927, 42.9916) * CHOOSE( CONTROL!$C$20, $D$12, 100%, $F$12)</f>
        <v>42.992699999999999</v>
      </c>
      <c r="F1049" s="4">
        <f>CHOOSE( CONTROL!$C$37, 43.6533, 43.6523) * CHOOSE(CONTROL!$C$20, $D$12, 100%, $F$12)</f>
        <v>43.653300000000002</v>
      </c>
      <c r="G1049" s="7">
        <f>CHOOSE( CONTROL!$C$37, 42.4347, 42.4336) * CHOOSE( CONTROL!$C$20, $D$12, 100%, $F$12)</f>
        <v>42.434699999999999</v>
      </c>
      <c r="H1049" s="4">
        <f>CHOOSE( CONTROL!$C$37, 43.3182, 43.3171) * CHOOSE(CONTROL!$C$20, $D$12, 100%, $F$12)</f>
        <v>43.318199999999997</v>
      </c>
      <c r="I1049" s="7">
        <f>CHOOSE( CONTROL!$C$37, 41.8561, 41.855) * CHOOSE(CONTROL!$C$20, $D$12, 100%, $F$12)</f>
        <v>41.856099999999998</v>
      </c>
      <c r="J1049" s="4">
        <f>CHOOSE( CONTROL!$C$37, 41.6543, 41.6533) * CHOOSE(CONTROL!$C$20, $D$12, 100%, $F$12)</f>
        <v>41.654299999999999</v>
      </c>
      <c r="K1049" s="4"/>
      <c r="L1049" s="8">
        <v>29.306000000000001</v>
      </c>
      <c r="M1049" s="8">
        <v>12.063700000000001</v>
      </c>
      <c r="N1049" s="8">
        <v>4.9444999999999997</v>
      </c>
      <c r="O1049" s="8">
        <v>0.37409999999999999</v>
      </c>
      <c r="P1049" s="8">
        <v>1.2927</v>
      </c>
      <c r="Q1049" s="8">
        <v>19.688099999999999</v>
      </c>
      <c r="R1049" s="8"/>
    </row>
    <row r="1050" spans="1:18" ht="14.25" customHeight="1">
      <c r="A1050" s="11">
        <v>73081</v>
      </c>
      <c r="B1050" s="7">
        <f>CHOOSE( CONTROL!$C$37, 44.2697, 44.2686) * CHOOSE(CONTROL!$C$20, $D$12, 100%, $F$12)</f>
        <v>44.2697</v>
      </c>
      <c r="C1050" s="7">
        <f>CHOOSE( CONTROL!$C$37, 44.2748, 44.2737) * CHOOSE(CONTROL!$C$20, $D$12, 100%, $F$12)</f>
        <v>44.274799999999999</v>
      </c>
      <c r="D1050" s="7">
        <f>CHOOSE( CONTROL!$C$37, 44.2679, 44.2668) * CHOOSE( CONTROL!$C$20, $D$12, 100%, $F$12)</f>
        <v>44.267899999999997</v>
      </c>
      <c r="E1050" s="10">
        <f>CHOOSE( CONTROL!$C$37, 44.2699, 44.2688) * CHOOSE( CONTROL!$C$20, $D$12, 100%, $F$12)</f>
        <v>44.2699</v>
      </c>
      <c r="F1050" s="4">
        <f>CHOOSE( CONTROL!$C$37, 44.9222, 44.9211) * CHOOSE(CONTROL!$C$20, $D$12, 100%, $F$12)</f>
        <v>44.922199999999997</v>
      </c>
      <c r="G1050" s="7">
        <f>CHOOSE( CONTROL!$C$37, 43.6904, 43.6893) * CHOOSE( CONTROL!$C$20, $D$12, 100%, $F$12)</f>
        <v>43.690399999999997</v>
      </c>
      <c r="H1050" s="4">
        <f>CHOOSE( CONTROL!$C$37, 44.5693, 44.5683) * CHOOSE(CONTROL!$C$20, $D$12, 100%, $F$12)</f>
        <v>44.569299999999998</v>
      </c>
      <c r="I1050" s="7">
        <f>CHOOSE( CONTROL!$C$37, 43.0566, 43.0556) * CHOOSE(CONTROL!$C$20, $D$12, 100%, $F$12)</f>
        <v>43.056600000000003</v>
      </c>
      <c r="J1050" s="4">
        <f>CHOOSE( CONTROL!$C$37, 42.883, 42.8819) * CHOOSE(CONTROL!$C$20, $D$12, 100%, $F$12)</f>
        <v>42.883000000000003</v>
      </c>
      <c r="K1050" s="4"/>
      <c r="L1050" s="8">
        <v>29.306000000000001</v>
      </c>
      <c r="M1050" s="8">
        <v>12.063700000000001</v>
      </c>
      <c r="N1050" s="8">
        <v>4.9444999999999997</v>
      </c>
      <c r="O1050" s="8">
        <v>0.37409999999999999</v>
      </c>
      <c r="P1050" s="8">
        <v>1.2927</v>
      </c>
      <c r="Q1050" s="8">
        <v>19.688099999999999</v>
      </c>
      <c r="R1050" s="8"/>
    </row>
    <row r="1051" spans="1:18" ht="14.25" customHeight="1">
      <c r="A1051" s="11">
        <v>73109</v>
      </c>
      <c r="B1051" s="7">
        <f>CHOOSE( CONTROL!$C$37, 41.4067, 41.4056) * CHOOSE(CONTROL!$C$20, $D$12, 100%, $F$12)</f>
        <v>41.406700000000001</v>
      </c>
      <c r="C1051" s="7">
        <f>CHOOSE( CONTROL!$C$37, 41.4118, 41.4107) * CHOOSE(CONTROL!$C$20, $D$12, 100%, $F$12)</f>
        <v>41.411799999999999</v>
      </c>
      <c r="D1051" s="7">
        <f>CHOOSE( CONTROL!$C$37, 41.4048, 41.4037) * CHOOSE( CONTROL!$C$20, $D$12, 100%, $F$12)</f>
        <v>41.404800000000002</v>
      </c>
      <c r="E1051" s="10">
        <f>CHOOSE( CONTROL!$C$37, 41.4068, 41.4057) * CHOOSE( CONTROL!$C$20, $D$12, 100%, $F$12)</f>
        <v>41.406799999999997</v>
      </c>
      <c r="F1051" s="4">
        <f>CHOOSE( CONTROL!$C$37, 42.0592, 42.0581) * CHOOSE(CONTROL!$C$20, $D$12, 100%, $F$12)</f>
        <v>42.059199999999997</v>
      </c>
      <c r="G1051" s="7">
        <f>CHOOSE( CONTROL!$C$37, 40.8672, 40.8662) * CHOOSE( CONTROL!$C$20, $D$12, 100%, $F$12)</f>
        <v>40.867199999999997</v>
      </c>
      <c r="H1051" s="4">
        <f>CHOOSE( CONTROL!$C$37, 41.7463, 41.7452) * CHOOSE(CONTROL!$C$20, $D$12, 100%, $F$12)</f>
        <v>41.746299999999998</v>
      </c>
      <c r="I1051" s="7">
        <f>CHOOSE( CONTROL!$C$37, 40.2827, 40.2817) * CHOOSE(CONTROL!$C$20, $D$12, 100%, $F$12)</f>
        <v>40.282699999999998</v>
      </c>
      <c r="J1051" s="4">
        <f>CHOOSE( CONTROL!$C$37, 40.1107, 40.1097) * CHOOSE(CONTROL!$C$20, $D$12, 100%, $F$12)</f>
        <v>40.110700000000001</v>
      </c>
      <c r="K1051" s="4"/>
      <c r="L1051" s="8">
        <v>26.469899999999999</v>
      </c>
      <c r="M1051" s="8">
        <v>10.8962</v>
      </c>
      <c r="N1051" s="8">
        <v>4.4660000000000002</v>
      </c>
      <c r="O1051" s="8">
        <v>0.33789999999999998</v>
      </c>
      <c r="P1051" s="8">
        <v>1.1676</v>
      </c>
      <c r="Q1051" s="8">
        <v>17.782800000000002</v>
      </c>
      <c r="R1051" s="8"/>
    </row>
    <row r="1052" spans="1:18" ht="14.25" customHeight="1">
      <c r="A1052" s="11">
        <v>73140</v>
      </c>
      <c r="B1052" s="7">
        <f>CHOOSE( CONTROL!$C$37, 40.5249, 40.5238) * CHOOSE(CONTROL!$C$20, $D$12, 100%, $F$12)</f>
        <v>40.524900000000002</v>
      </c>
      <c r="C1052" s="7">
        <f>CHOOSE( CONTROL!$C$37, 40.53, 40.5289) * CHOOSE(CONTROL!$C$20, $D$12, 100%, $F$12)</f>
        <v>40.53</v>
      </c>
      <c r="D1052" s="7">
        <f>CHOOSE( CONTROL!$C$37, 40.5224, 40.5213) * CHOOSE( CONTROL!$C$20, $D$12, 100%, $F$12)</f>
        <v>40.522399999999998</v>
      </c>
      <c r="E1052" s="10">
        <f>CHOOSE( CONTROL!$C$37, 40.5246, 40.5235) * CHOOSE( CONTROL!$C$20, $D$12, 100%, $F$12)</f>
        <v>40.5246</v>
      </c>
      <c r="F1052" s="4">
        <f>CHOOSE( CONTROL!$C$37, 41.1774, 41.1763) * CHOOSE(CONTROL!$C$20, $D$12, 100%, $F$12)</f>
        <v>41.177399999999999</v>
      </c>
      <c r="G1052" s="7">
        <f>CHOOSE( CONTROL!$C$37, 39.9973, 39.9962) * CHOOSE( CONTROL!$C$20, $D$12, 100%, $F$12)</f>
        <v>39.997300000000003</v>
      </c>
      <c r="H1052" s="4">
        <f>CHOOSE( CONTROL!$C$37, 40.8768, 40.8757) * CHOOSE(CONTROL!$C$20, $D$12, 100%, $F$12)</f>
        <v>40.876800000000003</v>
      </c>
      <c r="I1052" s="7">
        <f>CHOOSE( CONTROL!$C$37, 39.4265, 39.4255) * CHOOSE(CONTROL!$C$20, $D$12, 100%, $F$12)</f>
        <v>39.426499999999997</v>
      </c>
      <c r="J1052" s="4">
        <f>CHOOSE( CONTROL!$C$37, 39.2569, 39.2558) * CHOOSE(CONTROL!$C$20, $D$12, 100%, $F$12)</f>
        <v>39.256900000000002</v>
      </c>
      <c r="K1052" s="4"/>
      <c r="L1052" s="8">
        <v>29.306000000000001</v>
      </c>
      <c r="M1052" s="8">
        <v>12.063700000000001</v>
      </c>
      <c r="N1052" s="8">
        <v>4.9444999999999997</v>
      </c>
      <c r="O1052" s="8">
        <v>0.37409999999999999</v>
      </c>
      <c r="P1052" s="8">
        <v>1.2927</v>
      </c>
      <c r="Q1052" s="8">
        <v>19.688099999999999</v>
      </c>
      <c r="R1052" s="8"/>
    </row>
    <row r="1053" spans="1:18" ht="14.25" customHeight="1">
      <c r="A1053" s="11">
        <v>73170</v>
      </c>
      <c r="B1053" s="7">
        <f>CHOOSE( CONTROL!$C$37, 41.1418, 41.1407) * CHOOSE(CONTROL!$C$20, $D$12, 100%, $F$12)</f>
        <v>41.141800000000003</v>
      </c>
      <c r="C1053" s="7">
        <f>CHOOSE( CONTROL!$C$37, 41.1463, 41.1453) * CHOOSE(CONTROL!$C$20, $D$12, 100%, $F$12)</f>
        <v>41.146299999999997</v>
      </c>
      <c r="D1053" s="7">
        <f>CHOOSE( CONTROL!$C$37, 41.1582, 41.1571) * CHOOSE( CONTROL!$C$20, $D$12, 100%, $F$12)</f>
        <v>41.158200000000001</v>
      </c>
      <c r="E1053" s="10">
        <f>CHOOSE( CONTROL!$C$37, 41.1538, 41.1527) * CHOOSE( CONTROL!$C$20, $D$12, 100%, $F$12)</f>
        <v>41.153799999999997</v>
      </c>
      <c r="F1053" s="4">
        <f>CHOOSE( CONTROL!$C$37, 41.8685, 41.8674) * CHOOSE(CONTROL!$C$20, $D$12, 100%, $F$12)</f>
        <v>41.868499999999997</v>
      </c>
      <c r="G1053" s="7">
        <f>CHOOSE( CONTROL!$C$37, 40.6131, 40.6121) * CHOOSE( CONTROL!$C$20, $D$12, 100%, $F$12)</f>
        <v>40.613100000000003</v>
      </c>
      <c r="H1053" s="4">
        <f>CHOOSE( CONTROL!$C$37, 41.5582, 41.5571) * CHOOSE(CONTROL!$C$20, $D$12, 100%, $F$12)</f>
        <v>41.558199999999999</v>
      </c>
      <c r="I1053" s="7">
        <f>CHOOSE( CONTROL!$C$37, 39.9961, 39.995) * CHOOSE(CONTROL!$C$20, $D$12, 100%, $F$12)</f>
        <v>39.996099999999998</v>
      </c>
      <c r="J1053" s="4">
        <f>CHOOSE( CONTROL!$C$37, 39.8535, 39.8525) * CHOOSE(CONTROL!$C$20, $D$12, 100%, $F$12)</f>
        <v>39.853499999999997</v>
      </c>
      <c r="K1053" s="4"/>
      <c r="L1053" s="8">
        <v>30.092199999999998</v>
      </c>
      <c r="M1053" s="8">
        <v>11.6745</v>
      </c>
      <c r="N1053" s="8">
        <v>4.7850000000000001</v>
      </c>
      <c r="O1053" s="8">
        <v>0.36199999999999999</v>
      </c>
      <c r="P1053" s="8">
        <v>1.2509999999999999</v>
      </c>
      <c r="Q1053" s="8">
        <v>19.053000000000001</v>
      </c>
      <c r="R1053" s="8"/>
    </row>
    <row r="1054" spans="1:18" ht="14.25" customHeight="1">
      <c r="A1054" s="11">
        <v>73201</v>
      </c>
      <c r="B1054" s="7">
        <f>CHOOSE( CONTROL!$C$37, 42.2404, 42.2388) * CHOOSE(CONTROL!$C$20, $D$12, 100%, $F$12)</f>
        <v>42.240400000000001</v>
      </c>
      <c r="C1054" s="7">
        <f>CHOOSE( CONTROL!$C$37, 42.2484, 42.2468) * CHOOSE(CONTROL!$C$20, $D$12, 100%, $F$12)</f>
        <v>42.248399999999997</v>
      </c>
      <c r="D1054" s="7">
        <f>CHOOSE( CONTROL!$C$37, 42.2541, 42.2524) * CHOOSE( CONTROL!$C$20, $D$12, 100%, $F$12)</f>
        <v>42.254100000000001</v>
      </c>
      <c r="E1054" s="10">
        <f>CHOOSE( CONTROL!$C$37, 42.2508, 42.2492) * CHOOSE( CONTROL!$C$20, $D$12, 100%, $F$12)</f>
        <v>42.250799999999998</v>
      </c>
      <c r="F1054" s="4">
        <f>CHOOSE( CONTROL!$C$37, 42.9657, 42.964) * CHOOSE(CONTROL!$C$20, $D$12, 100%, $F$12)</f>
        <v>42.965699999999998</v>
      </c>
      <c r="G1054" s="7">
        <f>CHOOSE( CONTROL!$C$37, 41.695, 41.6934) * CHOOSE( CONTROL!$C$20, $D$12, 100%, $F$12)</f>
        <v>41.695</v>
      </c>
      <c r="H1054" s="4">
        <f>CHOOSE( CONTROL!$C$37, 42.6401, 42.6385) * CHOOSE(CONTROL!$C$20, $D$12, 100%, $F$12)</f>
        <v>42.640099999999997</v>
      </c>
      <c r="I1054" s="7">
        <f>CHOOSE( CONTROL!$C$37, 41.0588, 41.0572) * CHOOSE(CONTROL!$C$20, $D$12, 100%, $F$12)</f>
        <v>41.058799999999998</v>
      </c>
      <c r="J1054" s="4">
        <f>CHOOSE( CONTROL!$C$37, 40.916, 40.9144) * CHOOSE(CONTROL!$C$20, $D$12, 100%, $F$12)</f>
        <v>40.915999999999997</v>
      </c>
      <c r="K1054" s="4"/>
      <c r="L1054" s="8">
        <v>30.7165</v>
      </c>
      <c r="M1054" s="8">
        <v>12.063700000000001</v>
      </c>
      <c r="N1054" s="8">
        <v>4.9444999999999997</v>
      </c>
      <c r="O1054" s="8">
        <v>0.37409999999999999</v>
      </c>
      <c r="P1054" s="8">
        <v>1.2927</v>
      </c>
      <c r="Q1054" s="8">
        <v>19.688099999999999</v>
      </c>
      <c r="R1054" s="8"/>
    </row>
    <row r="1055" spans="1:18" ht="14.25" customHeight="1">
      <c r="A1055" s="11">
        <v>73231</v>
      </c>
      <c r="B1055" s="7">
        <f>CHOOSE( CONTROL!$C$37, 41.5611, 41.5594) * CHOOSE(CONTROL!$C$20, $D$12, 100%, $F$12)</f>
        <v>41.561100000000003</v>
      </c>
      <c r="C1055" s="7">
        <f>CHOOSE( CONTROL!$C$37, 41.5691, 41.5674) * CHOOSE(CONTROL!$C$20, $D$12, 100%, $F$12)</f>
        <v>41.569099999999999</v>
      </c>
      <c r="D1055" s="7">
        <f>CHOOSE( CONTROL!$C$37, 41.575, 41.5733) * CHOOSE( CONTROL!$C$20, $D$12, 100%, $F$12)</f>
        <v>41.575000000000003</v>
      </c>
      <c r="E1055" s="10">
        <f>CHOOSE( CONTROL!$C$37, 41.5716, 41.5699) * CHOOSE( CONTROL!$C$20, $D$12, 100%, $F$12)</f>
        <v>41.571599999999997</v>
      </c>
      <c r="F1055" s="4">
        <f>CHOOSE( CONTROL!$C$37, 42.2864, 42.2847) * CHOOSE(CONTROL!$C$20, $D$12, 100%, $F$12)</f>
        <v>42.2864</v>
      </c>
      <c r="G1055" s="7">
        <f>CHOOSE( CONTROL!$C$37, 41.0254, 41.0237) * CHOOSE( CONTROL!$C$20, $D$12, 100%, $F$12)</f>
        <v>41.025399999999998</v>
      </c>
      <c r="H1055" s="4">
        <f>CHOOSE( CONTROL!$C$37, 41.9703, 41.9686) * CHOOSE(CONTROL!$C$20, $D$12, 100%, $F$12)</f>
        <v>41.970300000000002</v>
      </c>
      <c r="I1055" s="7">
        <f>CHOOSE( CONTROL!$C$37, 40.4016, 40.4) * CHOOSE(CONTROL!$C$20, $D$12, 100%, $F$12)</f>
        <v>40.401600000000002</v>
      </c>
      <c r="J1055" s="4">
        <f>CHOOSE( CONTROL!$C$37, 40.2582, 40.2566) * CHOOSE(CONTROL!$C$20, $D$12, 100%, $F$12)</f>
        <v>40.258200000000002</v>
      </c>
      <c r="K1055" s="4"/>
      <c r="L1055" s="8">
        <v>29.7257</v>
      </c>
      <c r="M1055" s="8">
        <v>11.6745</v>
      </c>
      <c r="N1055" s="8">
        <v>4.7850000000000001</v>
      </c>
      <c r="O1055" s="8">
        <v>0.36199999999999999</v>
      </c>
      <c r="P1055" s="8">
        <v>1.2509999999999999</v>
      </c>
      <c r="Q1055" s="8">
        <v>19.053000000000001</v>
      </c>
      <c r="R1055" s="8"/>
    </row>
    <row r="1056" spans="1:18" ht="14.25" customHeight="1">
      <c r="A1056" s="11">
        <v>73262</v>
      </c>
      <c r="B1056" s="7">
        <f>CHOOSE( CONTROL!$C$37, 43.35, 43.3484) * CHOOSE(CONTROL!$C$20, $D$12, 100%, $F$12)</f>
        <v>43.35</v>
      </c>
      <c r="C1056" s="7">
        <f>CHOOSE( CONTROL!$C$37, 43.358, 43.3564) * CHOOSE(CONTROL!$C$20, $D$12, 100%, $F$12)</f>
        <v>43.357999999999997</v>
      </c>
      <c r="D1056" s="7">
        <f>CHOOSE( CONTROL!$C$37, 43.3643, 43.3626) * CHOOSE( CONTROL!$C$20, $D$12, 100%, $F$12)</f>
        <v>43.3643</v>
      </c>
      <c r="E1056" s="10">
        <f>CHOOSE( CONTROL!$C$37, 43.3608, 43.3591) * CHOOSE( CONTROL!$C$20, $D$12, 100%, $F$12)</f>
        <v>43.360799999999998</v>
      </c>
      <c r="F1056" s="4">
        <f>CHOOSE( CONTROL!$C$37, 44.0753, 44.0737) * CHOOSE(CONTROL!$C$20, $D$12, 100%, $F$12)</f>
        <v>44.075299999999999</v>
      </c>
      <c r="G1056" s="7">
        <f>CHOOSE( CONTROL!$C$37, 42.7896, 42.788) * CHOOSE( CONTROL!$C$20, $D$12, 100%, $F$12)</f>
        <v>42.7896</v>
      </c>
      <c r="H1056" s="4">
        <f>CHOOSE( CONTROL!$C$37, 43.7343, 43.7326) * CHOOSE(CONTROL!$C$20, $D$12, 100%, $F$12)</f>
        <v>43.734299999999998</v>
      </c>
      <c r="I1056" s="7">
        <f>CHOOSE( CONTROL!$C$37, 42.1357, 42.1341) * CHOOSE(CONTROL!$C$20, $D$12, 100%, $F$12)</f>
        <v>42.1357</v>
      </c>
      <c r="J1056" s="4">
        <f>CHOOSE( CONTROL!$C$37, 41.9904, 41.9888) * CHOOSE(CONTROL!$C$20, $D$12, 100%, $F$12)</f>
        <v>41.990400000000001</v>
      </c>
      <c r="K1056" s="4"/>
      <c r="L1056" s="8">
        <v>30.7165</v>
      </c>
      <c r="M1056" s="8">
        <v>12.063700000000001</v>
      </c>
      <c r="N1056" s="8">
        <v>4.9444999999999997</v>
      </c>
      <c r="O1056" s="8">
        <v>0.37409999999999999</v>
      </c>
      <c r="P1056" s="8">
        <v>1.2927</v>
      </c>
      <c r="Q1056" s="8">
        <v>19.688099999999999</v>
      </c>
      <c r="R1056" s="8"/>
    </row>
    <row r="1057" spans="1:18" ht="14.25" customHeight="1">
      <c r="A1057" s="11">
        <v>73293</v>
      </c>
      <c r="B1057" s="7">
        <f>CHOOSE( CONTROL!$C$37, 40.0027, 40.001) * CHOOSE(CONTROL!$C$20, $D$12, 100%, $F$12)</f>
        <v>40.002699999999997</v>
      </c>
      <c r="C1057" s="7">
        <f>CHOOSE( CONTROL!$C$37, 40.0107, 40.009) * CHOOSE(CONTROL!$C$20, $D$12, 100%, $F$12)</f>
        <v>40.0107</v>
      </c>
      <c r="D1057" s="7">
        <f>CHOOSE( CONTROL!$C$37, 40.017, 40.0153) * CHOOSE( CONTROL!$C$20, $D$12, 100%, $F$12)</f>
        <v>40.017000000000003</v>
      </c>
      <c r="E1057" s="10">
        <f>CHOOSE( CONTROL!$C$37, 40.0135, 40.0118) * CHOOSE( CONTROL!$C$20, $D$12, 100%, $F$12)</f>
        <v>40.013500000000001</v>
      </c>
      <c r="F1057" s="4">
        <f>CHOOSE( CONTROL!$C$37, 40.728, 40.7263) * CHOOSE(CONTROL!$C$20, $D$12, 100%, $F$12)</f>
        <v>40.728000000000002</v>
      </c>
      <c r="G1057" s="7">
        <f>CHOOSE( CONTROL!$C$37, 39.489, 39.4874) * CHOOSE( CONTROL!$C$20, $D$12, 100%, $F$12)</f>
        <v>39.488999999999997</v>
      </c>
      <c r="H1057" s="4">
        <f>CHOOSE( CONTROL!$C$37, 40.4336, 40.432) * CHOOSE(CONTROL!$C$20, $D$12, 100%, $F$12)</f>
        <v>40.433599999999998</v>
      </c>
      <c r="I1057" s="7">
        <f>CHOOSE( CONTROL!$C$37, 38.8932, 38.8916) * CHOOSE(CONTROL!$C$20, $D$12, 100%, $F$12)</f>
        <v>38.8932</v>
      </c>
      <c r="J1057" s="4">
        <f>CHOOSE( CONTROL!$C$37, 38.7492, 38.7476) * CHOOSE(CONTROL!$C$20, $D$12, 100%, $F$12)</f>
        <v>38.749200000000002</v>
      </c>
      <c r="K1057" s="4"/>
      <c r="L1057" s="8">
        <v>30.7165</v>
      </c>
      <c r="M1057" s="8">
        <v>12.063700000000001</v>
      </c>
      <c r="N1057" s="8">
        <v>4.9444999999999997</v>
      </c>
      <c r="O1057" s="8">
        <v>0.37409999999999999</v>
      </c>
      <c r="P1057" s="8">
        <v>1.2927</v>
      </c>
      <c r="Q1057" s="8">
        <v>19.688099999999999</v>
      </c>
      <c r="R1057" s="8"/>
    </row>
    <row r="1058" spans="1:18" ht="14.25" customHeight="1">
      <c r="A1058" s="11">
        <v>73323</v>
      </c>
      <c r="B1058" s="7">
        <f>CHOOSE( CONTROL!$C$37, 39.1645, 39.1628) * CHOOSE(CONTROL!$C$20, $D$12, 100%, $F$12)</f>
        <v>39.164499999999997</v>
      </c>
      <c r="C1058" s="7">
        <f>CHOOSE( CONTROL!$C$37, 39.1725, 39.1708) * CHOOSE(CONTROL!$C$20, $D$12, 100%, $F$12)</f>
        <v>39.172499999999999</v>
      </c>
      <c r="D1058" s="7">
        <f>CHOOSE( CONTROL!$C$37, 39.1787, 39.177) * CHOOSE( CONTROL!$C$20, $D$12, 100%, $F$12)</f>
        <v>39.178699999999999</v>
      </c>
      <c r="E1058" s="10">
        <f>CHOOSE( CONTROL!$C$37, 39.1752, 39.1735) * CHOOSE( CONTROL!$C$20, $D$12, 100%, $F$12)</f>
        <v>39.175199999999997</v>
      </c>
      <c r="F1058" s="4">
        <f>CHOOSE( CONTROL!$C$37, 39.8898, 39.8881) * CHOOSE(CONTROL!$C$20, $D$12, 100%, $F$12)</f>
        <v>39.889800000000001</v>
      </c>
      <c r="G1058" s="7">
        <f>CHOOSE( CONTROL!$C$37, 38.6624, 38.6608) * CHOOSE( CONTROL!$C$20, $D$12, 100%, $F$12)</f>
        <v>38.662399999999998</v>
      </c>
      <c r="H1058" s="4">
        <f>CHOOSE( CONTROL!$C$37, 39.6071, 39.6055) * CHOOSE(CONTROL!$C$20, $D$12, 100%, $F$12)</f>
        <v>39.607100000000003</v>
      </c>
      <c r="I1058" s="7">
        <f>CHOOSE( CONTROL!$C$37, 38.0808, 38.0791) * CHOOSE(CONTROL!$C$20, $D$12, 100%, $F$12)</f>
        <v>38.080800000000004</v>
      </c>
      <c r="J1058" s="4">
        <f>CHOOSE( CONTROL!$C$37, 37.9376, 37.936) * CHOOSE(CONTROL!$C$20, $D$12, 100%, $F$12)</f>
        <v>37.937600000000003</v>
      </c>
      <c r="K1058" s="4"/>
      <c r="L1058" s="8">
        <v>29.7257</v>
      </c>
      <c r="M1058" s="8">
        <v>11.6745</v>
      </c>
      <c r="N1058" s="8">
        <v>4.7850000000000001</v>
      </c>
      <c r="O1058" s="8">
        <v>0.36199999999999999</v>
      </c>
      <c r="P1058" s="8">
        <v>1.2509999999999999</v>
      </c>
      <c r="Q1058" s="8">
        <v>19.053000000000001</v>
      </c>
      <c r="R1058" s="8"/>
    </row>
    <row r="1059" spans="1:18" ht="14.25" customHeight="1">
      <c r="A1059" s="11">
        <v>73354</v>
      </c>
      <c r="B1059" s="7">
        <f>CHOOSE( CONTROL!$C$37, 40.9026, 40.9015) * CHOOSE(CONTROL!$C$20, $D$12, 100%, $F$12)</f>
        <v>40.9026</v>
      </c>
      <c r="C1059" s="7">
        <f>CHOOSE( CONTROL!$C$37, 40.908, 40.9069) * CHOOSE(CONTROL!$C$20, $D$12, 100%, $F$12)</f>
        <v>40.908000000000001</v>
      </c>
      <c r="D1059" s="7">
        <f>CHOOSE( CONTROL!$C$37, 40.92, 40.9189) * CHOOSE( CONTROL!$C$20, $D$12, 100%, $F$12)</f>
        <v>40.92</v>
      </c>
      <c r="E1059" s="10">
        <f>CHOOSE( CONTROL!$C$37, 40.9155, 40.9144) * CHOOSE( CONTROL!$C$20, $D$12, 100%, $F$12)</f>
        <v>40.915500000000002</v>
      </c>
      <c r="F1059" s="4">
        <f>CHOOSE( CONTROL!$C$37, 41.6296, 41.6285) * CHOOSE(CONTROL!$C$20, $D$12, 100%, $F$12)</f>
        <v>41.629600000000003</v>
      </c>
      <c r="G1059" s="7">
        <f>CHOOSE( CONTROL!$C$37, 40.3781, 40.3771) * CHOOSE( CONTROL!$C$20, $D$12, 100%, $F$12)</f>
        <v>40.378100000000003</v>
      </c>
      <c r="H1059" s="4">
        <f>CHOOSE( CONTROL!$C$37, 41.3227, 41.3216) * CHOOSE(CONTROL!$C$20, $D$12, 100%, $F$12)</f>
        <v>41.322699999999998</v>
      </c>
      <c r="I1059" s="7">
        <f>CHOOSE( CONTROL!$C$37, 39.767, 39.7659) * CHOOSE(CONTROL!$C$20, $D$12, 100%, $F$12)</f>
        <v>39.767000000000003</v>
      </c>
      <c r="J1059" s="4">
        <f>CHOOSE( CONTROL!$C$37, 39.6223, 39.6212) * CHOOSE(CONTROL!$C$20, $D$12, 100%, $F$12)</f>
        <v>39.622300000000003</v>
      </c>
      <c r="K1059" s="4"/>
      <c r="L1059" s="8">
        <v>31.095300000000002</v>
      </c>
      <c r="M1059" s="8">
        <v>12.063700000000001</v>
      </c>
      <c r="N1059" s="8">
        <v>4.9444999999999997</v>
      </c>
      <c r="O1059" s="8">
        <v>0.37409999999999999</v>
      </c>
      <c r="P1059" s="8">
        <v>1.2927</v>
      </c>
      <c r="Q1059" s="8">
        <v>19.688099999999999</v>
      </c>
      <c r="R1059" s="8"/>
    </row>
    <row r="1060" spans="1:18" ht="14.25" customHeight="1">
      <c r="A1060" s="11">
        <v>73384</v>
      </c>
      <c r="B1060" s="7">
        <f>CHOOSE( CONTROL!$C$37, 44.1147, 44.1136) * CHOOSE(CONTROL!$C$20, $D$12, 100%, $F$12)</f>
        <v>44.114699999999999</v>
      </c>
      <c r="C1060" s="7">
        <f>CHOOSE( CONTROL!$C$37, 44.1198, 44.1187) * CHOOSE(CONTROL!$C$20, $D$12, 100%, $F$12)</f>
        <v>44.119799999999998</v>
      </c>
      <c r="D1060" s="7">
        <f>CHOOSE( CONTROL!$C$37, 44.0982, 44.0971) * CHOOSE( CONTROL!$C$20, $D$12, 100%, $F$12)</f>
        <v>44.098199999999999</v>
      </c>
      <c r="E1060" s="10">
        <f>CHOOSE( CONTROL!$C$37, 44.1056, 44.1045) * CHOOSE( CONTROL!$C$20, $D$12, 100%, $F$12)</f>
        <v>44.105600000000003</v>
      </c>
      <c r="F1060" s="4">
        <f>CHOOSE( CONTROL!$C$37, 44.7672, 44.7661) * CHOOSE(CONTROL!$C$20, $D$12, 100%, $F$12)</f>
        <v>44.767200000000003</v>
      </c>
      <c r="G1060" s="7">
        <f>CHOOSE( CONTROL!$C$37, 43.5319, 43.5308) * CHOOSE( CONTROL!$C$20, $D$12, 100%, $F$12)</f>
        <v>43.5319</v>
      </c>
      <c r="H1060" s="4">
        <f>CHOOSE( CONTROL!$C$37, 44.4165, 44.4154) * CHOOSE(CONTROL!$C$20, $D$12, 100%, $F$12)</f>
        <v>44.416499999999999</v>
      </c>
      <c r="I1060" s="7">
        <f>CHOOSE( CONTROL!$C$37, 42.9303, 42.9293) * CHOOSE(CONTROL!$C$20, $D$12, 100%, $F$12)</f>
        <v>42.930300000000003</v>
      </c>
      <c r="J1060" s="4">
        <f>CHOOSE( CONTROL!$C$37, 42.7329, 42.7318) * CHOOSE(CONTROL!$C$20, $D$12, 100%, $F$12)</f>
        <v>42.732900000000001</v>
      </c>
      <c r="K1060" s="4"/>
      <c r="L1060" s="8">
        <v>28.360600000000002</v>
      </c>
      <c r="M1060" s="8">
        <v>11.6745</v>
      </c>
      <c r="N1060" s="8">
        <v>4.7850000000000001</v>
      </c>
      <c r="O1060" s="8">
        <v>0.36199999999999999</v>
      </c>
      <c r="P1060" s="8">
        <v>1.2509999999999999</v>
      </c>
      <c r="Q1060" s="8">
        <v>19.053000000000001</v>
      </c>
      <c r="R1060" s="8"/>
    </row>
    <row r="1061" spans="1:18" ht="14.25" customHeight="1">
      <c r="A1061" s="11">
        <v>73415</v>
      </c>
      <c r="B1061" s="7">
        <f>CHOOSE( CONTROL!$C$37, 44.0344, 44.0333) * CHOOSE(CONTROL!$C$20, $D$12, 100%, $F$12)</f>
        <v>44.034399999999998</v>
      </c>
      <c r="C1061" s="7">
        <f>CHOOSE( CONTROL!$C$37, 44.0395, 44.0384) * CHOOSE(CONTROL!$C$20, $D$12, 100%, $F$12)</f>
        <v>44.039499999999997</v>
      </c>
      <c r="D1061" s="7">
        <f>CHOOSE( CONTROL!$C$37, 44.0195, 44.0184) * CHOOSE( CONTROL!$C$20, $D$12, 100%, $F$12)</f>
        <v>44.019500000000001</v>
      </c>
      <c r="E1061" s="10">
        <f>CHOOSE( CONTROL!$C$37, 44.0263, 44.0252) * CHOOSE( CONTROL!$C$20, $D$12, 100%, $F$12)</f>
        <v>44.026299999999999</v>
      </c>
      <c r="F1061" s="4">
        <f>CHOOSE( CONTROL!$C$37, 44.6869, 44.6859) * CHOOSE(CONTROL!$C$20, $D$12, 100%, $F$12)</f>
        <v>44.686900000000001</v>
      </c>
      <c r="G1061" s="7">
        <f>CHOOSE( CONTROL!$C$37, 43.4539, 43.4528) * CHOOSE( CONTROL!$C$20, $D$12, 100%, $F$12)</f>
        <v>43.453899999999997</v>
      </c>
      <c r="H1061" s="4">
        <f>CHOOSE( CONTROL!$C$37, 44.3373, 44.3363) * CHOOSE(CONTROL!$C$20, $D$12, 100%, $F$12)</f>
        <v>44.337299999999999</v>
      </c>
      <c r="I1061" s="7">
        <f>CHOOSE( CONTROL!$C$37, 42.8574, 42.8564) * CHOOSE(CONTROL!$C$20, $D$12, 100%, $F$12)</f>
        <v>42.857399999999998</v>
      </c>
      <c r="J1061" s="4">
        <f>CHOOSE( CONTROL!$C$37, 42.6552, 42.6541) * CHOOSE(CONTROL!$C$20, $D$12, 100%, $F$12)</f>
        <v>42.655200000000001</v>
      </c>
      <c r="K1061" s="4"/>
      <c r="L1061" s="8">
        <v>29.306000000000001</v>
      </c>
      <c r="M1061" s="8">
        <v>12.063700000000001</v>
      </c>
      <c r="N1061" s="8">
        <v>4.9444999999999997</v>
      </c>
      <c r="O1061" s="8">
        <v>0.37409999999999999</v>
      </c>
      <c r="P1061" s="8">
        <v>1.2927</v>
      </c>
      <c r="Q1061" s="8">
        <v>19.688099999999999</v>
      </c>
      <c r="R1061" s="8"/>
    </row>
    <row r="1062" spans="1:18" ht="14.25" customHeight="1">
      <c r="A1062" s="9"/>
      <c r="F1062" s="1"/>
      <c r="H1062" s="1"/>
      <c r="Q1062" s="8"/>
    </row>
    <row r="1063" spans="1:18" ht="15" customHeight="1">
      <c r="A1063" s="3">
        <v>2014</v>
      </c>
      <c r="B1063" s="7">
        <f t="shared" ref="B1063:H1063" si="1">AVERAGE(B18:B29)</f>
        <v>4.5181320285747164</v>
      </c>
      <c r="C1063" s="7">
        <f t="shared" si="1"/>
        <v>4.5243681437557965</v>
      </c>
      <c r="D1063" s="7">
        <f t="shared" si="1"/>
        <v>4.5491545866784282</v>
      </c>
      <c r="E1063" s="7">
        <f t="shared" si="1"/>
        <v>4.5408535997935147</v>
      </c>
      <c r="F1063" s="4">
        <f t="shared" si="1"/>
        <v>5.2184667158129718</v>
      </c>
      <c r="G1063" s="7">
        <f t="shared" si="1"/>
        <v>4.5196613380414901</v>
      </c>
      <c r="H1063" s="4">
        <f t="shared" si="1"/>
        <v>5.3468321770635256</v>
      </c>
      <c r="I1063" s="7"/>
      <c r="J1063" s="4">
        <f>AVERAGE(J18:J29)</f>
        <v>4.3890217793054314</v>
      </c>
      <c r="K1063" s="4">
        <f>AVERAGE(K18:K29)</f>
        <v>4.4862421146080829</v>
      </c>
      <c r="L1063" s="5">
        <f>SUM(L18:L29)</f>
        <v>360.57927420000004</v>
      </c>
      <c r="M1063" s="5">
        <f>SUM(M18:M29)</f>
        <v>142.03995</v>
      </c>
      <c r="N1063" s="5">
        <f>SUM(N18:N29)</f>
        <v>56.540100000000002</v>
      </c>
      <c r="O1063" s="5">
        <f>SUM(O18:O29)</f>
        <v>7.7105140000000025</v>
      </c>
      <c r="P1063" s="5">
        <f>SUM(P18:P29)</f>
        <v>7.914449276</v>
      </c>
      <c r="Q1063" s="5"/>
      <c r="R1063" s="5">
        <f>SUM(R18:R29)</f>
        <v>3.899999999999999</v>
      </c>
    </row>
    <row r="1064" spans="1:18" ht="15" customHeight="1">
      <c r="A1064" s="3">
        <v>2015</v>
      </c>
      <c r="B1064" s="7">
        <f t="shared" ref="B1064:H1064" si="2">AVERAGE(B30:B41)</f>
        <v>4.0164666666666671</v>
      </c>
      <c r="C1064" s="7">
        <f t="shared" si="2"/>
        <v>4.0227499999999994</v>
      </c>
      <c r="D1064" s="7">
        <f t="shared" si="2"/>
        <v>4.009925</v>
      </c>
      <c r="E1064" s="7">
        <f t="shared" si="2"/>
        <v>4.0135916666666676</v>
      </c>
      <c r="F1064" s="4">
        <f t="shared" si="2"/>
        <v>4.7117250000000004</v>
      </c>
      <c r="G1064" s="7">
        <f t="shared" si="2"/>
        <v>3.9975833333333344</v>
      </c>
      <c r="H1064" s="4">
        <f t="shared" si="2"/>
        <v>4.9198249999999994</v>
      </c>
      <c r="I1064" s="7"/>
      <c r="J1064" s="4">
        <f>AVERAGE(J30:J41)</f>
        <v>3.9048916666666664</v>
      </c>
      <c r="K1064" s="4">
        <f>AVERAGE(K30:K41)</f>
        <v>3.9843583333333332</v>
      </c>
      <c r="L1064" s="5">
        <f>SUM(L30:L41)</f>
        <v>361.77389999999997</v>
      </c>
      <c r="M1064" s="5">
        <f>SUM(M30:M41)</f>
        <v>142.0401</v>
      </c>
      <c r="N1064" s="5">
        <f>SUM(N30:N41)</f>
        <v>56.113899999999994</v>
      </c>
      <c r="O1064" s="5">
        <f>SUM(O30:O41)</f>
        <v>7.2496000000000018</v>
      </c>
      <c r="P1064" s="5">
        <f>SUM(P30:P41)</f>
        <v>16.906700000000001</v>
      </c>
      <c r="Q1064" s="5"/>
      <c r="R1064" s="5">
        <f>SUM(R30:R41)</f>
        <v>3.5999999999999992</v>
      </c>
    </row>
    <row r="1065" spans="1:18" ht="15" customHeight="1">
      <c r="A1065" s="3">
        <v>2016</v>
      </c>
      <c r="B1065" s="7">
        <f t="shared" ref="B1065:H1065" si="3">AVERAGE(B42:B53)</f>
        <v>4.1636416666666669</v>
      </c>
      <c r="C1065" s="7">
        <f t="shared" si="3"/>
        <v>4.1699250000000001</v>
      </c>
      <c r="D1065" s="7">
        <f t="shared" si="3"/>
        <v>4.1620166666666663</v>
      </c>
      <c r="E1065" s="7">
        <f t="shared" si="3"/>
        <v>4.1640083333333333</v>
      </c>
      <c r="F1065" s="4">
        <f t="shared" si="3"/>
        <v>4.8588916666666657</v>
      </c>
      <c r="G1065" s="7">
        <f t="shared" si="3"/>
        <v>4.1347000000000005</v>
      </c>
      <c r="H1065" s="4">
        <f t="shared" si="3"/>
        <v>5.064941666666666</v>
      </c>
      <c r="I1065" s="7"/>
      <c r="J1065" s="4">
        <f>AVERAGE(J42:J53)</f>
        <v>4.0473916666666669</v>
      </c>
      <c r="K1065" s="5"/>
      <c r="L1065" s="5">
        <f>SUM(L42:L53)</f>
        <v>356.48229999999995</v>
      </c>
      <c r="M1065" s="5">
        <f>SUM(M42:M53)</f>
        <v>142.42920000000001</v>
      </c>
      <c r="N1065" s="5">
        <f>SUM(N42:N53)</f>
        <v>58.377000000000002</v>
      </c>
      <c r="O1065" s="5">
        <f>SUM(O42:O53)</f>
        <v>5.3597999999999999</v>
      </c>
      <c r="P1065" s="5">
        <f>SUM(P42:P53)</f>
        <v>20.483299999999996</v>
      </c>
      <c r="Q1065" s="5"/>
      <c r="R1065" s="5">
        <f>SUM(R42:R53)</f>
        <v>3.5999999999999992</v>
      </c>
    </row>
    <row r="1066" spans="1:18" ht="15" customHeight="1">
      <c r="A1066" s="3">
        <v>2017</v>
      </c>
      <c r="B1066" s="7">
        <f t="shared" ref="B1066:J1066" si="4">AVERAGE(B54:B65)</f>
        <v>4.6439166666666667</v>
      </c>
      <c r="C1066" s="7">
        <f t="shared" si="4"/>
        <v>4.6502083333333335</v>
      </c>
      <c r="D1066" s="7">
        <f t="shared" si="4"/>
        <v>4.6435416666666667</v>
      </c>
      <c r="E1066" s="7">
        <f t="shared" si="4"/>
        <v>4.6451250000000002</v>
      </c>
      <c r="F1066" s="4">
        <f t="shared" si="4"/>
        <v>5.3391500000000001</v>
      </c>
      <c r="G1066" s="7">
        <f t="shared" si="4"/>
        <v>4.6078083333333337</v>
      </c>
      <c r="H1066" s="4">
        <f t="shared" si="4"/>
        <v>5.5385249999999999</v>
      </c>
      <c r="I1066" s="7">
        <f t="shared" si="4"/>
        <v>4.6544583333333334</v>
      </c>
      <c r="J1066" s="4">
        <f t="shared" si="4"/>
        <v>4.5124166666666676</v>
      </c>
      <c r="K1066" s="4"/>
      <c r="L1066" s="5">
        <f t="shared" ref="L1066:Q1066" si="5">SUM(L54:L65)</f>
        <v>355.53689999999995</v>
      </c>
      <c r="M1066" s="5">
        <f t="shared" si="5"/>
        <v>142.0401</v>
      </c>
      <c r="N1066" s="5">
        <f t="shared" si="5"/>
        <v>58.217499999999994</v>
      </c>
      <c r="O1066" s="5">
        <f t="shared" si="5"/>
        <v>4.4046000000000003</v>
      </c>
      <c r="P1066" s="5">
        <f t="shared" si="5"/>
        <v>20.590200000000003</v>
      </c>
      <c r="Q1066" s="5">
        <f t="shared" si="5"/>
        <v>198.18529999999998</v>
      </c>
      <c r="R1066" s="5"/>
    </row>
    <row r="1067" spans="1:18" ht="15" customHeight="1">
      <c r="A1067" s="3">
        <v>2018</v>
      </c>
      <c r="B1067" s="7">
        <f t="shared" ref="B1067:J1067" si="6">AVERAGE(B66:B77)</f>
        <v>4.8822583333333327</v>
      </c>
      <c r="C1067" s="7">
        <f t="shared" si="6"/>
        <v>4.8885416666666668</v>
      </c>
      <c r="D1067" s="7">
        <f t="shared" si="6"/>
        <v>4.8878166666666667</v>
      </c>
      <c r="E1067" s="7">
        <f t="shared" si="6"/>
        <v>4.8873249999999997</v>
      </c>
      <c r="F1067" s="4">
        <f t="shared" si="6"/>
        <v>5.5775083333333333</v>
      </c>
      <c r="G1067" s="7">
        <f t="shared" si="6"/>
        <v>4.8552749999999998</v>
      </c>
      <c r="H1067" s="4">
        <f t="shared" si="6"/>
        <v>5.7735500000000002</v>
      </c>
      <c r="I1067" s="7">
        <f t="shared" si="6"/>
        <v>4.8853583333333335</v>
      </c>
      <c r="J1067" s="4">
        <f t="shared" si="6"/>
        <v>4.7432083333333335</v>
      </c>
      <c r="K1067" s="4"/>
      <c r="L1067" s="5">
        <f t="shared" ref="L1067:Q1067" si="7">SUM(L66:L77)</f>
        <v>355.53689999999995</v>
      </c>
      <c r="M1067" s="5">
        <f t="shared" si="7"/>
        <v>142.0401</v>
      </c>
      <c r="N1067" s="5">
        <f t="shared" si="7"/>
        <v>58.217499999999994</v>
      </c>
      <c r="O1067" s="5">
        <f t="shared" si="7"/>
        <v>4.4046000000000003</v>
      </c>
      <c r="P1067" s="5">
        <f t="shared" si="7"/>
        <v>15.220499999999998</v>
      </c>
      <c r="Q1067" s="5">
        <f t="shared" si="7"/>
        <v>293.19730000000004</v>
      </c>
      <c r="R1067" s="5"/>
    </row>
    <row r="1068" spans="1:18" ht="15" customHeight="1">
      <c r="A1068" s="3">
        <v>2019</v>
      </c>
      <c r="B1068" s="7">
        <f t="shared" ref="B1068:J1068" si="8">AVERAGE(B78:B89)</f>
        <v>5.4586333333333323</v>
      </c>
      <c r="C1068" s="7">
        <f t="shared" si="8"/>
        <v>5.4649083333333337</v>
      </c>
      <c r="D1068" s="7">
        <f t="shared" si="8"/>
        <v>5.4641750000000009</v>
      </c>
      <c r="E1068" s="7">
        <f t="shared" si="8"/>
        <v>5.4637000000000002</v>
      </c>
      <c r="F1068" s="4">
        <f t="shared" si="8"/>
        <v>6.1538499999999985</v>
      </c>
      <c r="G1068" s="7">
        <f t="shared" si="8"/>
        <v>5.4235833333333332</v>
      </c>
      <c r="H1068" s="4">
        <f t="shared" si="8"/>
        <v>6.3418416666666673</v>
      </c>
      <c r="I1068" s="7">
        <f t="shared" si="8"/>
        <v>5.4437333333333333</v>
      </c>
      <c r="J1068" s="4">
        <f t="shared" si="8"/>
        <v>5.3012833333333331</v>
      </c>
      <c r="K1068" s="4"/>
      <c r="L1068" s="5">
        <f t="shared" ref="L1068:Q1068" si="9">SUM(L78:L89)</f>
        <v>355.53689999999995</v>
      </c>
      <c r="M1068" s="5">
        <f t="shared" si="9"/>
        <v>142.0401</v>
      </c>
      <c r="N1068" s="5">
        <f t="shared" si="9"/>
        <v>58.217499999999994</v>
      </c>
      <c r="O1068" s="5">
        <f t="shared" si="9"/>
        <v>4.4046000000000003</v>
      </c>
      <c r="P1068" s="5">
        <f t="shared" si="9"/>
        <v>15.220499999999998</v>
      </c>
      <c r="Q1068" s="5">
        <f t="shared" si="9"/>
        <v>290.24799999999999</v>
      </c>
      <c r="R1068" s="5"/>
    </row>
    <row r="1069" spans="1:18" ht="15" customHeight="1">
      <c r="A1069" s="3">
        <v>2020</v>
      </c>
      <c r="B1069" s="7">
        <f t="shared" ref="B1069:J1069" si="10">AVERAGE(B90:B101)</f>
        <v>5.6135416666666655</v>
      </c>
      <c r="C1069" s="7">
        <f t="shared" si="10"/>
        <v>5.6198249999999996</v>
      </c>
      <c r="D1069" s="7">
        <f t="shared" si="10"/>
        <v>5.6190833333333332</v>
      </c>
      <c r="E1069" s="7">
        <f t="shared" si="10"/>
        <v>5.6186083333333343</v>
      </c>
      <c r="F1069" s="4">
        <f t="shared" si="10"/>
        <v>6.3087583333333335</v>
      </c>
      <c r="G1069" s="7">
        <f t="shared" si="10"/>
        <v>5.576341666666667</v>
      </c>
      <c r="H1069" s="4">
        <f t="shared" si="10"/>
        <v>6.4945999999999993</v>
      </c>
      <c r="I1069" s="7">
        <f t="shared" si="10"/>
        <v>5.5937916666666672</v>
      </c>
      <c r="J1069" s="4">
        <f t="shared" si="10"/>
        <v>5.4512833333333335</v>
      </c>
      <c r="K1069" s="4"/>
      <c r="L1069" s="5">
        <f t="shared" ref="L1069:Q1069" si="11">SUM(L90:L101)</f>
        <v>356.48229999999995</v>
      </c>
      <c r="M1069" s="5">
        <f t="shared" si="11"/>
        <v>142.42920000000001</v>
      </c>
      <c r="N1069" s="5">
        <f t="shared" si="11"/>
        <v>58.377000000000002</v>
      </c>
      <c r="O1069" s="5">
        <f t="shared" si="11"/>
        <v>4.4165999999999999</v>
      </c>
      <c r="P1069" s="5">
        <f t="shared" si="11"/>
        <v>15.262199999999998</v>
      </c>
      <c r="Q1069" s="5">
        <f t="shared" si="11"/>
        <v>349.04309999999998</v>
      </c>
      <c r="R1069" s="5"/>
    </row>
    <row r="1070" spans="1:18" ht="15" customHeight="1">
      <c r="A1070" s="3">
        <v>2021</v>
      </c>
      <c r="B1070" s="7">
        <f t="shared" ref="B1070:J1070" si="12">AVERAGE(B102:B113)</f>
        <v>5.8200916666666664</v>
      </c>
      <c r="C1070" s="7">
        <f t="shared" si="12"/>
        <v>5.8263833333333332</v>
      </c>
      <c r="D1070" s="7">
        <f t="shared" si="12"/>
        <v>5.8256333333333332</v>
      </c>
      <c r="E1070" s="7">
        <f t="shared" si="12"/>
        <v>5.825166666666667</v>
      </c>
      <c r="F1070" s="4">
        <f t="shared" si="12"/>
        <v>6.5153166666666671</v>
      </c>
      <c r="G1070" s="7">
        <f t="shared" si="12"/>
        <v>5.7800166666666675</v>
      </c>
      <c r="H1070" s="4">
        <f t="shared" si="12"/>
        <v>6.6982833333333325</v>
      </c>
      <c r="I1070" s="7">
        <f t="shared" si="12"/>
        <v>5.7938916666666662</v>
      </c>
      <c r="J1070" s="4">
        <f t="shared" si="12"/>
        <v>5.6513083333333336</v>
      </c>
      <c r="K1070" s="4"/>
      <c r="L1070" s="5">
        <f t="shared" ref="L1070:Q1070" si="13">SUM(L102:L113)</f>
        <v>355.53689999999995</v>
      </c>
      <c r="M1070" s="5">
        <f t="shared" si="13"/>
        <v>142.0401</v>
      </c>
      <c r="N1070" s="5">
        <f t="shared" si="13"/>
        <v>58.217499999999994</v>
      </c>
      <c r="O1070" s="5">
        <f t="shared" si="13"/>
        <v>4.4046000000000003</v>
      </c>
      <c r="P1070" s="5">
        <f t="shared" si="13"/>
        <v>15.220499999999998</v>
      </c>
      <c r="Q1070" s="5">
        <f t="shared" si="13"/>
        <v>388.68129999999996</v>
      </c>
      <c r="R1070" s="5"/>
    </row>
    <row r="1071" spans="1:18" ht="15" customHeight="1">
      <c r="A1071" s="3">
        <v>2022</v>
      </c>
      <c r="B1071" s="7">
        <f t="shared" ref="B1071:J1071" si="14">AVERAGE(B114:B125)</f>
        <v>6.0266333333333328</v>
      </c>
      <c r="C1071" s="7">
        <f t="shared" si="14"/>
        <v>6.0329083333333342</v>
      </c>
      <c r="D1071" s="7">
        <f t="shared" si="14"/>
        <v>6.0321666666666678</v>
      </c>
      <c r="E1071" s="7">
        <f t="shared" si="14"/>
        <v>6.0316833333333335</v>
      </c>
      <c r="F1071" s="4">
        <f t="shared" si="14"/>
        <v>6.7218666666666671</v>
      </c>
      <c r="G1071" s="7">
        <f t="shared" si="14"/>
        <v>5.9836833333333326</v>
      </c>
      <c r="H1071" s="4">
        <f t="shared" si="14"/>
        <v>6.901933333333333</v>
      </c>
      <c r="I1071" s="7">
        <f t="shared" si="14"/>
        <v>5.9939999999999998</v>
      </c>
      <c r="J1071" s="4">
        <f t="shared" si="14"/>
        <v>5.8512999999999993</v>
      </c>
      <c r="K1071" s="4"/>
      <c r="L1071" s="5">
        <f t="shared" ref="L1071:Q1071" si="15">SUM(L114:L125)</f>
        <v>355.53689999999995</v>
      </c>
      <c r="M1071" s="5">
        <f t="shared" si="15"/>
        <v>142.0401</v>
      </c>
      <c r="N1071" s="5">
        <f t="shared" si="15"/>
        <v>58.217499999999994</v>
      </c>
      <c r="O1071" s="5">
        <f t="shared" si="15"/>
        <v>4.4046000000000003</v>
      </c>
      <c r="P1071" s="5">
        <f t="shared" si="15"/>
        <v>15.220499999999998</v>
      </c>
      <c r="Q1071" s="5">
        <f t="shared" si="15"/>
        <v>386.33820000000003</v>
      </c>
      <c r="R1071" s="5"/>
    </row>
    <row r="1072" spans="1:18" ht="15" customHeight="1">
      <c r="A1072" s="3">
        <v>2023</v>
      </c>
      <c r="B1072" s="7">
        <f t="shared" ref="B1072:J1072" si="16">AVERAGE(B126:B137)</f>
        <v>6.2331833333333337</v>
      </c>
      <c r="C1072" s="7">
        <f t="shared" si="16"/>
        <v>6.2394666666666678</v>
      </c>
      <c r="D1072" s="7">
        <f t="shared" si="16"/>
        <v>6.2387333333333332</v>
      </c>
      <c r="E1072" s="7">
        <f t="shared" si="16"/>
        <v>6.2382499999999999</v>
      </c>
      <c r="F1072" s="4">
        <f t="shared" si="16"/>
        <v>6.9284249999999998</v>
      </c>
      <c r="G1072" s="7">
        <f t="shared" si="16"/>
        <v>6.1873333333333322</v>
      </c>
      <c r="H1072" s="4">
        <f t="shared" si="16"/>
        <v>7.1055999999999999</v>
      </c>
      <c r="I1072" s="7">
        <f t="shared" si="16"/>
        <v>6.1940999999999997</v>
      </c>
      <c r="J1072" s="4">
        <f t="shared" si="16"/>
        <v>6.0512916666666667</v>
      </c>
      <c r="K1072" s="4"/>
      <c r="L1072" s="5">
        <f t="shared" ref="L1072:Q1072" si="17">SUM(L126:L137)</f>
        <v>355.53689999999995</v>
      </c>
      <c r="M1072" s="5">
        <f t="shared" si="17"/>
        <v>142.0401</v>
      </c>
      <c r="N1072" s="5">
        <f t="shared" si="17"/>
        <v>58.217499999999994</v>
      </c>
      <c r="O1072" s="5">
        <f t="shared" si="17"/>
        <v>4.4046000000000003</v>
      </c>
      <c r="P1072" s="5">
        <f t="shared" si="17"/>
        <v>15.220499999999998</v>
      </c>
      <c r="Q1072" s="5">
        <f t="shared" si="17"/>
        <v>384.12599999999998</v>
      </c>
      <c r="R1072" s="5"/>
    </row>
    <row r="1073" spans="1:18" ht="15" customHeight="1">
      <c r="A1073" s="3">
        <v>2024</v>
      </c>
      <c r="B1073" s="7">
        <f t="shared" ref="B1073:J1073" si="18">AVERAGE(B138:B149)</f>
        <v>6.4397250000000001</v>
      </c>
      <c r="C1073" s="7">
        <f t="shared" si="18"/>
        <v>6.4460083333333325</v>
      </c>
      <c r="D1073" s="7">
        <f t="shared" si="18"/>
        <v>6.4452833333333324</v>
      </c>
      <c r="E1073" s="7">
        <f t="shared" si="18"/>
        <v>6.4447916666666671</v>
      </c>
      <c r="F1073" s="4">
        <f t="shared" si="18"/>
        <v>7.1349583333333335</v>
      </c>
      <c r="G1073" s="7">
        <f t="shared" si="18"/>
        <v>6.3909999999999982</v>
      </c>
      <c r="H1073" s="4">
        <f t="shared" si="18"/>
        <v>7.3092583333333323</v>
      </c>
      <c r="I1073" s="7">
        <f t="shared" si="18"/>
        <v>6.3941833333333333</v>
      </c>
      <c r="J1073" s="4">
        <f t="shared" si="18"/>
        <v>6.2512666666666661</v>
      </c>
      <c r="K1073" s="4"/>
      <c r="L1073" s="5">
        <f t="shared" ref="L1073:Q1073" si="19">SUM(L138:L149)</f>
        <v>356.48229999999995</v>
      </c>
      <c r="M1073" s="5">
        <f t="shared" si="19"/>
        <v>142.42920000000001</v>
      </c>
      <c r="N1073" s="5">
        <f t="shared" si="19"/>
        <v>58.377000000000002</v>
      </c>
      <c r="O1073" s="5">
        <f t="shared" si="19"/>
        <v>4.4165999999999999</v>
      </c>
      <c r="P1073" s="5">
        <f t="shared" si="19"/>
        <v>15.262199999999998</v>
      </c>
      <c r="Q1073" s="5">
        <f t="shared" si="19"/>
        <v>383.00459999999998</v>
      </c>
      <c r="R1073" s="5"/>
    </row>
    <row r="1074" spans="1:18" ht="15" customHeight="1">
      <c r="A1074" s="3">
        <v>2025</v>
      </c>
      <c r="B1074" s="7">
        <f t="shared" ref="B1074:J1074" si="20">AVERAGE(B150:B161)</f>
        <v>6.5946416666666652</v>
      </c>
      <c r="C1074" s="7">
        <f t="shared" si="20"/>
        <v>6.6009166666666665</v>
      </c>
      <c r="D1074" s="7">
        <f t="shared" si="20"/>
        <v>6.6001916666666665</v>
      </c>
      <c r="E1074" s="7">
        <f t="shared" si="20"/>
        <v>6.5997083333333322</v>
      </c>
      <c r="F1074" s="4">
        <f t="shared" si="20"/>
        <v>7.289883333333333</v>
      </c>
      <c r="G1074" s="7">
        <f t="shared" si="20"/>
        <v>6.5437666666666665</v>
      </c>
      <c r="H1074" s="4">
        <f t="shared" si="20"/>
        <v>7.4620083333333325</v>
      </c>
      <c r="I1074" s="7">
        <f t="shared" si="20"/>
        <v>6.5442749999999998</v>
      </c>
      <c r="J1074" s="4">
        <f t="shared" si="20"/>
        <v>6.4012750000000009</v>
      </c>
      <c r="K1074" s="4"/>
      <c r="L1074" s="5">
        <f t="shared" ref="L1074:Q1074" si="21">SUM(L150:L161)</f>
        <v>355.53689999999995</v>
      </c>
      <c r="M1074" s="5">
        <f t="shared" si="21"/>
        <v>142.0401</v>
      </c>
      <c r="N1074" s="5">
        <f t="shared" si="21"/>
        <v>58.217499999999994</v>
      </c>
      <c r="O1074" s="5">
        <f t="shared" si="21"/>
        <v>4.4046000000000003</v>
      </c>
      <c r="P1074" s="5">
        <f t="shared" si="21"/>
        <v>15.220499999999998</v>
      </c>
      <c r="Q1074" s="5">
        <f t="shared" si="21"/>
        <v>379.76819999999998</v>
      </c>
      <c r="R1074" s="5"/>
    </row>
    <row r="1075" spans="1:18" ht="15" customHeight="1">
      <c r="A1075" s="3">
        <v>2026</v>
      </c>
      <c r="B1075" s="7">
        <f t="shared" ref="B1075:J1075" si="22">AVERAGE(B162:B173)</f>
        <v>6.8012000000000006</v>
      </c>
      <c r="C1075" s="7">
        <f t="shared" si="22"/>
        <v>6.8074666666666666</v>
      </c>
      <c r="D1075" s="7">
        <f t="shared" si="22"/>
        <v>6.8067333333333337</v>
      </c>
      <c r="E1075" s="7">
        <f t="shared" si="22"/>
        <v>6.8062583333333331</v>
      </c>
      <c r="F1075" s="4">
        <f t="shared" si="22"/>
        <v>7.4964249999999995</v>
      </c>
      <c r="G1075" s="7">
        <f t="shared" si="22"/>
        <v>6.7474249999999998</v>
      </c>
      <c r="H1075" s="4">
        <f t="shared" si="22"/>
        <v>7.6656666666666657</v>
      </c>
      <c r="I1075" s="7">
        <f t="shared" si="22"/>
        <v>6.7443666666666671</v>
      </c>
      <c r="J1075" s="4">
        <f t="shared" si="22"/>
        <v>6.6012833333333347</v>
      </c>
      <c r="K1075" s="4"/>
      <c r="L1075" s="5">
        <f t="shared" ref="L1075:Q1075" si="23">SUM(L162:L173)</f>
        <v>355.53689999999995</v>
      </c>
      <c r="M1075" s="5">
        <f t="shared" si="23"/>
        <v>142.0401</v>
      </c>
      <c r="N1075" s="5">
        <f t="shared" si="23"/>
        <v>58.217499999999994</v>
      </c>
      <c r="O1075" s="5">
        <f t="shared" si="23"/>
        <v>4.4046000000000003</v>
      </c>
      <c r="P1075" s="5">
        <f t="shared" si="23"/>
        <v>15.220499999999998</v>
      </c>
      <c r="Q1075" s="5">
        <f t="shared" si="23"/>
        <v>377.59969999999987</v>
      </c>
      <c r="R1075" s="5"/>
    </row>
    <row r="1076" spans="1:18" ht="15" customHeight="1">
      <c r="A1076" s="3">
        <v>2027</v>
      </c>
      <c r="B1076" s="7">
        <f t="shared" ref="B1076:J1076" si="24">AVERAGE(B174:B185)</f>
        <v>7.0593583333333347</v>
      </c>
      <c r="C1076" s="7">
        <f t="shared" si="24"/>
        <v>7.0656499999999989</v>
      </c>
      <c r="D1076" s="7">
        <f t="shared" si="24"/>
        <v>7.0649083333333342</v>
      </c>
      <c r="E1076" s="7">
        <f t="shared" si="24"/>
        <v>7.0644333333333336</v>
      </c>
      <c r="F1076" s="4">
        <f t="shared" si="24"/>
        <v>7.7546083333333335</v>
      </c>
      <c r="G1076" s="7">
        <f t="shared" si="24"/>
        <v>7.0020083333333334</v>
      </c>
      <c r="H1076" s="4">
        <f t="shared" si="24"/>
        <v>7.9202666666666666</v>
      </c>
      <c r="I1076" s="7">
        <f t="shared" si="24"/>
        <v>6.9944916666666659</v>
      </c>
      <c r="J1076" s="4">
        <f t="shared" si="24"/>
        <v>6.8512916666666657</v>
      </c>
      <c r="K1076" s="4"/>
      <c r="L1076" s="5">
        <f t="shared" ref="L1076:Q1076" si="25">SUM(L174:L185)</f>
        <v>355.53689999999995</v>
      </c>
      <c r="M1076" s="5">
        <f t="shared" si="25"/>
        <v>142.0401</v>
      </c>
      <c r="N1076" s="5">
        <f t="shared" si="25"/>
        <v>58.217499999999994</v>
      </c>
      <c r="O1076" s="5">
        <f t="shared" si="25"/>
        <v>4.4046000000000003</v>
      </c>
      <c r="P1076" s="5">
        <f t="shared" si="25"/>
        <v>15.220499999999998</v>
      </c>
      <c r="Q1076" s="5">
        <f t="shared" si="25"/>
        <v>375.43180000000001</v>
      </c>
      <c r="R1076" s="5"/>
    </row>
    <row r="1077" spans="1:18" ht="15" customHeight="1">
      <c r="A1077" s="3">
        <v>2028</v>
      </c>
      <c r="B1077" s="7">
        <f t="shared" ref="B1077:J1077" si="26">AVERAGE(B186:B197)</f>
        <v>7.3175499999999998</v>
      </c>
      <c r="C1077" s="7">
        <f t="shared" si="26"/>
        <v>7.3238333333333339</v>
      </c>
      <c r="D1077" s="7">
        <f t="shared" si="26"/>
        <v>7.3231083333333347</v>
      </c>
      <c r="E1077" s="7">
        <f t="shared" si="26"/>
        <v>7.3226249999999995</v>
      </c>
      <c r="F1077" s="4">
        <f t="shared" si="26"/>
        <v>8.0127749999999995</v>
      </c>
      <c r="G1077" s="7">
        <f t="shared" si="26"/>
        <v>7.2565916666666679</v>
      </c>
      <c r="H1077" s="4">
        <f t="shared" si="26"/>
        <v>8.1748583333333347</v>
      </c>
      <c r="I1077" s="7">
        <f t="shared" si="26"/>
        <v>7.2446333333333328</v>
      </c>
      <c r="J1077" s="4">
        <f t="shared" si="26"/>
        <v>7.1013000000000011</v>
      </c>
      <c r="K1077" s="4"/>
      <c r="L1077" s="5">
        <f t="shared" ref="L1077:Q1077" si="27">SUM(L186:L197)</f>
        <v>356.48229999999995</v>
      </c>
      <c r="M1077" s="5">
        <f t="shared" si="27"/>
        <v>142.42920000000001</v>
      </c>
      <c r="N1077" s="5">
        <f t="shared" si="27"/>
        <v>58.377000000000002</v>
      </c>
      <c r="O1077" s="5">
        <f t="shared" si="27"/>
        <v>4.4165999999999999</v>
      </c>
      <c r="P1077" s="5">
        <f t="shared" si="27"/>
        <v>15.262199999999998</v>
      </c>
      <c r="Q1077" s="5">
        <f t="shared" si="27"/>
        <v>374.28599999999994</v>
      </c>
      <c r="R1077" s="5"/>
    </row>
    <row r="1078" spans="1:18" ht="15" customHeight="1">
      <c r="A1078" s="3">
        <v>2029</v>
      </c>
      <c r="B1078" s="7">
        <f t="shared" ref="B1078:J1078" si="28">AVERAGE(B198:B209)</f>
        <v>7.6273750000000007</v>
      </c>
      <c r="C1078" s="7">
        <f t="shared" si="28"/>
        <v>7.633658333333333</v>
      </c>
      <c r="D1078" s="7">
        <f t="shared" si="28"/>
        <v>7.632908333333333</v>
      </c>
      <c r="E1078" s="7">
        <f t="shared" si="28"/>
        <v>7.6324416666666677</v>
      </c>
      <c r="F1078" s="4">
        <f t="shared" si="28"/>
        <v>8.3226166666666668</v>
      </c>
      <c r="G1078" s="7">
        <f t="shared" si="28"/>
        <v>7.5620833333333337</v>
      </c>
      <c r="H1078" s="4">
        <f t="shared" si="28"/>
        <v>8.4803583333333332</v>
      </c>
      <c r="I1078" s="7">
        <f t="shared" si="28"/>
        <v>7.5447833333333323</v>
      </c>
      <c r="J1078" s="4">
        <f t="shared" si="28"/>
        <v>7.4012833333333319</v>
      </c>
      <c r="K1078" s="4"/>
      <c r="L1078" s="5">
        <f t="shared" ref="L1078:Q1078" si="29">SUM(L198:L209)</f>
        <v>355.53689999999995</v>
      </c>
      <c r="M1078" s="5">
        <f t="shared" si="29"/>
        <v>142.0401</v>
      </c>
      <c r="N1078" s="5">
        <f t="shared" si="29"/>
        <v>58.217499999999994</v>
      </c>
      <c r="O1078" s="5">
        <f t="shared" si="29"/>
        <v>4.4046000000000003</v>
      </c>
      <c r="P1078" s="5">
        <f t="shared" si="29"/>
        <v>15.220499999999998</v>
      </c>
      <c r="Q1078" s="5">
        <f t="shared" si="29"/>
        <v>371.09549999999996</v>
      </c>
      <c r="R1078" s="5"/>
    </row>
    <row r="1079" spans="1:18" ht="15" customHeight="1">
      <c r="A1079" s="3">
        <v>2030</v>
      </c>
      <c r="B1079" s="7">
        <f t="shared" ref="B1079:J1079" si="30">AVERAGE(B210:B221)</f>
        <v>7.9372000000000007</v>
      </c>
      <c r="C1079" s="7">
        <f t="shared" si="30"/>
        <v>7.943483333333333</v>
      </c>
      <c r="D1079" s="7">
        <f t="shared" si="30"/>
        <v>7.9427416666666675</v>
      </c>
      <c r="E1079" s="7">
        <f t="shared" si="30"/>
        <v>7.9422666666666677</v>
      </c>
      <c r="F1079" s="4">
        <f t="shared" si="30"/>
        <v>8.6324333333333332</v>
      </c>
      <c r="G1079" s="7">
        <f t="shared" si="30"/>
        <v>7.8675833333333332</v>
      </c>
      <c r="H1079" s="4">
        <f t="shared" si="30"/>
        <v>8.7858416666666681</v>
      </c>
      <c r="I1079" s="7">
        <f t="shared" si="30"/>
        <v>7.844924999999999</v>
      </c>
      <c r="J1079" s="4">
        <f t="shared" si="30"/>
        <v>7.7013083333333325</v>
      </c>
      <c r="K1079" s="4"/>
      <c r="L1079" s="5">
        <f t="shared" ref="L1079:Q1079" si="31">SUM(L210:L221)</f>
        <v>355.53689999999995</v>
      </c>
      <c r="M1079" s="5">
        <f t="shared" si="31"/>
        <v>142.0401</v>
      </c>
      <c r="N1079" s="5">
        <f t="shared" si="31"/>
        <v>58.217499999999994</v>
      </c>
      <c r="O1079" s="5">
        <f t="shared" si="31"/>
        <v>4.4046000000000003</v>
      </c>
      <c r="P1079" s="5">
        <f t="shared" si="31"/>
        <v>15.220499999999998</v>
      </c>
      <c r="Q1079" s="5">
        <f t="shared" si="31"/>
        <v>368.9276999999999</v>
      </c>
      <c r="R1079" s="5"/>
    </row>
    <row r="1080" spans="1:18" ht="15" customHeight="1">
      <c r="A1080" s="3">
        <v>2031</v>
      </c>
      <c r="B1080" s="7">
        <f t="shared" ref="B1080:J1080" si="32">AVERAGE(B222:B233)</f>
        <v>8.1282583333333331</v>
      </c>
      <c r="C1080" s="7">
        <f t="shared" si="32"/>
        <v>8.1345416666666654</v>
      </c>
      <c r="D1080" s="7">
        <f t="shared" si="32"/>
        <v>8.133799999999999</v>
      </c>
      <c r="E1080" s="7">
        <f t="shared" si="32"/>
        <v>8.1333166666666656</v>
      </c>
      <c r="F1080" s="4">
        <f t="shared" si="32"/>
        <v>8.8235083333333346</v>
      </c>
      <c r="G1080" s="7">
        <f t="shared" si="32"/>
        <v>8.0559833333333337</v>
      </c>
      <c r="H1080" s="4">
        <f t="shared" si="32"/>
        <v>8.9742499999999996</v>
      </c>
      <c r="I1080" s="7">
        <f t="shared" si="32"/>
        <v>8.030033333333332</v>
      </c>
      <c r="J1080" s="4">
        <f t="shared" si="32"/>
        <v>7.8863000000000012</v>
      </c>
      <c r="K1080" s="4"/>
      <c r="L1080" s="5">
        <f t="shared" ref="L1080:Q1080" si="33">SUM(L222:L233)</f>
        <v>355.53689999999995</v>
      </c>
      <c r="M1080" s="5">
        <f t="shared" si="33"/>
        <v>142.0401</v>
      </c>
      <c r="N1080" s="5">
        <f t="shared" si="33"/>
        <v>58.217499999999994</v>
      </c>
      <c r="O1080" s="5">
        <f t="shared" si="33"/>
        <v>4.4046000000000003</v>
      </c>
      <c r="P1080" s="5">
        <f t="shared" si="33"/>
        <v>15.220499999999998</v>
      </c>
      <c r="Q1080" s="5">
        <f t="shared" si="33"/>
        <v>365.31420000000003</v>
      </c>
      <c r="R1080" s="5"/>
    </row>
    <row r="1081" spans="1:18" ht="15" customHeight="1">
      <c r="A1081" s="3">
        <v>2032</v>
      </c>
      <c r="B1081" s="7">
        <f t="shared" ref="B1081:J1081" si="34">AVERAGE(B234:B245)</f>
        <v>8.3239250000000009</v>
      </c>
      <c r="C1081" s="7">
        <f t="shared" si="34"/>
        <v>8.3302166666666668</v>
      </c>
      <c r="D1081" s="7">
        <f t="shared" si="34"/>
        <v>8.3294583333333332</v>
      </c>
      <c r="E1081" s="7">
        <f t="shared" si="34"/>
        <v>8.328991666666667</v>
      </c>
      <c r="F1081" s="4">
        <f t="shared" si="34"/>
        <v>9.0191666666666688</v>
      </c>
      <c r="G1081" s="7">
        <f t="shared" si="34"/>
        <v>8.2489166666666645</v>
      </c>
      <c r="H1081" s="4">
        <f t="shared" si="34"/>
        <v>9.1671750000000003</v>
      </c>
      <c r="I1081" s="7">
        <f t="shared" si="34"/>
        <v>8.2195833333333326</v>
      </c>
      <c r="J1081" s="4">
        <f t="shared" si="34"/>
        <v>8.0757583333333347</v>
      </c>
      <c r="K1081" s="4"/>
      <c r="L1081" s="5">
        <f t="shared" ref="L1081:Q1081" si="35">SUM(L234:L245)</f>
        <v>356.48229999999995</v>
      </c>
      <c r="M1081" s="5">
        <f t="shared" si="35"/>
        <v>142.42920000000001</v>
      </c>
      <c r="N1081" s="5">
        <f t="shared" si="35"/>
        <v>58.377000000000002</v>
      </c>
      <c r="O1081" s="5">
        <f t="shared" si="35"/>
        <v>4.4165999999999999</v>
      </c>
      <c r="P1081" s="5">
        <f t="shared" si="35"/>
        <v>15.262199999999998</v>
      </c>
      <c r="Q1081" s="5">
        <f t="shared" si="35"/>
        <v>364.46999999999997</v>
      </c>
      <c r="R1081" s="5"/>
    </row>
    <row r="1082" spans="1:18" ht="15" customHeight="1">
      <c r="A1082" s="3">
        <v>2033</v>
      </c>
      <c r="B1082" s="7">
        <f t="shared" ref="B1082:J1082" si="36">AVERAGE(B246:B257)</f>
        <v>8.524283333333333</v>
      </c>
      <c r="C1082" s="7">
        <f t="shared" si="36"/>
        <v>8.5305583333333335</v>
      </c>
      <c r="D1082" s="7">
        <f t="shared" si="36"/>
        <v>8.5298250000000007</v>
      </c>
      <c r="E1082" s="7">
        <f t="shared" si="36"/>
        <v>8.5293416666666655</v>
      </c>
      <c r="F1082" s="4">
        <f t="shared" si="36"/>
        <v>9.2195250000000026</v>
      </c>
      <c r="G1082" s="7">
        <f t="shared" si="36"/>
        <v>8.446491666666665</v>
      </c>
      <c r="H1082" s="4">
        <f t="shared" si="36"/>
        <v>9.3647416666666672</v>
      </c>
      <c r="I1082" s="7">
        <f t="shared" si="36"/>
        <v>8.4136833333333332</v>
      </c>
      <c r="J1082" s="4">
        <f t="shared" si="36"/>
        <v>8.2697749999999992</v>
      </c>
      <c r="K1082" s="4"/>
      <c r="L1082" s="5">
        <f t="shared" ref="L1082:Q1082" si="37">SUM(L246:L257)</f>
        <v>355.53689999999995</v>
      </c>
      <c r="M1082" s="5">
        <f t="shared" si="37"/>
        <v>142.0401</v>
      </c>
      <c r="N1082" s="5">
        <f t="shared" si="37"/>
        <v>58.217499999999994</v>
      </c>
      <c r="O1082" s="5">
        <f t="shared" si="37"/>
        <v>4.4046000000000003</v>
      </c>
      <c r="P1082" s="5">
        <f t="shared" si="37"/>
        <v>15.220499999999998</v>
      </c>
      <c r="Q1082" s="5">
        <f t="shared" si="37"/>
        <v>362.33550000000002</v>
      </c>
      <c r="R1082" s="5"/>
    </row>
    <row r="1083" spans="1:18" ht="15" customHeight="1">
      <c r="A1083" s="3">
        <v>2034</v>
      </c>
      <c r="B1083" s="7">
        <f t="shared" ref="B1083:J1083" si="38">AVERAGE(B258:B269)</f>
        <v>8.7294833333333326</v>
      </c>
      <c r="C1083" s="7">
        <f t="shared" si="38"/>
        <v>8.7357583333333331</v>
      </c>
      <c r="D1083" s="7">
        <f t="shared" si="38"/>
        <v>8.735025000000002</v>
      </c>
      <c r="E1083" s="7">
        <f t="shared" si="38"/>
        <v>8.7345500000000005</v>
      </c>
      <c r="F1083" s="4">
        <f t="shared" si="38"/>
        <v>9.424691666666666</v>
      </c>
      <c r="G1083" s="7">
        <f t="shared" si="38"/>
        <v>8.6487916666666678</v>
      </c>
      <c r="H1083" s="4">
        <f t="shared" si="38"/>
        <v>9.5670583333333337</v>
      </c>
      <c r="I1083" s="7">
        <f t="shared" si="38"/>
        <v>8.6124500000000008</v>
      </c>
      <c r="J1083" s="4">
        <f t="shared" si="38"/>
        <v>8.4684499999999989</v>
      </c>
      <c r="K1083" s="4"/>
      <c r="L1083" s="5">
        <f t="shared" ref="L1083:Q1083" si="39">SUM(L258:L269)</f>
        <v>355.53689999999995</v>
      </c>
      <c r="M1083" s="5">
        <f t="shared" si="39"/>
        <v>142.0401</v>
      </c>
      <c r="N1083" s="5">
        <f t="shared" si="39"/>
        <v>58.217499999999994</v>
      </c>
      <c r="O1083" s="5">
        <f t="shared" si="39"/>
        <v>4.4046000000000003</v>
      </c>
      <c r="P1083" s="5">
        <f t="shared" si="39"/>
        <v>15.220499999999998</v>
      </c>
      <c r="Q1083" s="5">
        <f t="shared" si="39"/>
        <v>361.59120000000007</v>
      </c>
      <c r="R1083" s="5"/>
    </row>
    <row r="1084" spans="1:18" ht="15" customHeight="1">
      <c r="A1084" s="3">
        <v>2035</v>
      </c>
      <c r="B1084" s="7">
        <f t="shared" ref="B1084:J1084" si="40">AVERAGE(B270:B281)</f>
        <v>8.9395749999999996</v>
      </c>
      <c r="C1084" s="7">
        <f t="shared" si="40"/>
        <v>8.9458583333333319</v>
      </c>
      <c r="D1084" s="7">
        <f t="shared" si="40"/>
        <v>8.9451166666666655</v>
      </c>
      <c r="E1084" s="7">
        <f t="shared" si="40"/>
        <v>8.9446416666666657</v>
      </c>
      <c r="F1084" s="4">
        <f t="shared" si="40"/>
        <v>9.6348083333333321</v>
      </c>
      <c r="G1084" s="7">
        <f t="shared" si="40"/>
        <v>8.8559666666666654</v>
      </c>
      <c r="H1084" s="4">
        <f t="shared" si="40"/>
        <v>9.7742333333333331</v>
      </c>
      <c r="I1084" s="7">
        <f t="shared" si="40"/>
        <v>8.8159999999999989</v>
      </c>
      <c r="J1084" s="4">
        <f t="shared" si="40"/>
        <v>8.6718916666666654</v>
      </c>
      <c r="K1084" s="4"/>
      <c r="L1084" s="5">
        <f t="shared" ref="L1084:Q1084" si="41">SUM(L270:L281)</f>
        <v>355.53689999999995</v>
      </c>
      <c r="M1084" s="5">
        <f t="shared" si="41"/>
        <v>142.0401</v>
      </c>
      <c r="N1084" s="5">
        <f t="shared" si="41"/>
        <v>58.217499999999994</v>
      </c>
      <c r="O1084" s="5">
        <f t="shared" si="41"/>
        <v>4.4046000000000003</v>
      </c>
      <c r="P1084" s="5">
        <f t="shared" si="41"/>
        <v>15.220499999999998</v>
      </c>
      <c r="Q1084" s="5">
        <f t="shared" si="41"/>
        <v>360.82469999999995</v>
      </c>
      <c r="R1084" s="5"/>
    </row>
    <row r="1085" spans="1:18" ht="15" customHeight="1">
      <c r="A1085" s="3">
        <v>2036</v>
      </c>
      <c r="B1085" s="7">
        <f t="shared" ref="B1085:J1085" si="42">AVERAGE(B282:B293)</f>
        <v>9.1547083333333337</v>
      </c>
      <c r="C1085" s="7">
        <f t="shared" si="42"/>
        <v>9.1609999999999996</v>
      </c>
      <c r="D1085" s="7">
        <f t="shared" si="42"/>
        <v>9.1602666666666686</v>
      </c>
      <c r="E1085" s="7">
        <f t="shared" si="42"/>
        <v>9.1597833333333334</v>
      </c>
      <c r="F1085" s="4">
        <f t="shared" si="42"/>
        <v>9.8499500000000015</v>
      </c>
      <c r="G1085" s="7">
        <f t="shared" si="42"/>
        <v>9.0681083333333348</v>
      </c>
      <c r="H1085" s="4">
        <f t="shared" si="42"/>
        <v>9.9863916666666679</v>
      </c>
      <c r="I1085" s="7">
        <f t="shared" si="42"/>
        <v>9.0244333333333326</v>
      </c>
      <c r="J1085" s="4">
        <f t="shared" si="42"/>
        <v>8.8802333333333348</v>
      </c>
      <c r="K1085" s="4"/>
      <c r="L1085" s="5">
        <f t="shared" ref="L1085:Q1085" si="43">SUM(L282:L293)</f>
        <v>356.48229999999995</v>
      </c>
      <c r="M1085" s="5">
        <f t="shared" si="43"/>
        <v>142.42920000000001</v>
      </c>
      <c r="N1085" s="5">
        <f t="shared" si="43"/>
        <v>58.377000000000002</v>
      </c>
      <c r="O1085" s="5">
        <f t="shared" si="43"/>
        <v>4.4165999999999999</v>
      </c>
      <c r="P1085" s="5">
        <f t="shared" si="43"/>
        <v>15.262199999999998</v>
      </c>
      <c r="Q1085" s="5">
        <f t="shared" si="43"/>
        <v>361.0446</v>
      </c>
      <c r="R1085" s="5"/>
    </row>
    <row r="1086" spans="1:18" ht="15" customHeight="1">
      <c r="A1086" s="3">
        <v>2037</v>
      </c>
      <c r="B1086" s="7">
        <f t="shared" ref="B1086:J1086" si="44">AVERAGE(B294:B305)</f>
        <v>9.3750416666666663</v>
      </c>
      <c r="C1086" s="7">
        <f t="shared" si="44"/>
        <v>9.3813333333333322</v>
      </c>
      <c r="D1086" s="7">
        <f t="shared" si="44"/>
        <v>9.3805916666666658</v>
      </c>
      <c r="E1086" s="7">
        <f t="shared" si="44"/>
        <v>9.3801083333333342</v>
      </c>
      <c r="F1086" s="4">
        <f t="shared" si="44"/>
        <v>10.070291666666668</v>
      </c>
      <c r="G1086" s="7">
        <f t="shared" si="44"/>
        <v>9.2853750000000002</v>
      </c>
      <c r="H1086" s="4">
        <f t="shared" si="44"/>
        <v>10.203633333333334</v>
      </c>
      <c r="I1086" s="7">
        <f t="shared" si="44"/>
        <v>9.2378833333333326</v>
      </c>
      <c r="J1086" s="4">
        <f t="shared" si="44"/>
        <v>9.0935583333333323</v>
      </c>
      <c r="K1086" s="4"/>
      <c r="L1086" s="5">
        <f t="shared" ref="L1086:Q1086" si="45">SUM(L294:L305)</f>
        <v>355.53689999999995</v>
      </c>
      <c r="M1086" s="5">
        <f t="shared" si="45"/>
        <v>142.0401</v>
      </c>
      <c r="N1086" s="5">
        <f t="shared" si="45"/>
        <v>58.217499999999994</v>
      </c>
      <c r="O1086" s="5">
        <f t="shared" si="45"/>
        <v>4.4046000000000003</v>
      </c>
      <c r="P1086" s="5">
        <f t="shared" si="45"/>
        <v>15.220499999999998</v>
      </c>
      <c r="Q1086" s="5">
        <f t="shared" si="45"/>
        <v>359.29169999999999</v>
      </c>
      <c r="R1086" s="5"/>
    </row>
    <row r="1087" spans="1:18" ht="15" customHeight="1">
      <c r="A1087" s="3">
        <f t="shared" ref="A1087:A1118" si="46">A1086+1</f>
        <v>2038</v>
      </c>
      <c r="B1087" s="7">
        <f t="shared" ref="B1087:J1087" si="47">AVERAGE(B306:B317)</f>
        <v>9.6006666666666671</v>
      </c>
      <c r="C1087" s="7">
        <f t="shared" si="47"/>
        <v>9.6069499999999994</v>
      </c>
      <c r="D1087" s="7">
        <f t="shared" si="47"/>
        <v>9.606208333333333</v>
      </c>
      <c r="E1087" s="7">
        <f t="shared" si="47"/>
        <v>9.6057333333333332</v>
      </c>
      <c r="F1087" s="4">
        <f t="shared" si="47"/>
        <v>10.295883333333332</v>
      </c>
      <c r="G1087" s="7">
        <f t="shared" si="47"/>
        <v>9.5078416666666659</v>
      </c>
      <c r="H1087" s="4">
        <f t="shared" si="47"/>
        <v>10.4261</v>
      </c>
      <c r="I1087" s="7">
        <f t="shared" si="47"/>
        <v>9.4564583333333339</v>
      </c>
      <c r="J1087" s="4">
        <f t="shared" si="47"/>
        <v>9.3120416666666657</v>
      </c>
      <c r="K1087" s="4"/>
      <c r="L1087" s="5">
        <f t="shared" ref="L1087:Q1087" si="48">SUM(L306:L317)</f>
        <v>355.53689999999995</v>
      </c>
      <c r="M1087" s="5">
        <f t="shared" si="48"/>
        <v>142.0401</v>
      </c>
      <c r="N1087" s="5">
        <f t="shared" si="48"/>
        <v>58.217499999999994</v>
      </c>
      <c r="O1087" s="5">
        <f t="shared" si="48"/>
        <v>4.4046000000000003</v>
      </c>
      <c r="P1087" s="5">
        <f t="shared" si="48"/>
        <v>15.220499999999998</v>
      </c>
      <c r="Q1087" s="5">
        <f t="shared" si="48"/>
        <v>358.54670000000004</v>
      </c>
      <c r="R1087" s="5"/>
    </row>
    <row r="1088" spans="1:18" ht="15" customHeight="1">
      <c r="A1088" s="3">
        <f t="shared" si="46"/>
        <v>2039</v>
      </c>
      <c r="B1088" s="7">
        <f t="shared" ref="B1088:J1088" si="49">AVERAGE(B318:B329)</f>
        <v>9.8316916666666661</v>
      </c>
      <c r="C1088" s="7">
        <f t="shared" si="49"/>
        <v>9.8379750000000001</v>
      </c>
      <c r="D1088" s="7">
        <f t="shared" si="49"/>
        <v>9.8372583333333345</v>
      </c>
      <c r="E1088" s="7">
        <f t="shared" si="49"/>
        <v>9.8367750000000012</v>
      </c>
      <c r="F1088" s="4">
        <f t="shared" si="49"/>
        <v>10.526933333333332</v>
      </c>
      <c r="G1088" s="7">
        <f t="shared" si="49"/>
        <v>9.7356499999999997</v>
      </c>
      <c r="H1088" s="4">
        <f t="shared" si="49"/>
        <v>10.653933333333333</v>
      </c>
      <c r="I1088" s="7">
        <f t="shared" si="49"/>
        <v>9.6802916666666672</v>
      </c>
      <c r="J1088" s="4">
        <f t="shared" si="49"/>
        <v>9.5357500000000002</v>
      </c>
      <c r="K1088" s="6"/>
      <c r="L1088" s="5">
        <f t="shared" ref="L1088:Q1088" si="50">SUM(L318:L329)</f>
        <v>355.53689999999995</v>
      </c>
      <c r="M1088" s="5">
        <f t="shared" si="50"/>
        <v>142.0401</v>
      </c>
      <c r="N1088" s="5">
        <f t="shared" si="50"/>
        <v>58.217499999999994</v>
      </c>
      <c r="O1088" s="5">
        <f t="shared" si="50"/>
        <v>4.4046000000000003</v>
      </c>
      <c r="P1088" s="5">
        <f t="shared" si="50"/>
        <v>15.220499999999998</v>
      </c>
      <c r="Q1088" s="5">
        <f t="shared" si="50"/>
        <v>357.78019999999998</v>
      </c>
      <c r="R1088" s="5"/>
    </row>
    <row r="1089" spans="1:18" ht="15" customHeight="1">
      <c r="A1089" s="3">
        <f t="shared" si="46"/>
        <v>2040</v>
      </c>
      <c r="B1089" s="7">
        <f t="shared" ref="B1089:J1089" si="51">AVERAGE(B330:B341)</f>
        <v>10.068275000000002</v>
      </c>
      <c r="C1089" s="7">
        <f t="shared" si="51"/>
        <v>10.074558333333332</v>
      </c>
      <c r="D1089" s="7">
        <f t="shared" si="51"/>
        <v>10.073833333333335</v>
      </c>
      <c r="E1089" s="7">
        <f t="shared" si="51"/>
        <v>10.07335</v>
      </c>
      <c r="F1089" s="4">
        <f t="shared" si="51"/>
        <v>10.763516666666666</v>
      </c>
      <c r="G1089" s="7">
        <f t="shared" si="51"/>
        <v>9.9689416666666677</v>
      </c>
      <c r="H1089" s="4">
        <f t="shared" si="51"/>
        <v>10.887208333333334</v>
      </c>
      <c r="I1089" s="7">
        <f t="shared" si="51"/>
        <v>9.9094750000000005</v>
      </c>
      <c r="J1089" s="4">
        <f t="shared" si="51"/>
        <v>9.7648166666666665</v>
      </c>
      <c r="K1089" s="6"/>
      <c r="L1089" s="5">
        <f t="shared" ref="L1089:Q1089" si="52">SUM(L330:L341)</f>
        <v>356.48229999999995</v>
      </c>
      <c r="M1089" s="5">
        <f t="shared" si="52"/>
        <v>142.42920000000001</v>
      </c>
      <c r="N1089" s="5">
        <f t="shared" si="52"/>
        <v>58.377000000000002</v>
      </c>
      <c r="O1089" s="5">
        <f t="shared" si="52"/>
        <v>4.4165999999999999</v>
      </c>
      <c r="P1089" s="5">
        <f t="shared" si="52"/>
        <v>15.262199999999998</v>
      </c>
      <c r="Q1089" s="5">
        <f t="shared" si="52"/>
        <v>357.99180000000001</v>
      </c>
      <c r="R1089" s="5"/>
    </row>
    <row r="1090" spans="1:18" ht="15" customHeight="1">
      <c r="A1090" s="3">
        <f t="shared" si="46"/>
        <v>2041</v>
      </c>
      <c r="B1090" s="7">
        <f t="shared" ref="B1090:J1090" si="53">AVERAGE(B342:B353)</f>
        <v>10.310566666666668</v>
      </c>
      <c r="C1090" s="7">
        <f t="shared" si="53"/>
        <v>10.316841666666667</v>
      </c>
      <c r="D1090" s="7">
        <f t="shared" si="53"/>
        <v>10.316099999999999</v>
      </c>
      <c r="E1090" s="7">
        <f t="shared" si="53"/>
        <v>10.315625000000001</v>
      </c>
      <c r="F1090" s="4">
        <f t="shared" si="53"/>
        <v>11.005775</v>
      </c>
      <c r="G1090" s="7">
        <f t="shared" si="53"/>
        <v>10.207841666666665</v>
      </c>
      <c r="H1090" s="4">
        <f t="shared" si="53"/>
        <v>11.126100000000001</v>
      </c>
      <c r="I1090" s="7">
        <f t="shared" si="53"/>
        <v>10.144191666666666</v>
      </c>
      <c r="J1090" s="4">
        <f t="shared" si="53"/>
        <v>9.9994250000000005</v>
      </c>
      <c r="K1090" s="6"/>
      <c r="L1090" s="5">
        <f t="shared" ref="L1090:Q1090" si="54">SUM(L342:L353)</f>
        <v>355.53689999999995</v>
      </c>
      <c r="M1090" s="5">
        <f t="shared" si="54"/>
        <v>142.0401</v>
      </c>
      <c r="N1090" s="5">
        <f t="shared" si="54"/>
        <v>58.217499999999994</v>
      </c>
      <c r="O1090" s="5">
        <f t="shared" si="54"/>
        <v>4.4046000000000003</v>
      </c>
      <c r="P1090" s="5">
        <f t="shared" si="54"/>
        <v>15.220499999999998</v>
      </c>
      <c r="Q1090" s="5">
        <f t="shared" si="54"/>
        <v>356.26930000000004</v>
      </c>
      <c r="R1090" s="5"/>
    </row>
    <row r="1091" spans="1:18" ht="15" customHeight="1">
      <c r="A1091" s="3">
        <f t="shared" si="46"/>
        <v>2042</v>
      </c>
      <c r="B1091" s="7">
        <f t="shared" ref="B1091:J1091" si="55">AVERAGE(B354:B365)</f>
        <v>10.55865</v>
      </c>
      <c r="C1091" s="7">
        <f t="shared" si="55"/>
        <v>10.564941666666668</v>
      </c>
      <c r="D1091" s="7">
        <f t="shared" si="55"/>
        <v>10.5642</v>
      </c>
      <c r="E1091" s="7">
        <f t="shared" si="55"/>
        <v>10.563725</v>
      </c>
      <c r="F1091" s="4">
        <f t="shared" si="55"/>
        <v>11.253891666666666</v>
      </c>
      <c r="G1091" s="7">
        <f t="shared" si="55"/>
        <v>10.452458333333334</v>
      </c>
      <c r="H1091" s="4">
        <f t="shared" si="55"/>
        <v>11.370716666666667</v>
      </c>
      <c r="I1091" s="7">
        <f t="shared" si="55"/>
        <v>10.384541666666667</v>
      </c>
      <c r="J1091" s="4">
        <f t="shared" si="55"/>
        <v>10.239641666666666</v>
      </c>
      <c r="K1091" s="6"/>
      <c r="L1091" s="5">
        <f t="shared" ref="L1091:Q1091" si="56">SUM(L354:L365)</f>
        <v>355.53689999999995</v>
      </c>
      <c r="M1091" s="5">
        <f t="shared" si="56"/>
        <v>142.0401</v>
      </c>
      <c r="N1091" s="5">
        <f t="shared" si="56"/>
        <v>58.217499999999994</v>
      </c>
      <c r="O1091" s="5">
        <f t="shared" si="56"/>
        <v>4.4046000000000003</v>
      </c>
      <c r="P1091" s="5">
        <f t="shared" si="56"/>
        <v>15.220499999999998</v>
      </c>
      <c r="Q1091" s="5">
        <f t="shared" si="56"/>
        <v>242.47669999999997</v>
      </c>
      <c r="R1091" s="5"/>
    </row>
    <row r="1092" spans="1:18" ht="15" customHeight="1">
      <c r="A1092" s="3">
        <f t="shared" si="46"/>
        <v>2043</v>
      </c>
      <c r="B1092" s="7">
        <f t="shared" ref="B1092:J1092" si="57">AVERAGE(B366:B377)</f>
        <v>10.812708333333333</v>
      </c>
      <c r="C1092" s="7">
        <f t="shared" si="57"/>
        <v>10.818991666666669</v>
      </c>
      <c r="D1092" s="7">
        <f t="shared" si="57"/>
        <v>10.818241666666665</v>
      </c>
      <c r="E1092" s="7">
        <f t="shared" si="57"/>
        <v>10.817766666666669</v>
      </c>
      <c r="F1092" s="4">
        <f t="shared" si="57"/>
        <v>11.507949999999999</v>
      </c>
      <c r="G1092" s="7">
        <f t="shared" si="57"/>
        <v>10.702991666666668</v>
      </c>
      <c r="H1092" s="4">
        <f t="shared" si="57"/>
        <v>11.621233333333331</v>
      </c>
      <c r="I1092" s="7">
        <f t="shared" si="57"/>
        <v>10.630666666666668</v>
      </c>
      <c r="J1092" s="4">
        <f t="shared" si="57"/>
        <v>10.48565</v>
      </c>
      <c r="K1092" s="6"/>
      <c r="L1092" s="5">
        <f t="shared" ref="L1092:Q1092" si="58">SUM(L366:L377)</f>
        <v>355.53689999999995</v>
      </c>
      <c r="M1092" s="5">
        <f t="shared" si="58"/>
        <v>142.0401</v>
      </c>
      <c r="N1092" s="5">
        <f t="shared" si="58"/>
        <v>58.217499999999994</v>
      </c>
      <c r="O1092" s="5">
        <f t="shared" si="58"/>
        <v>4.4046000000000003</v>
      </c>
      <c r="P1092" s="5">
        <f t="shared" si="58"/>
        <v>15.220499999999998</v>
      </c>
      <c r="Q1092" s="5">
        <f t="shared" si="58"/>
        <v>241.71019999999996</v>
      </c>
      <c r="R1092" s="5"/>
    </row>
    <row r="1093" spans="1:18" ht="15" customHeight="1">
      <c r="A1093" s="3">
        <f t="shared" si="46"/>
        <v>2044</v>
      </c>
      <c r="B1093" s="7">
        <f t="shared" ref="B1093:J1093" si="59">AVERAGE(B378:B389)</f>
        <v>11.072866666666668</v>
      </c>
      <c r="C1093" s="7">
        <f t="shared" si="59"/>
        <v>11.07915</v>
      </c>
      <c r="D1093" s="7">
        <f t="shared" si="59"/>
        <v>11.078416666666667</v>
      </c>
      <c r="E1093" s="7">
        <f t="shared" si="59"/>
        <v>11.077925</v>
      </c>
      <c r="F1093" s="4">
        <f t="shared" si="59"/>
        <v>11.768108333333332</v>
      </c>
      <c r="G1093" s="7">
        <f t="shared" si="59"/>
        <v>10.959491666666665</v>
      </c>
      <c r="H1093" s="4">
        <f t="shared" si="59"/>
        <v>11.877766666666666</v>
      </c>
      <c r="I1093" s="7">
        <f t="shared" si="59"/>
        <v>10.882716666666667</v>
      </c>
      <c r="J1093" s="4">
        <f t="shared" si="59"/>
        <v>10.737566666666666</v>
      </c>
      <c r="K1093" s="6"/>
      <c r="L1093" s="5">
        <f t="shared" ref="L1093:Q1093" si="60">SUM(L378:L389)</f>
        <v>356.48229999999995</v>
      </c>
      <c r="M1093" s="5">
        <f t="shared" si="60"/>
        <v>142.42920000000001</v>
      </c>
      <c r="N1093" s="5">
        <f t="shared" si="60"/>
        <v>58.377000000000002</v>
      </c>
      <c r="O1093" s="5">
        <f t="shared" si="60"/>
        <v>4.4165999999999999</v>
      </c>
      <c r="P1093" s="5">
        <f t="shared" si="60"/>
        <v>15.262199999999998</v>
      </c>
      <c r="Q1093" s="5">
        <f t="shared" si="60"/>
        <v>241.58220000000006</v>
      </c>
      <c r="R1093" s="5"/>
    </row>
    <row r="1094" spans="1:18" ht="15" customHeight="1">
      <c r="A1094" s="3">
        <f t="shared" si="46"/>
        <v>2045</v>
      </c>
      <c r="B1094" s="7">
        <f t="shared" ref="B1094:J1094" si="61">AVERAGE(B390:B401)</f>
        <v>11.339291666666668</v>
      </c>
      <c r="C1094" s="7">
        <f t="shared" si="61"/>
        <v>11.345575000000002</v>
      </c>
      <c r="D1094" s="7">
        <f t="shared" si="61"/>
        <v>11.344825</v>
      </c>
      <c r="E1094" s="7">
        <f t="shared" si="61"/>
        <v>11.34435</v>
      </c>
      <c r="F1094" s="4">
        <f t="shared" si="61"/>
        <v>12.034516666666667</v>
      </c>
      <c r="G1094" s="7">
        <f t="shared" si="61"/>
        <v>11.222199999999999</v>
      </c>
      <c r="H1094" s="4">
        <f t="shared" si="61"/>
        <v>12.140458333333335</v>
      </c>
      <c r="I1094" s="7">
        <f t="shared" si="61"/>
        <v>11.140825</v>
      </c>
      <c r="J1094" s="4">
        <f t="shared" si="61"/>
        <v>10.995533333333334</v>
      </c>
      <c r="K1094" s="6"/>
      <c r="L1094" s="5">
        <f t="shared" ref="L1094:Q1094" si="62">SUM(L390:L401)</f>
        <v>355.53689999999995</v>
      </c>
      <c r="M1094" s="5">
        <f t="shared" si="62"/>
        <v>142.0401</v>
      </c>
      <c r="N1094" s="5">
        <f t="shared" si="62"/>
        <v>58.217499999999994</v>
      </c>
      <c r="O1094" s="5">
        <f t="shared" si="62"/>
        <v>4.4046000000000003</v>
      </c>
      <c r="P1094" s="5">
        <f t="shared" si="62"/>
        <v>15.220499999999998</v>
      </c>
      <c r="Q1094" s="5">
        <f t="shared" si="62"/>
        <v>240.15570000000002</v>
      </c>
      <c r="R1094" s="5"/>
    </row>
    <row r="1095" spans="1:18" ht="15" customHeight="1">
      <c r="A1095" s="3">
        <f t="shared" si="46"/>
        <v>2046</v>
      </c>
      <c r="B1095" s="7">
        <f t="shared" ref="B1095:J1095" si="63">AVERAGE(B402:B413)</f>
        <v>11.6121</v>
      </c>
      <c r="C1095" s="7">
        <f t="shared" si="63"/>
        <v>11.618366666666665</v>
      </c>
      <c r="D1095" s="7">
        <f t="shared" si="63"/>
        <v>11.617650000000003</v>
      </c>
      <c r="E1095" s="7">
        <f t="shared" si="63"/>
        <v>11.617166666666668</v>
      </c>
      <c r="F1095" s="4">
        <f t="shared" si="63"/>
        <v>12.307333333333332</v>
      </c>
      <c r="G1095" s="7">
        <f t="shared" si="63"/>
        <v>11.491216666666665</v>
      </c>
      <c r="H1095" s="4">
        <f t="shared" si="63"/>
        <v>12.409466666666667</v>
      </c>
      <c r="I1095" s="7">
        <f t="shared" si="63"/>
        <v>11.405099999999999</v>
      </c>
      <c r="J1095" s="4">
        <f t="shared" si="63"/>
        <v>11.259691666666669</v>
      </c>
      <c r="K1095" s="6"/>
      <c r="L1095" s="5">
        <f t="shared" ref="L1095:Q1095" si="64">SUM(L402:L413)</f>
        <v>355.53689999999995</v>
      </c>
      <c r="M1095" s="5">
        <f t="shared" si="64"/>
        <v>142.0401</v>
      </c>
      <c r="N1095" s="5">
        <f t="shared" si="64"/>
        <v>58.217499999999994</v>
      </c>
      <c r="O1095" s="5">
        <f t="shared" si="64"/>
        <v>4.4046000000000003</v>
      </c>
      <c r="P1095" s="5">
        <f t="shared" si="64"/>
        <v>15.220499999999998</v>
      </c>
      <c r="Q1095" s="5">
        <f t="shared" si="64"/>
        <v>239.38920000000005</v>
      </c>
      <c r="R1095" s="5"/>
    </row>
    <row r="1096" spans="1:18" ht="15" customHeight="1">
      <c r="A1096" s="3">
        <f t="shared" si="46"/>
        <v>2047</v>
      </c>
      <c r="B1096" s="7">
        <f t="shared" ref="B1096:J1096" si="65">AVERAGE(B414:B425)</f>
        <v>11.891458333333334</v>
      </c>
      <c r="C1096" s="7">
        <f t="shared" si="65"/>
        <v>11.897733333333333</v>
      </c>
      <c r="D1096" s="7">
        <f t="shared" si="65"/>
        <v>11.897</v>
      </c>
      <c r="E1096" s="7">
        <f t="shared" si="65"/>
        <v>11.896516666666669</v>
      </c>
      <c r="F1096" s="4">
        <f t="shared" si="65"/>
        <v>12.5867</v>
      </c>
      <c r="G1096" s="7">
        <f t="shared" si="65"/>
        <v>11.766674999999999</v>
      </c>
      <c r="H1096" s="4">
        <f t="shared" si="65"/>
        <v>12.684933333333333</v>
      </c>
      <c r="I1096" s="7">
        <f t="shared" si="65"/>
        <v>11.675766666666666</v>
      </c>
      <c r="J1096" s="4">
        <f t="shared" si="65"/>
        <v>11.530225</v>
      </c>
      <c r="K1096" s="6"/>
      <c r="L1096" s="5">
        <f t="shared" ref="L1096:Q1096" si="66">SUM(L414:L425)</f>
        <v>355.53689999999995</v>
      </c>
      <c r="M1096" s="5">
        <f t="shared" si="66"/>
        <v>142.0401</v>
      </c>
      <c r="N1096" s="5">
        <f t="shared" si="66"/>
        <v>58.217499999999994</v>
      </c>
      <c r="O1096" s="5">
        <f t="shared" si="66"/>
        <v>4.4046000000000003</v>
      </c>
      <c r="P1096" s="5">
        <f t="shared" si="66"/>
        <v>15.220499999999998</v>
      </c>
      <c r="Q1096" s="5">
        <f t="shared" si="66"/>
        <v>238.62270000000004</v>
      </c>
      <c r="R1096" s="5"/>
    </row>
    <row r="1097" spans="1:18" ht="15" customHeight="1">
      <c r="A1097" s="3">
        <f t="shared" si="46"/>
        <v>2048</v>
      </c>
      <c r="B1097" s="7">
        <f t="shared" ref="B1097:J1097" si="67">AVERAGE(B426:B437)</f>
        <v>12.177533333333335</v>
      </c>
      <c r="C1097" s="7">
        <f t="shared" si="67"/>
        <v>12.183816666666667</v>
      </c>
      <c r="D1097" s="7">
        <f t="shared" si="67"/>
        <v>12.183083333333331</v>
      </c>
      <c r="E1097" s="7">
        <f t="shared" si="67"/>
        <v>12.182599999999999</v>
      </c>
      <c r="F1097" s="4">
        <f t="shared" si="67"/>
        <v>12.872766666666665</v>
      </c>
      <c r="G1097" s="7">
        <f t="shared" si="67"/>
        <v>12.048774999999999</v>
      </c>
      <c r="H1097" s="4">
        <f t="shared" si="67"/>
        <v>12.967016666666668</v>
      </c>
      <c r="I1097" s="7">
        <f t="shared" si="67"/>
        <v>11.952908333333333</v>
      </c>
      <c r="J1097" s="4">
        <f t="shared" si="67"/>
        <v>11.807224999999997</v>
      </c>
      <c r="K1097" s="6"/>
      <c r="L1097" s="5">
        <f t="shared" ref="L1097:Q1097" si="68">SUM(L426:L437)</f>
        <v>356.48229999999995</v>
      </c>
      <c r="M1097" s="5">
        <f t="shared" si="68"/>
        <v>142.42920000000001</v>
      </c>
      <c r="N1097" s="5">
        <f t="shared" si="68"/>
        <v>58.377000000000002</v>
      </c>
      <c r="O1097" s="5">
        <f t="shared" si="68"/>
        <v>4.4165999999999999</v>
      </c>
      <c r="P1097" s="5">
        <f t="shared" si="68"/>
        <v>15.262199999999998</v>
      </c>
      <c r="Q1097" s="5">
        <f t="shared" si="68"/>
        <v>238.50780000000003</v>
      </c>
      <c r="R1097" s="5"/>
    </row>
    <row r="1098" spans="1:18" ht="15" customHeight="1">
      <c r="A1098" s="3">
        <f t="shared" si="46"/>
        <v>2049</v>
      </c>
      <c r="B1098" s="7">
        <f t="shared" ref="B1098:J1098" si="69">AVERAGE(B438:B449)</f>
        <v>12.470491666666666</v>
      </c>
      <c r="C1098" s="7">
        <f t="shared" si="69"/>
        <v>12.476783333333332</v>
      </c>
      <c r="D1098" s="7">
        <f t="shared" si="69"/>
        <v>12.476033333333334</v>
      </c>
      <c r="E1098" s="7">
        <f t="shared" si="69"/>
        <v>12.475558333333334</v>
      </c>
      <c r="F1098" s="4">
        <f t="shared" si="69"/>
        <v>13.165716666666667</v>
      </c>
      <c r="G1098" s="7">
        <f t="shared" si="69"/>
        <v>12.337633333333331</v>
      </c>
      <c r="H1098" s="4">
        <f t="shared" si="69"/>
        <v>13.255891666666665</v>
      </c>
      <c r="I1098" s="7">
        <f t="shared" si="69"/>
        <v>12.236716666666666</v>
      </c>
      <c r="J1098" s="4">
        <f t="shared" si="69"/>
        <v>12.090883333333332</v>
      </c>
      <c r="K1098" s="6"/>
      <c r="L1098" s="5">
        <f t="shared" ref="L1098:Q1098" si="70">SUM(L438:L449)</f>
        <v>355.53689999999995</v>
      </c>
      <c r="M1098" s="5">
        <f t="shared" si="70"/>
        <v>142.0401</v>
      </c>
      <c r="N1098" s="5">
        <f t="shared" si="70"/>
        <v>58.217499999999994</v>
      </c>
      <c r="O1098" s="5">
        <f t="shared" si="70"/>
        <v>4.4046000000000003</v>
      </c>
      <c r="P1098" s="5">
        <f t="shared" si="70"/>
        <v>15.220499999999998</v>
      </c>
      <c r="Q1098" s="5">
        <f t="shared" si="70"/>
        <v>237.08969999999999</v>
      </c>
      <c r="R1098" s="5"/>
    </row>
    <row r="1099" spans="1:18" ht="15" customHeight="1">
      <c r="A1099" s="3">
        <f t="shared" si="46"/>
        <v>2050</v>
      </c>
      <c r="B1099" s="7">
        <f t="shared" ref="B1099:J1099" si="71">AVERAGE(B450:B461)</f>
        <v>12.770483333333333</v>
      </c>
      <c r="C1099" s="7">
        <f t="shared" si="71"/>
        <v>12.776766666666667</v>
      </c>
      <c r="D1099" s="7">
        <f t="shared" si="71"/>
        <v>12.776016666666665</v>
      </c>
      <c r="E1099" s="7">
        <f t="shared" si="71"/>
        <v>12.775549999999997</v>
      </c>
      <c r="F1099" s="4">
        <f t="shared" si="71"/>
        <v>13.465708333333334</v>
      </c>
      <c r="G1099" s="7">
        <f t="shared" si="71"/>
        <v>12.633441666666664</v>
      </c>
      <c r="H1099" s="4">
        <f t="shared" si="71"/>
        <v>13.551700000000002</v>
      </c>
      <c r="I1099" s="7">
        <f t="shared" si="71"/>
        <v>12.527341666666667</v>
      </c>
      <c r="J1099" s="4">
        <f t="shared" si="71"/>
        <v>12.381374999999998</v>
      </c>
      <c r="K1099" s="6"/>
      <c r="L1099" s="5">
        <f t="shared" ref="L1099:Q1099" si="72">SUM(L450:L461)</f>
        <v>355.53689999999995</v>
      </c>
      <c r="M1099" s="5">
        <f t="shared" si="72"/>
        <v>142.0401</v>
      </c>
      <c r="N1099" s="5">
        <f t="shared" si="72"/>
        <v>58.217499999999994</v>
      </c>
      <c r="O1099" s="5">
        <f t="shared" si="72"/>
        <v>4.4046000000000003</v>
      </c>
      <c r="P1099" s="5">
        <f t="shared" si="72"/>
        <v>15.220499999999998</v>
      </c>
      <c r="Q1099" s="5">
        <f t="shared" si="72"/>
        <v>236.32320000000004</v>
      </c>
      <c r="R1099" s="5"/>
    </row>
    <row r="1100" spans="1:18" ht="15" customHeight="1">
      <c r="A1100" s="3">
        <f t="shared" si="46"/>
        <v>2051</v>
      </c>
      <c r="B1100" s="7">
        <f t="shared" ref="B1100:J1100" si="73">AVERAGE(B462:B473)</f>
        <v>13.077691666666666</v>
      </c>
      <c r="C1100" s="7">
        <f t="shared" si="73"/>
        <v>13.083966666666667</v>
      </c>
      <c r="D1100" s="7">
        <f t="shared" si="73"/>
        <v>13.083216666666667</v>
      </c>
      <c r="E1100" s="7">
        <f t="shared" si="73"/>
        <v>13.082741666666665</v>
      </c>
      <c r="F1100" s="4">
        <f t="shared" si="73"/>
        <v>13.772925000000001</v>
      </c>
      <c r="G1100" s="7">
        <f t="shared" si="73"/>
        <v>12.936341666666666</v>
      </c>
      <c r="H1100" s="4">
        <f t="shared" si="73"/>
        <v>13.854608333333333</v>
      </c>
      <c r="I1100" s="7">
        <f t="shared" si="73"/>
        <v>12.824941666666668</v>
      </c>
      <c r="J1100" s="4">
        <f t="shared" si="73"/>
        <v>12.678833333333332</v>
      </c>
      <c r="K1100" s="6"/>
      <c r="L1100" s="5">
        <f t="shared" ref="L1100:Q1100" si="74">SUM(L462:L473)</f>
        <v>355.53689999999995</v>
      </c>
      <c r="M1100" s="5">
        <f t="shared" si="74"/>
        <v>142.0401</v>
      </c>
      <c r="N1100" s="5">
        <f t="shared" si="74"/>
        <v>58.217499999999994</v>
      </c>
      <c r="O1100" s="5">
        <f t="shared" si="74"/>
        <v>4.4046000000000003</v>
      </c>
      <c r="P1100" s="5">
        <f t="shared" si="74"/>
        <v>15.220499999999998</v>
      </c>
      <c r="Q1100" s="5">
        <f t="shared" si="74"/>
        <v>235.57820000000007</v>
      </c>
      <c r="R1100" s="5"/>
    </row>
    <row r="1101" spans="1:18" ht="15" customHeight="1">
      <c r="A1101" s="3">
        <f t="shared" si="46"/>
        <v>2052</v>
      </c>
      <c r="B1101" s="7">
        <f t="shared" ref="B1101:J1101" si="75">AVERAGE(B474:B485)</f>
        <v>13.392266666666666</v>
      </c>
      <c r="C1101" s="7">
        <f t="shared" si="75"/>
        <v>13.398541666666668</v>
      </c>
      <c r="D1101" s="7">
        <f t="shared" si="75"/>
        <v>13.397808333333336</v>
      </c>
      <c r="E1101" s="7">
        <f t="shared" si="75"/>
        <v>13.397333333333334</v>
      </c>
      <c r="F1101" s="4">
        <f t="shared" si="75"/>
        <v>14.087499999999997</v>
      </c>
      <c r="G1101" s="7">
        <f t="shared" si="75"/>
        <v>13.246549999999999</v>
      </c>
      <c r="H1101" s="4">
        <f t="shared" si="75"/>
        <v>14.164808333333335</v>
      </c>
      <c r="I1101" s="7">
        <f t="shared" si="75"/>
        <v>13.129716666666667</v>
      </c>
      <c r="J1101" s="4">
        <f t="shared" si="75"/>
        <v>12.983424999999999</v>
      </c>
      <c r="K1101" s="6"/>
      <c r="L1101" s="5">
        <f t="shared" ref="L1101:Q1101" si="76">SUM(L474:L485)</f>
        <v>356.48229999999995</v>
      </c>
      <c r="M1101" s="5">
        <f t="shared" si="76"/>
        <v>142.42920000000001</v>
      </c>
      <c r="N1101" s="5">
        <f t="shared" si="76"/>
        <v>58.377000000000002</v>
      </c>
      <c r="O1101" s="5">
        <f t="shared" si="76"/>
        <v>4.4165999999999999</v>
      </c>
      <c r="P1101" s="5">
        <f t="shared" si="76"/>
        <v>15.262199999999998</v>
      </c>
      <c r="Q1101" s="5">
        <f t="shared" si="76"/>
        <v>235.45500000000004</v>
      </c>
      <c r="R1101" s="5"/>
    </row>
    <row r="1102" spans="1:18" ht="15" customHeight="1">
      <c r="A1102" s="3">
        <f t="shared" si="46"/>
        <v>2053</v>
      </c>
      <c r="B1102" s="7">
        <f t="shared" ref="B1102:J1102" si="77">AVERAGE(B486:B497)</f>
        <v>13.714408333333333</v>
      </c>
      <c r="C1102" s="7">
        <f t="shared" si="77"/>
        <v>13.720683333333334</v>
      </c>
      <c r="D1102" s="7">
        <f t="shared" si="77"/>
        <v>13.719933333333335</v>
      </c>
      <c r="E1102" s="7">
        <f t="shared" si="77"/>
        <v>13.719466666666667</v>
      </c>
      <c r="F1102" s="4">
        <f t="shared" si="77"/>
        <v>14.409641666666666</v>
      </c>
      <c r="G1102" s="7">
        <f t="shared" si="77"/>
        <v>13.564208333333328</v>
      </c>
      <c r="H1102" s="4">
        <f t="shared" si="77"/>
        <v>14.482458333333332</v>
      </c>
      <c r="I1102" s="7">
        <f t="shared" si="77"/>
        <v>13.441800000000001</v>
      </c>
      <c r="J1102" s="4">
        <f t="shared" si="77"/>
        <v>13.295358333333333</v>
      </c>
      <c r="K1102" s="6"/>
      <c r="L1102" s="5">
        <f t="shared" ref="L1102:Q1102" si="78">SUM(L486:L497)</f>
        <v>355.53689999999995</v>
      </c>
      <c r="M1102" s="5">
        <f t="shared" si="78"/>
        <v>142.0401</v>
      </c>
      <c r="N1102" s="5">
        <f t="shared" si="78"/>
        <v>58.217499999999994</v>
      </c>
      <c r="O1102" s="5">
        <f t="shared" si="78"/>
        <v>4.4046000000000003</v>
      </c>
      <c r="P1102" s="5">
        <f t="shared" si="78"/>
        <v>15.220499999999998</v>
      </c>
      <c r="Q1102" s="5">
        <f t="shared" si="78"/>
        <v>234.04520000000002</v>
      </c>
      <c r="R1102" s="5"/>
    </row>
    <row r="1103" spans="1:18" ht="15" customHeight="1">
      <c r="A1103" s="3">
        <f t="shared" si="46"/>
        <v>2054</v>
      </c>
      <c r="B1103" s="7">
        <f t="shared" ref="B1103:J1103" si="79">AVERAGE(B498:B509)</f>
        <v>14.044291666666666</v>
      </c>
      <c r="C1103" s="7">
        <f t="shared" si="79"/>
        <v>14.050575000000002</v>
      </c>
      <c r="D1103" s="7">
        <f t="shared" si="79"/>
        <v>14.049833333333334</v>
      </c>
      <c r="E1103" s="7">
        <f t="shared" si="79"/>
        <v>14.049358333333332</v>
      </c>
      <c r="F1103" s="4">
        <f t="shared" si="79"/>
        <v>14.739524999999999</v>
      </c>
      <c r="G1103" s="7">
        <f t="shared" si="79"/>
        <v>13.889449999999998</v>
      </c>
      <c r="H1103" s="4">
        <f t="shared" si="79"/>
        <v>14.807724999999998</v>
      </c>
      <c r="I1103" s="7">
        <f t="shared" si="79"/>
        <v>13.761358333333334</v>
      </c>
      <c r="J1103" s="4">
        <f t="shared" si="79"/>
        <v>13.614791666666669</v>
      </c>
      <c r="K1103" s="6"/>
      <c r="L1103" s="5">
        <f t="shared" ref="L1103:Q1103" si="80">SUM(L498:L509)</f>
        <v>355.53689999999995</v>
      </c>
      <c r="M1103" s="5">
        <f t="shared" si="80"/>
        <v>142.0401</v>
      </c>
      <c r="N1103" s="5">
        <f t="shared" si="80"/>
        <v>58.217499999999994</v>
      </c>
      <c r="O1103" s="5">
        <f t="shared" si="80"/>
        <v>4.4046000000000003</v>
      </c>
      <c r="P1103" s="5">
        <f t="shared" si="80"/>
        <v>15.220499999999998</v>
      </c>
      <c r="Q1103" s="5">
        <f t="shared" si="80"/>
        <v>233.30079999999998</v>
      </c>
      <c r="R1103" s="5"/>
    </row>
    <row r="1104" spans="1:18" ht="15" customHeight="1">
      <c r="A1104" s="3">
        <f t="shared" si="46"/>
        <v>2055</v>
      </c>
      <c r="B1104" s="7">
        <f t="shared" ref="B1104:J1104" si="81">AVERAGE(B510:B521)</f>
        <v>14.382091666666666</v>
      </c>
      <c r="C1104" s="7">
        <f t="shared" si="81"/>
        <v>14.388366666666663</v>
      </c>
      <c r="D1104" s="7">
        <f t="shared" si="81"/>
        <v>14.387625</v>
      </c>
      <c r="E1104" s="7">
        <f t="shared" si="81"/>
        <v>14.387158333333337</v>
      </c>
      <c r="F1104" s="4">
        <f t="shared" si="81"/>
        <v>15.07733333333333</v>
      </c>
      <c r="G1104" s="7">
        <f t="shared" si="81"/>
        <v>14.222566666666667</v>
      </c>
      <c r="H1104" s="4">
        <f t="shared" si="81"/>
        <v>15.140824999999998</v>
      </c>
      <c r="I1104" s="7">
        <f t="shared" si="81"/>
        <v>14.088633333333334</v>
      </c>
      <c r="J1104" s="4">
        <f t="shared" si="81"/>
        <v>13.941891666666669</v>
      </c>
      <c r="K1104" s="6"/>
      <c r="L1104" s="5">
        <f t="shared" ref="L1104:Q1104" si="82">SUM(L510:L521)</f>
        <v>355.53689999999995</v>
      </c>
      <c r="M1104" s="5">
        <f t="shared" si="82"/>
        <v>142.0401</v>
      </c>
      <c r="N1104" s="5">
        <f t="shared" si="82"/>
        <v>58.217499999999994</v>
      </c>
      <c r="O1104" s="5">
        <f t="shared" si="82"/>
        <v>4.4046000000000003</v>
      </c>
      <c r="P1104" s="5">
        <f t="shared" si="82"/>
        <v>15.220499999999998</v>
      </c>
      <c r="Q1104" s="5">
        <f t="shared" si="82"/>
        <v>232.55579999999998</v>
      </c>
      <c r="R1104" s="5"/>
    </row>
    <row r="1105" spans="1:18" ht="15" customHeight="1">
      <c r="A1105" s="3">
        <f t="shared" si="46"/>
        <v>2056</v>
      </c>
      <c r="B1105" s="7">
        <f t="shared" ref="B1105:J1105" si="83">AVERAGE(B522:B533)</f>
        <v>14.728016666666669</v>
      </c>
      <c r="C1105" s="7">
        <f t="shared" si="83"/>
        <v>14.734300000000003</v>
      </c>
      <c r="D1105" s="7">
        <f t="shared" si="83"/>
        <v>14.733566666666668</v>
      </c>
      <c r="E1105" s="7">
        <f t="shared" si="83"/>
        <v>14.733091666666665</v>
      </c>
      <c r="F1105" s="4">
        <f t="shared" si="83"/>
        <v>15.423249999999996</v>
      </c>
      <c r="G1105" s="7">
        <f t="shared" si="83"/>
        <v>14.563666666666668</v>
      </c>
      <c r="H1105" s="4">
        <f t="shared" si="83"/>
        <v>15.481916666666669</v>
      </c>
      <c r="I1105" s="7">
        <f t="shared" si="83"/>
        <v>14.423766666666666</v>
      </c>
      <c r="J1105" s="4">
        <f t="shared" si="83"/>
        <v>14.276858333333331</v>
      </c>
      <c r="K1105" s="6"/>
      <c r="L1105" s="5">
        <f t="shared" ref="L1105:Q1105" si="84">SUM(L522:L533)</f>
        <v>356.48229999999995</v>
      </c>
      <c r="M1105" s="5">
        <f t="shared" si="84"/>
        <v>142.42920000000001</v>
      </c>
      <c r="N1105" s="5">
        <f t="shared" si="84"/>
        <v>58.377000000000002</v>
      </c>
      <c r="O1105" s="5">
        <f t="shared" si="84"/>
        <v>4.4165999999999999</v>
      </c>
      <c r="P1105" s="5">
        <f t="shared" si="84"/>
        <v>15.262199999999998</v>
      </c>
      <c r="Q1105" s="5">
        <f t="shared" si="84"/>
        <v>232.44659999999996</v>
      </c>
      <c r="R1105" s="5"/>
    </row>
    <row r="1106" spans="1:18" ht="15" customHeight="1">
      <c r="A1106" s="3">
        <f t="shared" si="46"/>
        <v>2057</v>
      </c>
      <c r="B1106" s="7">
        <f t="shared" ref="B1106:J1106" si="85">AVERAGE(B534:B545)</f>
        <v>15.082241666666667</v>
      </c>
      <c r="C1106" s="7">
        <f t="shared" si="85"/>
        <v>15.088533333333336</v>
      </c>
      <c r="D1106" s="7">
        <f t="shared" si="85"/>
        <v>15.087791666666666</v>
      </c>
      <c r="E1106" s="7">
        <f t="shared" si="85"/>
        <v>15.087316666666666</v>
      </c>
      <c r="F1106" s="4">
        <f t="shared" si="85"/>
        <v>15.777483333333334</v>
      </c>
      <c r="G1106" s="7">
        <f t="shared" si="85"/>
        <v>14.912958333333334</v>
      </c>
      <c r="H1106" s="4">
        <f t="shared" si="85"/>
        <v>15.831208333333334</v>
      </c>
      <c r="I1106" s="7">
        <f t="shared" si="85"/>
        <v>14.766933333333332</v>
      </c>
      <c r="J1106" s="4">
        <f t="shared" si="85"/>
        <v>14.619841666666664</v>
      </c>
      <c r="K1106" s="6"/>
      <c r="L1106" s="5">
        <f t="shared" ref="L1106:Q1106" si="86">SUM(L534:L545)</f>
        <v>355.53689999999995</v>
      </c>
      <c r="M1106" s="5">
        <f t="shared" si="86"/>
        <v>142.0401</v>
      </c>
      <c r="N1106" s="5">
        <f t="shared" si="86"/>
        <v>58.217499999999994</v>
      </c>
      <c r="O1106" s="5">
        <f t="shared" si="86"/>
        <v>4.4046000000000003</v>
      </c>
      <c r="P1106" s="5">
        <f t="shared" si="86"/>
        <v>15.220499999999998</v>
      </c>
      <c r="Q1106" s="5">
        <f t="shared" si="86"/>
        <v>231.81149999999997</v>
      </c>
      <c r="R1106" s="5"/>
    </row>
    <row r="1107" spans="1:18" ht="15" customHeight="1">
      <c r="A1107" s="3">
        <f t="shared" si="46"/>
        <v>2058</v>
      </c>
      <c r="B1107" s="7">
        <f t="shared" ref="B1107:J1107" si="87">AVERAGE(B546:B557)</f>
        <v>15.445008333333334</v>
      </c>
      <c r="C1107" s="7">
        <f t="shared" si="87"/>
        <v>15.451283333333331</v>
      </c>
      <c r="D1107" s="7">
        <f t="shared" si="87"/>
        <v>15.450533333333333</v>
      </c>
      <c r="E1107" s="7">
        <f t="shared" si="87"/>
        <v>15.450058333333333</v>
      </c>
      <c r="F1107" s="4">
        <f t="shared" si="87"/>
        <v>16.140216666666667</v>
      </c>
      <c r="G1107" s="7">
        <f t="shared" si="87"/>
        <v>15.270641666666664</v>
      </c>
      <c r="H1107" s="4">
        <f t="shared" si="87"/>
        <v>16.188891666666663</v>
      </c>
      <c r="I1107" s="7">
        <f t="shared" si="87"/>
        <v>15.118350000000001</v>
      </c>
      <c r="J1107" s="4">
        <f t="shared" si="87"/>
        <v>14.9711</v>
      </c>
      <c r="K1107" s="6"/>
      <c r="L1107" s="5">
        <f t="shared" ref="L1107:Q1107" si="88">SUM(L546:L557)</f>
        <v>355.53689999999995</v>
      </c>
      <c r="M1107" s="5">
        <f t="shared" si="88"/>
        <v>142.0401</v>
      </c>
      <c r="N1107" s="5">
        <f t="shared" si="88"/>
        <v>58.217499999999994</v>
      </c>
      <c r="O1107" s="5">
        <f t="shared" si="88"/>
        <v>4.4046000000000003</v>
      </c>
      <c r="P1107" s="5">
        <f t="shared" si="88"/>
        <v>15.220499999999998</v>
      </c>
      <c r="Q1107" s="5">
        <f t="shared" si="88"/>
        <v>231.81149999999997</v>
      </c>
      <c r="R1107" s="5"/>
    </row>
    <row r="1108" spans="1:18" ht="15" customHeight="1">
      <c r="A1108" s="3">
        <f t="shared" si="46"/>
        <v>2059</v>
      </c>
      <c r="B1108" s="7">
        <f t="shared" ref="B1108:J1108" si="89">AVERAGE(B558:B569)</f>
        <v>15.816458333333332</v>
      </c>
      <c r="C1108" s="7">
        <f t="shared" si="89"/>
        <v>15.822733333333334</v>
      </c>
      <c r="D1108" s="7">
        <f t="shared" si="89"/>
        <v>15.821991666666667</v>
      </c>
      <c r="E1108" s="7">
        <f t="shared" si="89"/>
        <v>15.821508333333334</v>
      </c>
      <c r="F1108" s="4">
        <f t="shared" si="89"/>
        <v>16.511691666666668</v>
      </c>
      <c r="G1108" s="7">
        <f t="shared" si="89"/>
        <v>15.636925000000003</v>
      </c>
      <c r="H1108" s="4">
        <f t="shared" si="89"/>
        <v>16.555183333333336</v>
      </c>
      <c r="I1108" s="7">
        <f t="shared" si="89"/>
        <v>15.478250000000003</v>
      </c>
      <c r="J1108" s="4">
        <f t="shared" si="89"/>
        <v>15.330766666666667</v>
      </c>
      <c r="K1108" s="4"/>
      <c r="L1108" s="5">
        <f>SUM(L558:L569)</f>
        <v>355.53689999999995</v>
      </c>
      <c r="M1108" s="5">
        <f>SUM(M558:M569)</f>
        <v>142.0401</v>
      </c>
      <c r="N1108" s="5">
        <f>SUM(N558:N569)</f>
        <v>58.217499999999994</v>
      </c>
      <c r="O1108" s="5">
        <f>SUM(O547:O558)</f>
        <v>4.4046000000000003</v>
      </c>
      <c r="P1108" s="5">
        <f>SUM(P558:P569)</f>
        <v>15.220499999999998</v>
      </c>
      <c r="Q1108" s="5">
        <f>SUM(Q558:Q569)</f>
        <v>231.81149999999997</v>
      </c>
      <c r="R1108" s="5"/>
    </row>
    <row r="1109" spans="1:18" ht="15" customHeight="1">
      <c r="A1109" s="3">
        <f t="shared" si="46"/>
        <v>2060</v>
      </c>
      <c r="B1109" s="7">
        <f t="shared" ref="B1109:J1109" si="90">AVERAGE(B570:B581)</f>
        <v>16.196841666666668</v>
      </c>
      <c r="C1109" s="7">
        <f t="shared" si="90"/>
        <v>16.203116666666666</v>
      </c>
      <c r="D1109" s="7">
        <f t="shared" si="90"/>
        <v>16.202400000000001</v>
      </c>
      <c r="E1109" s="7">
        <f t="shared" si="90"/>
        <v>16.201908333333332</v>
      </c>
      <c r="F1109" s="4">
        <f t="shared" si="90"/>
        <v>16.892083333333336</v>
      </c>
      <c r="G1109" s="7">
        <f t="shared" si="90"/>
        <v>16.011991666666667</v>
      </c>
      <c r="H1109" s="4">
        <f t="shared" si="90"/>
        <v>16.930249999999997</v>
      </c>
      <c r="I1109" s="7">
        <f t="shared" si="90"/>
        <v>15.846750000000002</v>
      </c>
      <c r="J1109" s="4">
        <f t="shared" si="90"/>
        <v>15.699100000000001</v>
      </c>
      <c r="K1109" s="6"/>
      <c r="L1109" s="5">
        <f>SUM(L570:L581)</f>
        <v>356.48229999999995</v>
      </c>
      <c r="M1109" s="5">
        <f>SUM(M570:M581)</f>
        <v>142.42920000000001</v>
      </c>
      <c r="N1109" s="5">
        <f>SUM(N570:N581)</f>
        <v>58.377000000000002</v>
      </c>
      <c r="O1109" s="5">
        <f>SUM(O548:O559)</f>
        <v>4.4046000000000003</v>
      </c>
      <c r="P1109" s="5">
        <f>SUM(P570:P581)</f>
        <v>15.262199999999998</v>
      </c>
      <c r="Q1109" s="5">
        <f>SUM(Q570:Q581)</f>
        <v>232.44659999999996</v>
      </c>
      <c r="R1109" s="5"/>
    </row>
    <row r="1110" spans="1:18" ht="15" customHeight="1">
      <c r="A1110" s="3">
        <f t="shared" si="46"/>
        <v>2061</v>
      </c>
      <c r="B1110" s="7">
        <f t="shared" ref="B1110:J1110" si="91">AVERAGE(B582:B593)</f>
        <v>16.586366666666667</v>
      </c>
      <c r="C1110" s="7">
        <f t="shared" si="91"/>
        <v>16.592649999999999</v>
      </c>
      <c r="D1110" s="7">
        <f t="shared" si="91"/>
        <v>16.591916666666666</v>
      </c>
      <c r="E1110" s="7">
        <f t="shared" si="91"/>
        <v>16.591441666666668</v>
      </c>
      <c r="F1110" s="4">
        <f t="shared" si="91"/>
        <v>17.281591666666667</v>
      </c>
      <c r="G1110" s="7">
        <f t="shared" si="91"/>
        <v>16.396083333333333</v>
      </c>
      <c r="H1110" s="4">
        <f t="shared" si="91"/>
        <v>17.314358333333335</v>
      </c>
      <c r="I1110" s="7">
        <f t="shared" si="91"/>
        <v>16.224108333333334</v>
      </c>
      <c r="J1110" s="4">
        <f t="shared" si="91"/>
        <v>16.076291666666666</v>
      </c>
      <c r="K1110" s="6"/>
      <c r="L1110" s="5">
        <f>SUM(L582:L593)</f>
        <v>355.53689999999995</v>
      </c>
      <c r="M1110" s="5">
        <f>SUM(M582:M593)</f>
        <v>142.0401</v>
      </c>
      <c r="N1110" s="5">
        <f>SUM(N582:N593)</f>
        <v>58.217499999999994</v>
      </c>
      <c r="O1110" s="5">
        <f>SUM(O549:O560)</f>
        <v>4.4046000000000003</v>
      </c>
      <c r="P1110" s="5">
        <f>SUM(P582:P593)</f>
        <v>15.220499999999998</v>
      </c>
      <c r="Q1110" s="5">
        <f>SUM(Q582:Q593)</f>
        <v>231.81149999999997</v>
      </c>
      <c r="R1110" s="5"/>
    </row>
    <row r="1111" spans="1:18" ht="15" customHeight="1">
      <c r="A1111" s="3">
        <f t="shared" si="46"/>
        <v>2062</v>
      </c>
      <c r="B1111" s="4">
        <f t="shared" ref="B1111:J1120" ca="1" si="92">AVERAGE(OFFSET(B$594,($A1111-$A$1111)*12,0,12,1))</f>
        <v>16.985250000000001</v>
      </c>
      <c r="C1111" s="4">
        <f t="shared" ca="1" si="92"/>
        <v>16.991533333333333</v>
      </c>
      <c r="D1111" s="4">
        <f t="shared" ca="1" si="92"/>
        <v>16.9908</v>
      </c>
      <c r="E1111" s="4">
        <f t="shared" ca="1" si="92"/>
        <v>16.990316666666665</v>
      </c>
      <c r="F1111" s="4">
        <f t="shared" ca="1" si="92"/>
        <v>17.680499999999999</v>
      </c>
      <c r="G1111" s="4">
        <f t="shared" ca="1" si="92"/>
        <v>16.789408333333334</v>
      </c>
      <c r="H1111" s="4">
        <f t="shared" ca="1" si="92"/>
        <v>17.707674999999998</v>
      </c>
      <c r="I1111" s="4">
        <f t="shared" ca="1" si="92"/>
        <v>16.610524999999999</v>
      </c>
      <c r="J1111" s="4">
        <f t="shared" ca="1" si="92"/>
        <v>16.462525000000003</v>
      </c>
      <c r="K1111" s="4"/>
      <c r="L1111" s="5">
        <f t="shared" ref="L1111:Q1120" ca="1" si="93">SUM(OFFSET(L$594,($A1111-$A$1111)*12,0,12,1))</f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</row>
    <row r="1112" spans="1:18" ht="15" customHeight="1">
      <c r="A1112" s="3">
        <f t="shared" si="46"/>
        <v>2063</v>
      </c>
      <c r="B1112" s="4">
        <f t="shared" ca="1" si="92"/>
        <v>17.393716666666666</v>
      </c>
      <c r="C1112" s="4">
        <f t="shared" ca="1" si="92"/>
        <v>17.400000000000002</v>
      </c>
      <c r="D1112" s="4">
        <f t="shared" ca="1" si="92"/>
        <v>17.399283333333333</v>
      </c>
      <c r="E1112" s="4">
        <f t="shared" ca="1" si="92"/>
        <v>17.398799999999998</v>
      </c>
      <c r="F1112" s="4">
        <f t="shared" ca="1" si="92"/>
        <v>18.088950000000001</v>
      </c>
      <c r="G1112" s="4">
        <f t="shared" ca="1" si="92"/>
        <v>17.192191666666663</v>
      </c>
      <c r="H1112" s="4">
        <f t="shared" ca="1" si="92"/>
        <v>18.110433333333336</v>
      </c>
      <c r="I1112" s="4">
        <f t="shared" ca="1" si="92"/>
        <v>17.006275000000002</v>
      </c>
      <c r="J1112" s="4">
        <f t="shared" ca="1" si="92"/>
        <v>16.858050000000002</v>
      </c>
      <c r="K1112" s="4"/>
      <c r="L1112" s="5">
        <f t="shared" ca="1" si="93"/>
        <v>355.53689999999995</v>
      </c>
      <c r="M1112" s="5">
        <f t="shared" ca="1" si="93"/>
        <v>142.0401</v>
      </c>
      <c r="N1112" s="5">
        <f t="shared" ca="1" si="93"/>
        <v>58.217499999999994</v>
      </c>
      <c r="O1112" s="5">
        <f t="shared" ca="1" si="93"/>
        <v>4.4046000000000003</v>
      </c>
      <c r="P1112" s="5">
        <f t="shared" ca="1" si="93"/>
        <v>15.220499999999998</v>
      </c>
      <c r="Q1112" s="5">
        <f t="shared" ca="1" si="93"/>
        <v>231.81149999999997</v>
      </c>
      <c r="R1112" s="4"/>
    </row>
    <row r="1113" spans="1:18" ht="15" customHeight="1">
      <c r="A1113" s="3">
        <f t="shared" si="46"/>
        <v>2064</v>
      </c>
      <c r="B1113" s="4">
        <f t="shared" ca="1" si="92"/>
        <v>17.812008333333331</v>
      </c>
      <c r="C1113" s="4">
        <f t="shared" ca="1" si="92"/>
        <v>17.818291666666667</v>
      </c>
      <c r="D1113" s="4">
        <f t="shared" ca="1" si="92"/>
        <v>17.817558333333334</v>
      </c>
      <c r="E1113" s="4">
        <f t="shared" ca="1" si="92"/>
        <v>17.817083333333333</v>
      </c>
      <c r="F1113" s="4">
        <f t="shared" ca="1" si="92"/>
        <v>18.507233333333332</v>
      </c>
      <c r="G1113" s="4">
        <f t="shared" ca="1" si="92"/>
        <v>17.604633333333336</v>
      </c>
      <c r="H1113" s="4">
        <f t="shared" ca="1" si="92"/>
        <v>18.52289166666667</v>
      </c>
      <c r="I1113" s="4">
        <f t="shared" ca="1" si="92"/>
        <v>17.411491666666667</v>
      </c>
      <c r="J1113" s="4">
        <f t="shared" ca="1" si="92"/>
        <v>17.263074999999997</v>
      </c>
      <c r="K1113" s="4"/>
      <c r="L1113" s="5">
        <f t="shared" ca="1" si="93"/>
        <v>356.48229999999995</v>
      </c>
      <c r="M1113" s="5">
        <f t="shared" ca="1" si="93"/>
        <v>142.42920000000001</v>
      </c>
      <c r="N1113" s="5">
        <f t="shared" ca="1" si="93"/>
        <v>58.377000000000002</v>
      </c>
      <c r="O1113" s="5">
        <f t="shared" ca="1" si="93"/>
        <v>4.4165999999999999</v>
      </c>
      <c r="P1113" s="5">
        <f t="shared" ca="1" si="93"/>
        <v>15.262199999999998</v>
      </c>
      <c r="Q1113" s="5">
        <f t="shared" ca="1" si="93"/>
        <v>232.44659999999996</v>
      </c>
      <c r="R1113" s="4"/>
    </row>
    <row r="1114" spans="1:18" ht="15" customHeight="1">
      <c r="A1114" s="3">
        <f t="shared" si="46"/>
        <v>2065</v>
      </c>
      <c r="B1114" s="4">
        <f t="shared" ca="1" si="92"/>
        <v>18.240349999999999</v>
      </c>
      <c r="C1114" s="4">
        <f t="shared" ca="1" si="92"/>
        <v>18.246624999999998</v>
      </c>
      <c r="D1114" s="4">
        <f t="shared" ca="1" si="92"/>
        <v>18.245891666666669</v>
      </c>
      <c r="E1114" s="4">
        <f t="shared" ca="1" si="92"/>
        <v>18.245408333333334</v>
      </c>
      <c r="F1114" s="4">
        <f t="shared" ca="1" si="92"/>
        <v>18.93558333333333</v>
      </c>
      <c r="G1114" s="4">
        <f t="shared" ca="1" si="92"/>
        <v>18.026983333333334</v>
      </c>
      <c r="H1114" s="4">
        <f t="shared" ca="1" si="92"/>
        <v>18.945241666666668</v>
      </c>
      <c r="I1114" s="4">
        <f t="shared" ca="1" si="92"/>
        <v>17.826449999999998</v>
      </c>
      <c r="J1114" s="4">
        <f t="shared" ca="1" si="92"/>
        <v>17.677825000000002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</row>
    <row r="1115" spans="1:18" ht="15" customHeight="1">
      <c r="A1115" s="3">
        <f t="shared" si="46"/>
        <v>2066</v>
      </c>
      <c r="B1115" s="4">
        <f t="shared" ca="1" si="92"/>
        <v>18.678975000000001</v>
      </c>
      <c r="C1115" s="4">
        <f t="shared" ca="1" si="92"/>
        <v>18.685266666666667</v>
      </c>
      <c r="D1115" s="4">
        <f t="shared" ca="1" si="92"/>
        <v>18.684533333333331</v>
      </c>
      <c r="E1115" s="4">
        <f t="shared" ca="1" si="92"/>
        <v>18.684058333333333</v>
      </c>
      <c r="F1115" s="4">
        <f t="shared" ca="1" si="92"/>
        <v>19.374208333333335</v>
      </c>
      <c r="G1115" s="4">
        <f t="shared" ca="1" si="92"/>
        <v>18.459500000000002</v>
      </c>
      <c r="H1115" s="4">
        <f t="shared" ca="1" si="92"/>
        <v>19.377766666666663</v>
      </c>
      <c r="I1115" s="4">
        <f t="shared" ca="1" si="92"/>
        <v>18.251375000000003</v>
      </c>
      <c r="J1115" s="4">
        <f t="shared" ca="1" si="92"/>
        <v>18.102575000000002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</row>
    <row r="1116" spans="1:18" ht="15" customHeight="1">
      <c r="A1116" s="3">
        <f t="shared" si="46"/>
        <v>2067</v>
      </c>
      <c r="B1116" s="4">
        <f t="shared" ca="1" si="92"/>
        <v>19.128133333333334</v>
      </c>
      <c r="C1116" s="4">
        <f t="shared" ca="1" si="92"/>
        <v>19.134408333333337</v>
      </c>
      <c r="D1116" s="4">
        <f t="shared" ca="1" si="92"/>
        <v>19.133683333333334</v>
      </c>
      <c r="E1116" s="4">
        <f t="shared" ca="1" si="92"/>
        <v>19.133183333333331</v>
      </c>
      <c r="F1116" s="4">
        <f t="shared" ca="1" si="92"/>
        <v>19.823383333333336</v>
      </c>
      <c r="G1116" s="4">
        <f t="shared" ca="1" si="92"/>
        <v>18.902400000000004</v>
      </c>
      <c r="H1116" s="4">
        <f t="shared" ca="1" si="92"/>
        <v>19.820666666666668</v>
      </c>
      <c r="I1116" s="4">
        <f t="shared" ca="1" si="92"/>
        <v>18.686533333333333</v>
      </c>
      <c r="J1116" s="4">
        <f t="shared" ca="1" si="92"/>
        <v>18.537475000000001</v>
      </c>
      <c r="K1116" s="4"/>
      <c r="L1116" s="5">
        <f t="shared" ca="1" si="93"/>
        <v>355.53689999999995</v>
      </c>
      <c r="M1116" s="5">
        <f t="shared" ca="1" si="93"/>
        <v>142.0401</v>
      </c>
      <c r="N1116" s="5">
        <f t="shared" ca="1" si="93"/>
        <v>58.217499999999994</v>
      </c>
      <c r="O1116" s="5">
        <f t="shared" ca="1" si="93"/>
        <v>4.4046000000000003</v>
      </c>
      <c r="P1116" s="5">
        <f t="shared" ca="1" si="93"/>
        <v>15.220499999999998</v>
      </c>
      <c r="Q1116" s="5">
        <f t="shared" ca="1" si="93"/>
        <v>231.81149999999997</v>
      </c>
      <c r="R1116" s="4"/>
    </row>
    <row r="1117" spans="1:18" ht="15" customHeight="1">
      <c r="A1117" s="3">
        <f t="shared" si="46"/>
        <v>2068</v>
      </c>
      <c r="B1117" s="4">
        <f t="shared" ca="1" si="92"/>
        <v>19.588108333333334</v>
      </c>
      <c r="C1117" s="4">
        <f t="shared" ca="1" si="92"/>
        <v>19.594383333333329</v>
      </c>
      <c r="D1117" s="4">
        <f t="shared" ca="1" si="92"/>
        <v>19.593633333333329</v>
      </c>
      <c r="E1117" s="4">
        <f t="shared" ca="1" si="92"/>
        <v>19.593166666666665</v>
      </c>
      <c r="F1117" s="4">
        <f t="shared" ca="1" si="92"/>
        <v>20.283333333333339</v>
      </c>
      <c r="G1117" s="4">
        <f t="shared" ca="1" si="92"/>
        <v>19.355925000000003</v>
      </c>
      <c r="H1117" s="4">
        <f t="shared" ca="1" si="92"/>
        <v>20.274208333333334</v>
      </c>
      <c r="I1117" s="4">
        <f t="shared" ca="1" si="92"/>
        <v>19.132141666666666</v>
      </c>
      <c r="J1117" s="4">
        <f t="shared" ca="1" si="92"/>
        <v>18.982875000000003</v>
      </c>
      <c r="K1117" s="4"/>
      <c r="L1117" s="5">
        <f t="shared" ca="1" si="93"/>
        <v>356.48229999999995</v>
      </c>
      <c r="M1117" s="5">
        <f t="shared" ca="1" si="93"/>
        <v>142.42920000000001</v>
      </c>
      <c r="N1117" s="5">
        <f t="shared" ca="1" si="93"/>
        <v>58.377000000000002</v>
      </c>
      <c r="O1117" s="5">
        <f t="shared" ca="1" si="93"/>
        <v>4.4165999999999999</v>
      </c>
      <c r="P1117" s="5">
        <f t="shared" ca="1" si="93"/>
        <v>15.262199999999998</v>
      </c>
      <c r="Q1117" s="5">
        <f t="shared" ca="1" si="93"/>
        <v>232.44659999999996</v>
      </c>
      <c r="R1117" s="4"/>
    </row>
    <row r="1118" spans="1:18" ht="15" customHeight="1">
      <c r="A1118" s="3">
        <f t="shared" si="46"/>
        <v>2069</v>
      </c>
      <c r="B1118" s="4">
        <f t="shared" ca="1" si="92"/>
        <v>20.059108333333331</v>
      </c>
      <c r="C1118" s="4">
        <f t="shared" ca="1" si="92"/>
        <v>20.065383333333333</v>
      </c>
      <c r="D1118" s="4">
        <f t="shared" ca="1" si="92"/>
        <v>20.064624999999999</v>
      </c>
      <c r="E1118" s="4">
        <f t="shared" ca="1" si="92"/>
        <v>20.064158333333332</v>
      </c>
      <c r="F1118" s="4">
        <f t="shared" ca="1" si="92"/>
        <v>20.754358333333329</v>
      </c>
      <c r="G1118" s="4">
        <f t="shared" ca="1" si="92"/>
        <v>19.820375000000002</v>
      </c>
      <c r="H1118" s="4">
        <f t="shared" ca="1" si="92"/>
        <v>20.738641666666666</v>
      </c>
      <c r="I1118" s="4">
        <f t="shared" ca="1" si="92"/>
        <v>19.588425000000001</v>
      </c>
      <c r="J1118" s="4">
        <f t="shared" ca="1" si="92"/>
        <v>19.438925000000001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</row>
    <row r="1119" spans="1:18" ht="15" customHeight="1">
      <c r="A1119" s="3">
        <f t="shared" ref="A1119:A1149" si="94">A1118+1</f>
        <v>2070</v>
      </c>
      <c r="B1119" s="4">
        <f t="shared" ca="1" si="92"/>
        <v>20.541433333333334</v>
      </c>
      <c r="C1119" s="4">
        <f t="shared" ca="1" si="92"/>
        <v>20.547724999999996</v>
      </c>
      <c r="D1119" s="4">
        <f t="shared" ca="1" si="92"/>
        <v>20.546975</v>
      </c>
      <c r="E1119" s="4">
        <f t="shared" ca="1" si="92"/>
        <v>20.546499999999998</v>
      </c>
      <c r="F1119" s="4">
        <f t="shared" ca="1" si="92"/>
        <v>21.236666666666665</v>
      </c>
      <c r="G1119" s="4">
        <f t="shared" ca="1" si="92"/>
        <v>20.295983333333332</v>
      </c>
      <c r="H1119" s="4">
        <f t="shared" ca="1" si="92"/>
        <v>21.214241666666666</v>
      </c>
      <c r="I1119" s="4">
        <f t="shared" ca="1" si="92"/>
        <v>20.055716666666669</v>
      </c>
      <c r="J1119" s="4">
        <f t="shared" ca="1" si="92"/>
        <v>19.905958333333334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</row>
    <row r="1120" spans="1:18" ht="15" customHeight="1">
      <c r="A1120" s="3">
        <f t="shared" si="94"/>
        <v>2071</v>
      </c>
      <c r="B1120" s="4">
        <f t="shared" ca="1" si="92"/>
        <v>21.035366666666665</v>
      </c>
      <c r="C1120" s="4">
        <f t="shared" ca="1" si="92"/>
        <v>21.041641666666667</v>
      </c>
      <c r="D1120" s="4">
        <f t="shared" ca="1" si="92"/>
        <v>21.040899999999997</v>
      </c>
      <c r="E1120" s="4">
        <f t="shared" ca="1" si="92"/>
        <v>21.040424999999999</v>
      </c>
      <c r="F1120" s="4">
        <f t="shared" ca="1" si="92"/>
        <v>21.730591666666669</v>
      </c>
      <c r="G1120" s="4">
        <f t="shared" ca="1" si="92"/>
        <v>20.782991666666668</v>
      </c>
      <c r="H1120" s="4">
        <f t="shared" ca="1" si="92"/>
        <v>21.701258333333332</v>
      </c>
      <c r="I1120" s="4">
        <f t="shared" ca="1" si="92"/>
        <v>20.534216666666662</v>
      </c>
      <c r="J1120" s="4">
        <f t="shared" ca="1" si="92"/>
        <v>20.384241666666668</v>
      </c>
      <c r="K1120" s="4"/>
      <c r="L1120" s="5">
        <f t="shared" ca="1" si="93"/>
        <v>355.53689999999995</v>
      </c>
      <c r="M1120" s="5">
        <f t="shared" ca="1" si="93"/>
        <v>142.0401</v>
      </c>
      <c r="N1120" s="5">
        <f t="shared" ca="1" si="93"/>
        <v>58.217499999999994</v>
      </c>
      <c r="O1120" s="5">
        <f t="shared" ca="1" si="93"/>
        <v>4.4046000000000003</v>
      </c>
      <c r="P1120" s="5">
        <f t="shared" ca="1" si="93"/>
        <v>15.220499999999998</v>
      </c>
      <c r="Q1120" s="5">
        <f t="shared" ca="1" si="93"/>
        <v>231.81149999999997</v>
      </c>
      <c r="R1120" s="4"/>
    </row>
    <row r="1121" spans="1:18" ht="15" customHeight="1">
      <c r="A1121" s="3">
        <f t="shared" si="94"/>
        <v>2072</v>
      </c>
      <c r="B1121" s="4">
        <f t="shared" ref="B1121:J1130" ca="1" si="95">AVERAGE(OFFSET(B$594,($A1121-$A$1111)*12,0,12,1))</f>
        <v>21.541125000000005</v>
      </c>
      <c r="C1121" s="4">
        <f t="shared" ca="1" si="95"/>
        <v>21.547408333333333</v>
      </c>
      <c r="D1121" s="4">
        <f t="shared" ca="1" si="95"/>
        <v>21.546675000000004</v>
      </c>
      <c r="E1121" s="4">
        <f t="shared" ca="1" si="95"/>
        <v>21.546199999999999</v>
      </c>
      <c r="F1121" s="4">
        <f t="shared" ca="1" si="95"/>
        <v>22.236358333333328</v>
      </c>
      <c r="G1121" s="4">
        <f t="shared" ca="1" si="95"/>
        <v>21.281724999999998</v>
      </c>
      <c r="H1121" s="4">
        <f t="shared" ca="1" si="95"/>
        <v>22.199983333333336</v>
      </c>
      <c r="I1121" s="4">
        <f t="shared" ca="1" si="95"/>
        <v>21.0242</v>
      </c>
      <c r="J1121" s="4">
        <f t="shared" ca="1" si="95"/>
        <v>20.873991666666665</v>
      </c>
      <c r="K1121" s="4"/>
      <c r="L1121" s="5">
        <f t="shared" ref="L1121:Q1130" ca="1" si="96">SUM(OFFSET(L$594,($A1121-$A$1111)*12,0,12,1))</f>
        <v>356.48229999999995</v>
      </c>
      <c r="M1121" s="5">
        <f t="shared" ca="1" si="96"/>
        <v>142.42920000000001</v>
      </c>
      <c r="N1121" s="5">
        <f t="shared" ca="1" si="96"/>
        <v>58.377000000000002</v>
      </c>
      <c r="O1121" s="5">
        <f t="shared" ca="1" si="96"/>
        <v>4.4165999999999999</v>
      </c>
      <c r="P1121" s="5">
        <f t="shared" ca="1" si="96"/>
        <v>15.262199999999998</v>
      </c>
      <c r="Q1121" s="5">
        <f t="shared" ca="1" si="96"/>
        <v>232.44659999999996</v>
      </c>
      <c r="R1121" s="4"/>
    </row>
    <row r="1122" spans="1:18" ht="15" customHeight="1">
      <c r="A1122" s="3">
        <f t="shared" si="94"/>
        <v>2073</v>
      </c>
      <c r="B1122" s="4">
        <f t="shared" ca="1" si="95"/>
        <v>22.059066666666666</v>
      </c>
      <c r="C1122" s="4">
        <f t="shared" ca="1" si="95"/>
        <v>22.065341666666665</v>
      </c>
      <c r="D1122" s="4">
        <f t="shared" ca="1" si="95"/>
        <v>22.064633333333333</v>
      </c>
      <c r="E1122" s="4">
        <f t="shared" ca="1" si="95"/>
        <v>22.064149999999998</v>
      </c>
      <c r="F1122" s="4">
        <f t="shared" ca="1" si="95"/>
        <v>22.754299999999997</v>
      </c>
      <c r="G1122" s="4">
        <f t="shared" ca="1" si="95"/>
        <v>21.792450000000002</v>
      </c>
      <c r="H1122" s="4">
        <f t="shared" ca="1" si="95"/>
        <v>22.710691666666666</v>
      </c>
      <c r="I1122" s="4">
        <f t="shared" ca="1" si="95"/>
        <v>21.525983333333333</v>
      </c>
      <c r="J1122" s="4">
        <f t="shared" ca="1" si="95"/>
        <v>21.375516666666666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</row>
    <row r="1123" spans="1:18" ht="15" customHeight="1">
      <c r="A1123" s="3">
        <f t="shared" si="94"/>
        <v>2074</v>
      </c>
      <c r="B1123" s="4">
        <f t="shared" ca="1" si="95"/>
        <v>22.589449999999999</v>
      </c>
      <c r="C1123" s="4">
        <f t="shared" ca="1" si="95"/>
        <v>22.595716666666664</v>
      </c>
      <c r="D1123" s="4">
        <f t="shared" ca="1" si="95"/>
        <v>22.594991666666672</v>
      </c>
      <c r="E1123" s="4">
        <f t="shared" ca="1" si="95"/>
        <v>22.5945</v>
      </c>
      <c r="F1123" s="4">
        <f t="shared" ca="1" si="95"/>
        <v>23.284674999999996</v>
      </c>
      <c r="G1123" s="4">
        <f t="shared" ca="1" si="95"/>
        <v>22.315416666666668</v>
      </c>
      <c r="H1123" s="4">
        <f t="shared" ca="1" si="95"/>
        <v>23.233683333333332</v>
      </c>
      <c r="I1123" s="4">
        <f t="shared" ca="1" si="95"/>
        <v>22.0398</v>
      </c>
      <c r="J1123" s="4">
        <f t="shared" ca="1" si="95"/>
        <v>21.889074999999995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</row>
    <row r="1124" spans="1:18" ht="15" customHeight="1">
      <c r="A1124" s="3">
        <f t="shared" si="94"/>
        <v>2075</v>
      </c>
      <c r="B1124" s="4">
        <f t="shared" ca="1" si="95"/>
        <v>23.132583333333333</v>
      </c>
      <c r="C1124" s="4">
        <f t="shared" ca="1" si="95"/>
        <v>23.138858333333332</v>
      </c>
      <c r="D1124" s="4">
        <f t="shared" ca="1" si="95"/>
        <v>23.138125000000002</v>
      </c>
      <c r="E1124" s="4">
        <f t="shared" ca="1" si="95"/>
        <v>23.137641666666667</v>
      </c>
      <c r="F1124" s="4">
        <f t="shared" ca="1" si="95"/>
        <v>23.827799999999996</v>
      </c>
      <c r="G1124" s="4">
        <f t="shared" ca="1" si="95"/>
        <v>22.850966666666668</v>
      </c>
      <c r="H1124" s="4">
        <f t="shared" ca="1" si="95"/>
        <v>23.769224999999995</v>
      </c>
      <c r="I1124" s="4">
        <f t="shared" ca="1" si="95"/>
        <v>22.565966666666668</v>
      </c>
      <c r="J1124" s="4">
        <f t="shared" ca="1" si="95"/>
        <v>22.414966666666668</v>
      </c>
      <c r="K1124" s="4"/>
      <c r="L1124" s="5">
        <f t="shared" ca="1" si="96"/>
        <v>355.53689999999995</v>
      </c>
      <c r="M1124" s="5">
        <f t="shared" ca="1" si="96"/>
        <v>142.0401</v>
      </c>
      <c r="N1124" s="5">
        <f t="shared" ca="1" si="96"/>
        <v>58.217499999999994</v>
      </c>
      <c r="O1124" s="5">
        <f t="shared" ca="1" si="96"/>
        <v>4.4046000000000003</v>
      </c>
      <c r="P1124" s="5">
        <f t="shared" ca="1" si="96"/>
        <v>15.220499999999998</v>
      </c>
      <c r="Q1124" s="5">
        <f t="shared" ca="1" si="96"/>
        <v>231.81149999999997</v>
      </c>
      <c r="R1124" s="4"/>
    </row>
    <row r="1125" spans="1:18" ht="15" customHeight="1">
      <c r="A1125" s="3">
        <f t="shared" si="94"/>
        <v>2076</v>
      </c>
      <c r="B1125" s="4">
        <f t="shared" ca="1" si="95"/>
        <v>23.688741666666669</v>
      </c>
      <c r="C1125" s="4">
        <f t="shared" ca="1" si="95"/>
        <v>23.695016666666671</v>
      </c>
      <c r="D1125" s="4">
        <f t="shared" ca="1" si="95"/>
        <v>23.694300000000002</v>
      </c>
      <c r="E1125" s="4">
        <f t="shared" ca="1" si="95"/>
        <v>23.693808333333333</v>
      </c>
      <c r="F1125" s="4">
        <f t="shared" ca="1" si="95"/>
        <v>24.383983333333333</v>
      </c>
      <c r="G1125" s="4">
        <f t="shared" ca="1" si="95"/>
        <v>23.399383333333333</v>
      </c>
      <c r="H1125" s="4">
        <f t="shared" ca="1" si="95"/>
        <v>24.31765833333333</v>
      </c>
      <c r="I1125" s="4">
        <f t="shared" ca="1" si="95"/>
        <v>23.104766666666666</v>
      </c>
      <c r="J1125" s="4">
        <f t="shared" ca="1" si="95"/>
        <v>22.953533333333336</v>
      </c>
      <c r="K1125" s="4"/>
      <c r="L1125" s="5">
        <f t="shared" ca="1" si="96"/>
        <v>356.48229999999995</v>
      </c>
      <c r="M1125" s="5">
        <f t="shared" ca="1" si="96"/>
        <v>142.42920000000001</v>
      </c>
      <c r="N1125" s="5">
        <f t="shared" ca="1" si="96"/>
        <v>58.377000000000002</v>
      </c>
      <c r="O1125" s="5">
        <f t="shared" ca="1" si="96"/>
        <v>4.4165999999999999</v>
      </c>
      <c r="P1125" s="5">
        <f t="shared" ca="1" si="96"/>
        <v>15.262199999999998</v>
      </c>
      <c r="Q1125" s="5">
        <f t="shared" ca="1" si="96"/>
        <v>232.44659999999996</v>
      </c>
      <c r="R1125" s="4"/>
    </row>
    <row r="1126" spans="1:18" ht="15" customHeight="1">
      <c r="A1126" s="3">
        <f t="shared" si="94"/>
        <v>2077</v>
      </c>
      <c r="B1126" s="4">
        <f t="shared" ca="1" si="95"/>
        <v>24.258300000000002</v>
      </c>
      <c r="C1126" s="4">
        <f t="shared" ca="1" si="95"/>
        <v>24.264591666666671</v>
      </c>
      <c r="D1126" s="4">
        <f t="shared" ca="1" si="95"/>
        <v>24.263841666666664</v>
      </c>
      <c r="E1126" s="4">
        <f t="shared" ca="1" si="95"/>
        <v>24.263366666666666</v>
      </c>
      <c r="F1126" s="4">
        <f t="shared" ca="1" si="95"/>
        <v>24.953508333333335</v>
      </c>
      <c r="G1126" s="4">
        <f t="shared" ca="1" si="95"/>
        <v>23.960983333333335</v>
      </c>
      <c r="H1126" s="4">
        <f t="shared" ca="1" si="95"/>
        <v>24.879233333333335</v>
      </c>
      <c r="I1126" s="4">
        <f t="shared" ca="1" si="95"/>
        <v>23.656558333333336</v>
      </c>
      <c r="J1126" s="4">
        <f t="shared" ca="1" si="95"/>
        <v>23.505016666666663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</row>
    <row r="1127" spans="1:18" ht="15" customHeight="1">
      <c r="A1127" s="3">
        <f t="shared" si="94"/>
        <v>2078</v>
      </c>
      <c r="B1127" s="4">
        <f t="shared" ca="1" si="95"/>
        <v>24.841525000000001</v>
      </c>
      <c r="C1127" s="4">
        <f t="shared" ca="1" si="95"/>
        <v>24.847800000000003</v>
      </c>
      <c r="D1127" s="4">
        <f t="shared" ca="1" si="95"/>
        <v>24.847066666666667</v>
      </c>
      <c r="E1127" s="4">
        <f t="shared" ca="1" si="95"/>
        <v>24.846591666666665</v>
      </c>
      <c r="F1127" s="4">
        <f t="shared" ca="1" si="95"/>
        <v>25.536741666666671</v>
      </c>
      <c r="G1127" s="4">
        <f t="shared" ca="1" si="95"/>
        <v>24.536075</v>
      </c>
      <c r="H1127" s="4">
        <f t="shared" ca="1" si="95"/>
        <v>25.454316666666671</v>
      </c>
      <c r="I1127" s="4">
        <f t="shared" ca="1" si="95"/>
        <v>24.221558333333334</v>
      </c>
      <c r="J1127" s="4">
        <f t="shared" ca="1" si="95"/>
        <v>24.069741666666669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</row>
    <row r="1128" spans="1:18" ht="15" customHeight="1">
      <c r="A1128" s="3">
        <f t="shared" si="94"/>
        <v>2079</v>
      </c>
      <c r="B1128" s="4">
        <f t="shared" ca="1" si="95"/>
        <v>25.438741666666662</v>
      </c>
      <c r="C1128" s="4">
        <f t="shared" ca="1" si="95"/>
        <v>25.445024999999998</v>
      </c>
      <c r="D1128" s="4">
        <f t="shared" ca="1" si="95"/>
        <v>25.444283333333335</v>
      </c>
      <c r="E1128" s="4">
        <f t="shared" ca="1" si="95"/>
        <v>25.443808333333333</v>
      </c>
      <c r="F1128" s="4">
        <f t="shared" ca="1" si="95"/>
        <v>26.133983333333333</v>
      </c>
      <c r="G1128" s="4">
        <f t="shared" ca="1" si="95"/>
        <v>25.124966666666666</v>
      </c>
      <c r="H1128" s="4">
        <f t="shared" ca="1" si="95"/>
        <v>26.043233333333333</v>
      </c>
      <c r="I1128" s="4">
        <f t="shared" ca="1" si="95"/>
        <v>24.800158333333332</v>
      </c>
      <c r="J1128" s="4">
        <f t="shared" ca="1" si="95"/>
        <v>24.648033333333334</v>
      </c>
      <c r="K1128" s="4"/>
      <c r="L1128" s="5">
        <f t="shared" ca="1" si="96"/>
        <v>355.53689999999995</v>
      </c>
      <c r="M1128" s="5">
        <f t="shared" ca="1" si="96"/>
        <v>142.0401</v>
      </c>
      <c r="N1128" s="5">
        <f t="shared" ca="1" si="96"/>
        <v>58.217499999999994</v>
      </c>
      <c r="O1128" s="5">
        <f t="shared" ca="1" si="96"/>
        <v>4.4046000000000003</v>
      </c>
      <c r="P1128" s="5">
        <f t="shared" ca="1" si="96"/>
        <v>15.220499999999998</v>
      </c>
      <c r="Q1128" s="5">
        <f t="shared" ca="1" si="96"/>
        <v>231.81149999999997</v>
      </c>
      <c r="R1128" s="4"/>
    </row>
    <row r="1129" spans="1:18" ht="15" customHeight="1">
      <c r="A1129" s="3">
        <f t="shared" si="94"/>
        <v>2080</v>
      </c>
      <c r="B1129" s="4">
        <f t="shared" ca="1" si="95"/>
        <v>26.050341666666668</v>
      </c>
      <c r="C1129" s="4">
        <f t="shared" ca="1" si="95"/>
        <v>26.056616666666667</v>
      </c>
      <c r="D1129" s="4">
        <f t="shared" ca="1" si="95"/>
        <v>26.055874999999997</v>
      </c>
      <c r="E1129" s="4">
        <f t="shared" ca="1" si="95"/>
        <v>26.055391666666665</v>
      </c>
      <c r="F1129" s="4">
        <f t="shared" ca="1" si="95"/>
        <v>26.745575000000002</v>
      </c>
      <c r="G1129" s="4">
        <f t="shared" ca="1" si="95"/>
        <v>25.728033333333329</v>
      </c>
      <c r="H1129" s="4">
        <f t="shared" ca="1" si="95"/>
        <v>26.646283333333333</v>
      </c>
      <c r="I1129" s="4">
        <f t="shared" ca="1" si="95"/>
        <v>25.39265</v>
      </c>
      <c r="J1129" s="4">
        <f t="shared" ca="1" si="95"/>
        <v>25.240241666666666</v>
      </c>
      <c r="K1129" s="4"/>
      <c r="L1129" s="5">
        <f t="shared" ca="1" si="96"/>
        <v>356.48229999999995</v>
      </c>
      <c r="M1129" s="5">
        <f t="shared" ca="1" si="96"/>
        <v>142.42920000000001</v>
      </c>
      <c r="N1129" s="5">
        <f t="shared" ca="1" si="96"/>
        <v>58.377000000000002</v>
      </c>
      <c r="O1129" s="5">
        <f t="shared" ca="1" si="96"/>
        <v>4.4165999999999999</v>
      </c>
      <c r="P1129" s="5">
        <f t="shared" ca="1" si="96"/>
        <v>15.262199999999998</v>
      </c>
      <c r="Q1129" s="5">
        <f t="shared" ca="1" si="96"/>
        <v>232.44659999999996</v>
      </c>
      <c r="R1129" s="4"/>
    </row>
    <row r="1130" spans="1:18" ht="15" customHeight="1">
      <c r="A1130" s="3">
        <f t="shared" si="94"/>
        <v>2081</v>
      </c>
      <c r="B1130" s="4">
        <f t="shared" ca="1" si="95"/>
        <v>26.676625000000001</v>
      </c>
      <c r="C1130" s="4">
        <f t="shared" ca="1" si="95"/>
        <v>26.6829</v>
      </c>
      <c r="D1130" s="4">
        <f t="shared" ca="1" si="95"/>
        <v>26.682150000000004</v>
      </c>
      <c r="E1130" s="4">
        <f t="shared" ca="1" si="95"/>
        <v>26.681675000000002</v>
      </c>
      <c r="F1130" s="4">
        <f t="shared" ca="1" si="95"/>
        <v>27.371866666666666</v>
      </c>
      <c r="G1130" s="4">
        <f t="shared" ca="1" si="95"/>
        <v>26.345574999999997</v>
      </c>
      <c r="H1130" s="4">
        <f t="shared" ca="1" si="95"/>
        <v>27.263825000000001</v>
      </c>
      <c r="I1130" s="4">
        <f t="shared" ca="1" si="95"/>
        <v>25.999375000000001</v>
      </c>
      <c r="J1130" s="4">
        <f t="shared" ca="1" si="95"/>
        <v>25.846683333333335</v>
      </c>
      <c r="K1130" s="4"/>
      <c r="L1130" s="5">
        <f t="shared" ca="1" si="96"/>
        <v>355.53689999999995</v>
      </c>
      <c r="M1130" s="5">
        <f t="shared" ca="1" si="96"/>
        <v>142.0401</v>
      </c>
      <c r="N1130" s="5">
        <f t="shared" ca="1" si="96"/>
        <v>58.217499999999994</v>
      </c>
      <c r="O1130" s="5">
        <f t="shared" ca="1" si="96"/>
        <v>4.4046000000000003</v>
      </c>
      <c r="P1130" s="5">
        <f t="shared" ca="1" si="96"/>
        <v>15.220499999999998</v>
      </c>
      <c r="Q1130" s="5">
        <f t="shared" ca="1" si="96"/>
        <v>231.81149999999997</v>
      </c>
      <c r="R1130" s="4"/>
    </row>
    <row r="1131" spans="1:18" ht="15" customHeight="1">
      <c r="A1131" s="3">
        <f t="shared" si="94"/>
        <v>2082</v>
      </c>
      <c r="B1131" s="4">
        <f t="shared" ref="B1131:J1140" ca="1" si="97">AVERAGE(OFFSET(B$594,($A1131-$A$1111)*12,0,12,1))</f>
        <v>27.31795</v>
      </c>
      <c r="C1131" s="4">
        <f t="shared" ca="1" si="97"/>
        <v>27.324224999999998</v>
      </c>
      <c r="D1131" s="4">
        <f t="shared" ca="1" si="97"/>
        <v>27.323475000000002</v>
      </c>
      <c r="E1131" s="4">
        <f t="shared" ca="1" si="97"/>
        <v>27.323008333333338</v>
      </c>
      <c r="F1131" s="4">
        <f t="shared" ca="1" si="97"/>
        <v>28.013183333333334</v>
      </c>
      <c r="G1131" s="4">
        <f t="shared" ca="1" si="97"/>
        <v>26.97794166666667</v>
      </c>
      <c r="H1131" s="4">
        <f t="shared" ca="1" si="97"/>
        <v>27.896208333333334</v>
      </c>
      <c r="I1131" s="4">
        <f t="shared" ca="1" si="97"/>
        <v>26.620691666666662</v>
      </c>
      <c r="J1131" s="4">
        <f t="shared" ca="1" si="97"/>
        <v>26.467666666666663</v>
      </c>
      <c r="K1131" s="4"/>
      <c r="L1131" s="5">
        <f t="shared" ref="L1131:Q1140" ca="1" si="98">SUM(OFFSET(L$594,($A1131-$A$1111)*12,0,12,1))</f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</row>
    <row r="1132" spans="1:18" ht="15" customHeight="1">
      <c r="A1132" s="3">
        <f t="shared" si="94"/>
        <v>2083</v>
      </c>
      <c r="B1132" s="4">
        <f t="shared" ca="1" si="97"/>
        <v>27.974691666666661</v>
      </c>
      <c r="C1132" s="4">
        <f t="shared" ca="1" si="97"/>
        <v>27.980966666666664</v>
      </c>
      <c r="D1132" s="4">
        <f t="shared" ca="1" si="97"/>
        <v>27.980233333333334</v>
      </c>
      <c r="E1132" s="4">
        <f t="shared" ca="1" si="97"/>
        <v>27.979749999999999</v>
      </c>
      <c r="F1132" s="4">
        <f t="shared" ca="1" si="97"/>
        <v>28.669908333333336</v>
      </c>
      <c r="G1132" s="4">
        <f t="shared" ca="1" si="97"/>
        <v>27.625533333333333</v>
      </c>
      <c r="H1132" s="4">
        <f t="shared" ca="1" si="97"/>
        <v>28.543758333333333</v>
      </c>
      <c r="I1132" s="4">
        <f t="shared" ca="1" si="97"/>
        <v>27.256916666666669</v>
      </c>
      <c r="J1132" s="4">
        <f t="shared" ca="1" si="97"/>
        <v>27.10359166666667</v>
      </c>
      <c r="K1132" s="4"/>
      <c r="L1132" s="5">
        <f t="shared" ca="1" si="98"/>
        <v>355.53689999999995</v>
      </c>
      <c r="M1132" s="5">
        <f t="shared" ca="1" si="98"/>
        <v>142.0401</v>
      </c>
      <c r="N1132" s="5">
        <f t="shared" ca="1" si="98"/>
        <v>58.217499999999994</v>
      </c>
      <c r="O1132" s="5">
        <f t="shared" ca="1" si="98"/>
        <v>4.4046000000000003</v>
      </c>
      <c r="P1132" s="5">
        <f t="shared" ca="1" si="98"/>
        <v>15.220499999999998</v>
      </c>
      <c r="Q1132" s="5">
        <f t="shared" ca="1" si="98"/>
        <v>231.81149999999997</v>
      </c>
      <c r="R1132" s="4"/>
    </row>
    <row r="1133" spans="1:18" ht="15" customHeight="1">
      <c r="A1133" s="3">
        <f t="shared" si="94"/>
        <v>2084</v>
      </c>
      <c r="B1133" s="4">
        <f t="shared" ca="1" si="97"/>
        <v>28.647191666666668</v>
      </c>
      <c r="C1133" s="4">
        <f t="shared" ca="1" si="97"/>
        <v>28.653475</v>
      </c>
      <c r="D1133" s="4">
        <f t="shared" ca="1" si="97"/>
        <v>28.652766666666665</v>
      </c>
      <c r="E1133" s="4">
        <f t="shared" ca="1" si="97"/>
        <v>28.652275000000003</v>
      </c>
      <c r="F1133" s="4">
        <f t="shared" ca="1" si="97"/>
        <v>29.342441666666669</v>
      </c>
      <c r="G1133" s="4">
        <f t="shared" ca="1" si="97"/>
        <v>28.288650000000001</v>
      </c>
      <c r="H1133" s="4">
        <f t="shared" ca="1" si="97"/>
        <v>29.206924999999998</v>
      </c>
      <c r="I1133" s="4">
        <f t="shared" ca="1" si="97"/>
        <v>27.908466666666669</v>
      </c>
      <c r="J1133" s="4">
        <f t="shared" ca="1" si="97"/>
        <v>27.754800000000003</v>
      </c>
      <c r="K1133" s="4"/>
      <c r="L1133" s="5">
        <f t="shared" ca="1" si="98"/>
        <v>356.48229999999995</v>
      </c>
      <c r="M1133" s="5">
        <f t="shared" ca="1" si="98"/>
        <v>142.42920000000001</v>
      </c>
      <c r="N1133" s="5">
        <f t="shared" ca="1" si="98"/>
        <v>58.377000000000002</v>
      </c>
      <c r="O1133" s="5">
        <f t="shared" ca="1" si="98"/>
        <v>4.4165999999999999</v>
      </c>
      <c r="P1133" s="5">
        <f t="shared" ca="1" si="98"/>
        <v>15.262199999999998</v>
      </c>
      <c r="Q1133" s="5">
        <f t="shared" ca="1" si="98"/>
        <v>232.44659999999996</v>
      </c>
      <c r="R1133" s="4"/>
    </row>
    <row r="1134" spans="1:18" ht="15" customHeight="1">
      <c r="A1134" s="3">
        <f t="shared" si="94"/>
        <v>2085</v>
      </c>
      <c r="B1134" s="4">
        <f t="shared" ca="1" si="97"/>
        <v>29.335874999999998</v>
      </c>
      <c r="C1134" s="4">
        <f t="shared" ca="1" si="97"/>
        <v>29.342158333333334</v>
      </c>
      <c r="D1134" s="4">
        <f t="shared" ca="1" si="97"/>
        <v>29.341433333333338</v>
      </c>
      <c r="E1134" s="4">
        <f t="shared" ca="1" si="97"/>
        <v>29.340950000000003</v>
      </c>
      <c r="F1134" s="4">
        <f t="shared" ca="1" si="97"/>
        <v>30.031116666666662</v>
      </c>
      <c r="G1134" s="4">
        <f t="shared" ca="1" si="97"/>
        <v>28.967716666666664</v>
      </c>
      <c r="H1134" s="4">
        <f t="shared" ca="1" si="97"/>
        <v>29.885991666666666</v>
      </c>
      <c r="I1134" s="4">
        <f t="shared" ca="1" si="97"/>
        <v>28.575633333333332</v>
      </c>
      <c r="J1134" s="4">
        <f t="shared" ca="1" si="97"/>
        <v>28.421641666666659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</row>
    <row r="1135" spans="1:18" ht="15" customHeight="1">
      <c r="A1135" s="3">
        <f t="shared" si="94"/>
        <v>2086</v>
      </c>
      <c r="B1135" s="4">
        <f t="shared" ca="1" si="97"/>
        <v>30.04110833333333</v>
      </c>
      <c r="C1135" s="4">
        <f t="shared" ca="1" si="97"/>
        <v>30.047391666666666</v>
      </c>
      <c r="D1135" s="4">
        <f t="shared" ca="1" si="97"/>
        <v>30.046641666666662</v>
      </c>
      <c r="E1135" s="4">
        <f t="shared" ca="1" si="97"/>
        <v>30.046166666666664</v>
      </c>
      <c r="F1135" s="4">
        <f t="shared" ca="1" si="97"/>
        <v>30.736324999999997</v>
      </c>
      <c r="G1135" s="4">
        <f t="shared" ca="1" si="97"/>
        <v>29.663124999999997</v>
      </c>
      <c r="H1135" s="4">
        <f t="shared" ca="1" si="97"/>
        <v>30.581383333333331</v>
      </c>
      <c r="I1135" s="4">
        <f t="shared" ca="1" si="97"/>
        <v>29.258849999999999</v>
      </c>
      <c r="J1135" s="4">
        <f t="shared" ca="1" si="97"/>
        <v>29.104499999999998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</row>
    <row r="1136" spans="1:18" ht="15" customHeight="1">
      <c r="A1136" s="3">
        <f t="shared" si="94"/>
        <v>2087</v>
      </c>
      <c r="B1136" s="4">
        <f t="shared" ca="1" si="97"/>
        <v>30.763266666666663</v>
      </c>
      <c r="C1136" s="4">
        <f t="shared" ca="1" si="97"/>
        <v>30.769549999999999</v>
      </c>
      <c r="D1136" s="4">
        <f t="shared" ca="1" si="97"/>
        <v>30.768808333333336</v>
      </c>
      <c r="E1136" s="4">
        <f t="shared" ca="1" si="97"/>
        <v>30.768341666666668</v>
      </c>
      <c r="F1136" s="4">
        <f t="shared" ca="1" si="97"/>
        <v>31.458508333333338</v>
      </c>
      <c r="G1136" s="4">
        <f t="shared" ca="1" si="97"/>
        <v>30.37521666666667</v>
      </c>
      <c r="H1136" s="4">
        <f t="shared" ca="1" si="97"/>
        <v>31.293466666666671</v>
      </c>
      <c r="I1136" s="4">
        <f t="shared" ca="1" si="97"/>
        <v>29.958466666666663</v>
      </c>
      <c r="J1136" s="4">
        <f t="shared" ca="1" si="97"/>
        <v>29.803775000000005</v>
      </c>
      <c r="K1136" s="4"/>
      <c r="L1136" s="5">
        <f t="shared" ca="1" si="98"/>
        <v>355.53689999999995</v>
      </c>
      <c r="M1136" s="5">
        <f t="shared" ca="1" si="98"/>
        <v>142.0401</v>
      </c>
      <c r="N1136" s="5">
        <f t="shared" ca="1" si="98"/>
        <v>58.217499999999994</v>
      </c>
      <c r="O1136" s="5">
        <f t="shared" ca="1" si="98"/>
        <v>4.4046000000000003</v>
      </c>
      <c r="P1136" s="5">
        <f t="shared" ca="1" si="98"/>
        <v>15.220499999999998</v>
      </c>
      <c r="Q1136" s="5">
        <f t="shared" ca="1" si="98"/>
        <v>231.81149999999997</v>
      </c>
      <c r="R1136" s="4"/>
    </row>
    <row r="1137" spans="1:18" ht="15" customHeight="1">
      <c r="A1137" s="3">
        <f t="shared" si="94"/>
        <v>2088</v>
      </c>
      <c r="B1137" s="4">
        <f t="shared" ca="1" si="97"/>
        <v>31.502791666666667</v>
      </c>
      <c r="C1137" s="4">
        <f t="shared" ca="1" si="97"/>
        <v>31.509074999999999</v>
      </c>
      <c r="D1137" s="4">
        <f t="shared" ca="1" si="97"/>
        <v>31.508358333333337</v>
      </c>
      <c r="E1137" s="4">
        <f t="shared" ca="1" si="97"/>
        <v>31.507866666666668</v>
      </c>
      <c r="F1137" s="4">
        <f t="shared" ca="1" si="97"/>
        <v>32.198033333333335</v>
      </c>
      <c r="G1137" s="4">
        <f t="shared" ca="1" si="97"/>
        <v>31.104425000000003</v>
      </c>
      <c r="H1137" s="4">
        <f t="shared" ca="1" si="97"/>
        <v>32.022675</v>
      </c>
      <c r="I1137" s="4">
        <f t="shared" ca="1" si="97"/>
        <v>30.674925000000002</v>
      </c>
      <c r="J1137" s="4">
        <f t="shared" ca="1" si="97"/>
        <v>30.519866666666669</v>
      </c>
      <c r="K1137" s="4"/>
      <c r="L1137" s="5">
        <f t="shared" ca="1" si="98"/>
        <v>356.48229999999995</v>
      </c>
      <c r="M1137" s="5">
        <f t="shared" ca="1" si="98"/>
        <v>142.42920000000001</v>
      </c>
      <c r="N1137" s="5">
        <f t="shared" ca="1" si="98"/>
        <v>58.377000000000002</v>
      </c>
      <c r="O1137" s="5">
        <f t="shared" ca="1" si="98"/>
        <v>4.4165999999999999</v>
      </c>
      <c r="P1137" s="5">
        <f t="shared" ca="1" si="98"/>
        <v>15.262199999999998</v>
      </c>
      <c r="Q1137" s="5">
        <f t="shared" ca="1" si="98"/>
        <v>232.44659999999996</v>
      </c>
      <c r="R1137" s="4"/>
    </row>
    <row r="1138" spans="1:18" ht="15" customHeight="1">
      <c r="A1138" s="3">
        <f t="shared" si="94"/>
        <v>2089</v>
      </c>
      <c r="B1138" s="4">
        <f t="shared" ca="1" si="97"/>
        <v>32.260091666666661</v>
      </c>
      <c r="C1138" s="4">
        <f t="shared" ca="1" si="97"/>
        <v>32.266375000000004</v>
      </c>
      <c r="D1138" s="4">
        <f t="shared" ca="1" si="97"/>
        <v>32.265625</v>
      </c>
      <c r="E1138" s="4">
        <f t="shared" ca="1" si="97"/>
        <v>32.265158333333332</v>
      </c>
      <c r="F1138" s="4">
        <f t="shared" ca="1" si="97"/>
        <v>32.955316666666668</v>
      </c>
      <c r="G1138" s="4">
        <f t="shared" ca="1" si="97"/>
        <v>31.851158333333334</v>
      </c>
      <c r="H1138" s="4">
        <f t="shared" ca="1" si="97"/>
        <v>32.769400000000005</v>
      </c>
      <c r="I1138" s="4">
        <f t="shared" ca="1" si="97"/>
        <v>31.408566666666669</v>
      </c>
      <c r="J1138" s="4">
        <f t="shared" ca="1" si="97"/>
        <v>31.253133333333338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</row>
    <row r="1139" spans="1:18" ht="15" customHeight="1">
      <c r="A1139" s="3">
        <f t="shared" si="94"/>
        <v>2090</v>
      </c>
      <c r="B1139" s="4">
        <f t="shared" ca="1" si="97"/>
        <v>33.035558333333341</v>
      </c>
      <c r="C1139" s="4">
        <f t="shared" ca="1" si="97"/>
        <v>33.041841666666663</v>
      </c>
      <c r="D1139" s="4">
        <f t="shared" ca="1" si="97"/>
        <v>33.041116666666667</v>
      </c>
      <c r="E1139" s="4">
        <f t="shared" ca="1" si="97"/>
        <v>33.040633333333332</v>
      </c>
      <c r="F1139" s="4">
        <f t="shared" ca="1" si="97"/>
        <v>33.730808333333336</v>
      </c>
      <c r="G1139" s="4">
        <f t="shared" ca="1" si="97"/>
        <v>32.615808333333334</v>
      </c>
      <c r="H1139" s="4">
        <f t="shared" ca="1" si="97"/>
        <v>33.534066666666668</v>
      </c>
      <c r="I1139" s="4">
        <f t="shared" ca="1" si="97"/>
        <v>32.159841666666672</v>
      </c>
      <c r="J1139" s="4">
        <f t="shared" ca="1" si="97"/>
        <v>32.004049999999999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</row>
    <row r="1140" spans="1:18" ht="15" customHeight="1">
      <c r="A1140" s="3">
        <f t="shared" si="94"/>
        <v>2091</v>
      </c>
      <c r="B1140" s="4">
        <f t="shared" ca="1" si="97"/>
        <v>33.829675000000002</v>
      </c>
      <c r="C1140" s="4">
        <f t="shared" ca="1" si="97"/>
        <v>33.83595833333333</v>
      </c>
      <c r="D1140" s="4">
        <f t="shared" ca="1" si="97"/>
        <v>33.835233333333328</v>
      </c>
      <c r="E1140" s="4">
        <f t="shared" ca="1" si="97"/>
        <v>33.83475</v>
      </c>
      <c r="F1140" s="4">
        <f t="shared" ca="1" si="97"/>
        <v>34.52493333333333</v>
      </c>
      <c r="G1140" s="4">
        <f t="shared" ca="1" si="97"/>
        <v>33.398833333333329</v>
      </c>
      <c r="H1140" s="4">
        <f t="shared" ca="1" si="97"/>
        <v>34.317116666666671</v>
      </c>
      <c r="I1140" s="4">
        <f t="shared" ca="1" si="97"/>
        <v>32.929174999999994</v>
      </c>
      <c r="J1140" s="4">
        <f t="shared" ca="1" si="97"/>
        <v>32.77299166666667</v>
      </c>
      <c r="K1140" s="4"/>
      <c r="L1140" s="5">
        <f t="shared" ca="1" si="98"/>
        <v>355.53689999999995</v>
      </c>
      <c r="M1140" s="5">
        <f t="shared" ca="1" si="98"/>
        <v>142.0401</v>
      </c>
      <c r="N1140" s="5">
        <f t="shared" ca="1" si="98"/>
        <v>58.217499999999994</v>
      </c>
      <c r="O1140" s="5">
        <f t="shared" ca="1" si="98"/>
        <v>4.4046000000000003</v>
      </c>
      <c r="P1140" s="5">
        <f t="shared" ca="1" si="98"/>
        <v>15.220499999999998</v>
      </c>
      <c r="Q1140" s="5">
        <f t="shared" ca="1" si="98"/>
        <v>231.81149999999997</v>
      </c>
      <c r="R1140" s="4"/>
    </row>
    <row r="1141" spans="1:18" ht="15" customHeight="1">
      <c r="A1141" s="3">
        <f t="shared" si="94"/>
        <v>2092</v>
      </c>
      <c r="B1141" s="4">
        <f t="shared" ref="B1141:J1149" ca="1" si="99">AVERAGE(OFFSET(B$594,($A1141-$A$1111)*12,0,12,1))</f>
        <v>34.642891666666664</v>
      </c>
      <c r="C1141" s="4">
        <f t="shared" ca="1" si="99"/>
        <v>34.649166666666666</v>
      </c>
      <c r="D1141" s="4">
        <f t="shared" ca="1" si="99"/>
        <v>34.64841666666667</v>
      </c>
      <c r="E1141" s="4">
        <f t="shared" ca="1" si="99"/>
        <v>34.647941666666668</v>
      </c>
      <c r="F1141" s="4">
        <f t="shared" ca="1" si="99"/>
        <v>35.338116666666672</v>
      </c>
      <c r="G1141" s="4">
        <f t="shared" ca="1" si="99"/>
        <v>34.200691666666664</v>
      </c>
      <c r="H1141" s="4">
        <f t="shared" ca="1" si="99"/>
        <v>35.118949999999998</v>
      </c>
      <c r="I1141" s="4">
        <f t="shared" ca="1" si="99"/>
        <v>33.716974999999998</v>
      </c>
      <c r="J1141" s="4">
        <f t="shared" ca="1" si="99"/>
        <v>33.560408333333335</v>
      </c>
      <c r="K1141" s="4"/>
      <c r="L1141" s="5">
        <f t="shared" ref="L1141:Q1149" ca="1" si="100">SUM(OFFSET(L$594,($A1141-$A$1111)*12,0,12,1))</f>
        <v>356.48229999999995</v>
      </c>
      <c r="M1141" s="5">
        <f t="shared" ca="1" si="100"/>
        <v>142.42920000000001</v>
      </c>
      <c r="N1141" s="5">
        <f t="shared" ca="1" si="100"/>
        <v>58.377000000000002</v>
      </c>
      <c r="O1141" s="5">
        <f t="shared" ca="1" si="100"/>
        <v>4.4165999999999999</v>
      </c>
      <c r="P1141" s="5">
        <f t="shared" ca="1" si="100"/>
        <v>15.262199999999998</v>
      </c>
      <c r="Q1141" s="5">
        <f t="shared" ca="1" si="100"/>
        <v>232.44659999999996</v>
      </c>
      <c r="R1141" s="4"/>
    </row>
    <row r="1142" spans="1:18" ht="15" customHeight="1">
      <c r="A1142" s="3">
        <f t="shared" si="94"/>
        <v>2093</v>
      </c>
      <c r="B1142" s="4">
        <f t="shared" ca="1" si="99"/>
        <v>35.475633333333327</v>
      </c>
      <c r="C1142" s="4">
        <f t="shared" ca="1" si="99"/>
        <v>35.481916666666663</v>
      </c>
      <c r="D1142" s="4">
        <f t="shared" ca="1" si="99"/>
        <v>35.48116666666666</v>
      </c>
      <c r="E1142" s="4">
        <f t="shared" ca="1" si="99"/>
        <v>35.480700000000006</v>
      </c>
      <c r="F1142" s="4">
        <f t="shared" ca="1" si="99"/>
        <v>36.170849999999994</v>
      </c>
      <c r="G1142" s="4">
        <f t="shared" ca="1" si="99"/>
        <v>35.021825</v>
      </c>
      <c r="H1142" s="4">
        <f t="shared" ca="1" si="99"/>
        <v>35.940066666666667</v>
      </c>
      <c r="I1142" s="4">
        <f t="shared" ca="1" si="99"/>
        <v>34.523724999999999</v>
      </c>
      <c r="J1142" s="4">
        <f t="shared" ca="1" si="99"/>
        <v>34.366750000000003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</row>
    <row r="1143" spans="1:18" ht="15" customHeight="1">
      <c r="A1143" s="3">
        <f t="shared" si="94"/>
        <v>2094</v>
      </c>
      <c r="B1143" s="4">
        <f t="shared" ca="1" si="99"/>
        <v>36.32836666666666</v>
      </c>
      <c r="C1143" s="4">
        <f t="shared" ca="1" si="99"/>
        <v>36.33464166666667</v>
      </c>
      <c r="D1143" s="4">
        <f t="shared" ca="1" si="99"/>
        <v>36.333916666666667</v>
      </c>
      <c r="E1143" s="4">
        <f t="shared" ca="1" si="99"/>
        <v>36.333441666666666</v>
      </c>
      <c r="F1143" s="4">
        <f t="shared" ca="1" si="99"/>
        <v>37.023599999999995</v>
      </c>
      <c r="G1143" s="4">
        <f t="shared" ca="1" si="99"/>
        <v>35.862658333333336</v>
      </c>
      <c r="H1143" s="4">
        <f t="shared" ca="1" si="99"/>
        <v>36.780925000000003</v>
      </c>
      <c r="I1143" s="4">
        <f t="shared" ca="1" si="99"/>
        <v>35.34984166666667</v>
      </c>
      <c r="J1143" s="4">
        <f t="shared" ca="1" si="99"/>
        <v>35.192466666666668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</row>
    <row r="1144" spans="1:18" ht="15" customHeight="1">
      <c r="A1144" s="3">
        <f t="shared" si="94"/>
        <v>2095</v>
      </c>
      <c r="B1144" s="4">
        <f t="shared" ca="1" si="99"/>
        <v>37.201625000000007</v>
      </c>
      <c r="C1144" s="4">
        <f t="shared" ca="1" si="99"/>
        <v>37.207900000000002</v>
      </c>
      <c r="D1144" s="4">
        <f t="shared" ca="1" si="99"/>
        <v>37.207149999999999</v>
      </c>
      <c r="E1144" s="4">
        <f t="shared" ca="1" si="99"/>
        <v>37.206675000000004</v>
      </c>
      <c r="F1144" s="4">
        <f t="shared" ca="1" si="99"/>
        <v>37.896850000000001</v>
      </c>
      <c r="G1144" s="4">
        <f t="shared" ca="1" si="99"/>
        <v>36.723708333333342</v>
      </c>
      <c r="H1144" s="4">
        <f t="shared" ca="1" si="99"/>
        <v>37.641991666666662</v>
      </c>
      <c r="I1144" s="4">
        <f t="shared" ca="1" si="99"/>
        <v>36.195825000000006</v>
      </c>
      <c r="J1144" s="4">
        <f t="shared" ca="1" si="99"/>
        <v>36.038016666666671</v>
      </c>
      <c r="K1144" s="4"/>
      <c r="L1144" s="5">
        <f t="shared" ca="1" si="100"/>
        <v>355.53689999999995</v>
      </c>
      <c r="M1144" s="5">
        <f t="shared" ca="1" si="100"/>
        <v>142.0401</v>
      </c>
      <c r="N1144" s="5">
        <f t="shared" ca="1" si="100"/>
        <v>58.217499999999994</v>
      </c>
      <c r="O1144" s="5">
        <f t="shared" ca="1" si="100"/>
        <v>4.4046000000000003</v>
      </c>
      <c r="P1144" s="5">
        <f t="shared" ca="1" si="100"/>
        <v>15.220499999999998</v>
      </c>
      <c r="Q1144" s="5">
        <f t="shared" ca="1" si="100"/>
        <v>231.81149999999997</v>
      </c>
      <c r="R1144" s="4"/>
    </row>
    <row r="1145" spans="1:18" ht="15" customHeight="1">
      <c r="A1145" s="3">
        <f t="shared" si="94"/>
        <v>2096</v>
      </c>
      <c r="B1145" s="4">
        <f t="shared" ca="1" si="99"/>
        <v>38.095833333333324</v>
      </c>
      <c r="C1145" s="4">
        <f t="shared" ca="1" si="99"/>
        <v>38.102108333333334</v>
      </c>
      <c r="D1145" s="4">
        <f t="shared" ca="1" si="99"/>
        <v>38.10135833333333</v>
      </c>
      <c r="E1145" s="4">
        <f t="shared" ca="1" si="99"/>
        <v>38.100891666666662</v>
      </c>
      <c r="F1145" s="4">
        <f t="shared" ca="1" si="99"/>
        <v>38.791058333333339</v>
      </c>
      <c r="G1145" s="4">
        <f t="shared" ca="1" si="99"/>
        <v>37.605458333333324</v>
      </c>
      <c r="H1145" s="4">
        <f t="shared" ca="1" si="99"/>
        <v>38.523716666666672</v>
      </c>
      <c r="I1145" s="4">
        <f t="shared" ca="1" si="99"/>
        <v>37.062133333333335</v>
      </c>
      <c r="J1145" s="4">
        <f t="shared" ca="1" si="99"/>
        <v>36.903908333333341</v>
      </c>
      <c r="K1145" s="4"/>
      <c r="L1145" s="5">
        <f t="shared" ca="1" si="100"/>
        <v>356.48229999999995</v>
      </c>
      <c r="M1145" s="5">
        <f t="shared" ca="1" si="100"/>
        <v>142.42920000000001</v>
      </c>
      <c r="N1145" s="5">
        <f t="shared" ca="1" si="100"/>
        <v>58.377000000000002</v>
      </c>
      <c r="O1145" s="5">
        <f t="shared" ca="1" si="100"/>
        <v>4.4165999999999999</v>
      </c>
      <c r="P1145" s="5">
        <f t="shared" ca="1" si="100"/>
        <v>15.262199999999998</v>
      </c>
      <c r="Q1145" s="5">
        <f t="shared" ca="1" si="100"/>
        <v>232.44659999999996</v>
      </c>
      <c r="R1145" s="4"/>
    </row>
    <row r="1146" spans="1:18" ht="15" customHeight="1">
      <c r="A1146" s="3">
        <f t="shared" si="94"/>
        <v>2097</v>
      </c>
      <c r="B1146" s="4">
        <f t="shared" ca="1" si="99"/>
        <v>39.011541666666673</v>
      </c>
      <c r="C1146" s="4">
        <f t="shared" ca="1" si="99"/>
        <v>39.017816666666668</v>
      </c>
      <c r="D1146" s="4">
        <f t="shared" ca="1" si="99"/>
        <v>39.017066666666665</v>
      </c>
      <c r="E1146" s="4">
        <f t="shared" ca="1" si="99"/>
        <v>39.016599999999997</v>
      </c>
      <c r="F1146" s="4">
        <f t="shared" ca="1" si="99"/>
        <v>39.706774999999993</v>
      </c>
      <c r="G1146" s="4">
        <f t="shared" ca="1" si="99"/>
        <v>38.508391666666661</v>
      </c>
      <c r="H1146" s="4">
        <f t="shared" ca="1" si="99"/>
        <v>39.426650000000002</v>
      </c>
      <c r="I1146" s="4">
        <f t="shared" ca="1" si="99"/>
        <v>37.949258333333326</v>
      </c>
      <c r="J1146" s="4">
        <f t="shared" ca="1" si="99"/>
        <v>37.79056666666667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</row>
    <row r="1147" spans="1:18" ht="15" customHeight="1">
      <c r="A1147" s="3">
        <f t="shared" si="94"/>
        <v>2098</v>
      </c>
      <c r="B1147" s="4">
        <f t="shared" ca="1" si="99"/>
        <v>39.949233333333332</v>
      </c>
      <c r="C1147" s="4">
        <f t="shared" ca="1" si="99"/>
        <v>39.955516666666661</v>
      </c>
      <c r="D1147" s="4">
        <f t="shared" ca="1" si="99"/>
        <v>39.954775000000005</v>
      </c>
      <c r="E1147" s="4">
        <f t="shared" ca="1" si="99"/>
        <v>39.95429166666667</v>
      </c>
      <c r="F1147" s="4">
        <f t="shared" ca="1" si="99"/>
        <v>40.644483333333334</v>
      </c>
      <c r="G1147" s="4">
        <f t="shared" ca="1" si="99"/>
        <v>39.43301666666666</v>
      </c>
      <c r="H1147" s="4">
        <f t="shared" ca="1" si="99"/>
        <v>40.351291666666661</v>
      </c>
      <c r="I1147" s="4">
        <f t="shared" ca="1" si="99"/>
        <v>38.857683333333334</v>
      </c>
      <c r="J1147" s="4">
        <f t="shared" ca="1" si="99"/>
        <v>38.698541666666671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</row>
    <row r="1148" spans="1:18" ht="15" customHeight="1">
      <c r="A1148" s="3">
        <f t="shared" si="94"/>
        <v>2099</v>
      </c>
      <c r="B1148" s="4">
        <f t="shared" ca="1" si="99"/>
        <v>40.909475000000008</v>
      </c>
      <c r="C1148" s="4">
        <f t="shared" ca="1" si="99"/>
        <v>40.915758333333336</v>
      </c>
      <c r="D1148" s="4">
        <f t="shared" ca="1" si="99"/>
        <v>40.915016666666666</v>
      </c>
      <c r="E1148" s="4">
        <f t="shared" ca="1" si="99"/>
        <v>40.914549999999998</v>
      </c>
      <c r="F1148" s="4">
        <f t="shared" ca="1" si="99"/>
        <v>41.604716666666668</v>
      </c>
      <c r="G1148" s="4">
        <f t="shared" ca="1" si="99"/>
        <v>40.379858333333331</v>
      </c>
      <c r="H1148" s="4">
        <f t="shared" ca="1" si="99"/>
        <v>41.298124999999992</v>
      </c>
      <c r="I1148" s="4">
        <f t="shared" ca="1" si="99"/>
        <v>39.787949999999995</v>
      </c>
      <c r="J1148" s="4">
        <f t="shared" ca="1" si="99"/>
        <v>39.628333333333337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</row>
    <row r="1149" spans="1:18" ht="15" customHeight="1">
      <c r="A1149" s="3">
        <f t="shared" si="94"/>
        <v>2100</v>
      </c>
      <c r="B1149" s="4">
        <f t="shared" ca="1" si="99"/>
        <v>41.89279166666666</v>
      </c>
      <c r="C1149" s="4">
        <f t="shared" ca="1" si="99"/>
        <v>41.899074999999996</v>
      </c>
      <c r="D1149" s="4">
        <f t="shared" ca="1" si="99"/>
        <v>41.898341666666667</v>
      </c>
      <c r="E1149" s="4">
        <f t="shared" ca="1" si="99"/>
        <v>41.897866666666665</v>
      </c>
      <c r="F1149" s="4">
        <f t="shared" ca="1" si="99"/>
        <v>42.588016666666661</v>
      </c>
      <c r="G1149" s="4">
        <f t="shared" ca="1" si="99"/>
        <v>41.349441666666664</v>
      </c>
      <c r="H1149" s="4">
        <f t="shared" ca="1" si="99"/>
        <v>42.267708333333331</v>
      </c>
      <c r="I1149" s="4">
        <f t="shared" ca="1" si="99"/>
        <v>40.740558333333333</v>
      </c>
      <c r="J1149" s="4">
        <f t="shared" ca="1" si="99"/>
        <v>40.580491666666667</v>
      </c>
      <c r="K1149" s="4"/>
      <c r="L1149" s="5">
        <f t="shared" ca="1" si="100"/>
        <v>355.53689999999995</v>
      </c>
      <c r="M1149" s="5">
        <f t="shared" ca="1" si="100"/>
        <v>142.0401</v>
      </c>
      <c r="N1149" s="5">
        <f t="shared" ca="1" si="100"/>
        <v>58.217499999999994</v>
      </c>
      <c r="O1149" s="5">
        <f t="shared" ca="1" si="100"/>
        <v>4.4046000000000003</v>
      </c>
      <c r="P1149" s="5">
        <f t="shared" ca="1" si="100"/>
        <v>15.220499999999998</v>
      </c>
      <c r="Q1149" s="5">
        <f t="shared" ca="1" si="100"/>
        <v>231.81149999999997</v>
      </c>
      <c r="R1149" s="4"/>
    </row>
    <row r="1150" spans="1:18">
      <c r="A1150" s="3"/>
    </row>
    <row r="1151" spans="1:18">
      <c r="A1151" s="3"/>
    </row>
    <row r="1152" spans="1:18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</sheetData>
  <mergeCells count="2">
    <mergeCell ref="L14:R14"/>
    <mergeCell ref="L15:R15"/>
  </mergeCells>
  <pageMargins left="0.25" right="0.25" top="0.5" bottom="0.5" header="0.25" footer="0.25"/>
  <pageSetup paperSize="5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533400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12</xdr:row>
                    <xdr:rowOff>180975</xdr:rowOff>
                  </from>
                  <to>
                    <xdr:col>6</xdr:col>
                    <xdr:colOff>257175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9"/>
  <sheetViews>
    <sheetView zoomScale="70" zoomScaleNormal="70" workbookViewId="0">
      <pane xSplit="1" ySplit="17" topLeftCell="B18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7.5546875" style="28" bestFit="1" customWidth="1"/>
    <col min="2" max="2" width="7.88671875" style="28" customWidth="1"/>
    <col min="3" max="7" width="11.33203125" style="27" customWidth="1"/>
    <col min="8" max="8" width="12.77734375" style="27" bestFit="1" customWidth="1"/>
    <col min="9" max="9" width="13.21875" style="27" customWidth="1"/>
    <col min="10" max="10" width="12.77734375" style="27" customWidth="1"/>
    <col min="11" max="11" width="7.77734375" style="27" customWidth="1"/>
    <col min="12" max="16384" width="7.109375" style="27"/>
  </cols>
  <sheetData>
    <row r="1" spans="1:10" ht="15.75">
      <c r="A1" s="79" t="s">
        <v>64</v>
      </c>
    </row>
    <row r="2" spans="1:10" ht="15.75">
      <c r="A2" s="79" t="s">
        <v>65</v>
      </c>
    </row>
    <row r="3" spans="1:10" ht="15.75">
      <c r="A3" s="79" t="s">
        <v>66</v>
      </c>
    </row>
    <row r="4" spans="1:10" ht="15.75">
      <c r="A4" s="79" t="s">
        <v>67</v>
      </c>
    </row>
    <row r="5" spans="1:10" ht="15.75">
      <c r="A5" s="79" t="s">
        <v>73</v>
      </c>
    </row>
    <row r="6" spans="1:10" ht="15.75">
      <c r="A6" s="79" t="s">
        <v>72</v>
      </c>
    </row>
    <row r="9" spans="1:10" ht="20.25">
      <c r="A9" s="26" t="s">
        <v>34</v>
      </c>
    </row>
    <row r="10" spans="1:10" ht="15.75">
      <c r="A10" s="25" t="s">
        <v>24</v>
      </c>
    </row>
    <row r="12" spans="1:10">
      <c r="A12" s="27"/>
    </row>
    <row r="13" spans="1:10" ht="15.75">
      <c r="A13" s="27"/>
      <c r="B13" s="25"/>
      <c r="C13" s="48"/>
      <c r="I13" s="19"/>
    </row>
    <row r="14" spans="1:10" ht="15.75">
      <c r="A14" s="25"/>
      <c r="B14" s="25"/>
      <c r="C14" s="48"/>
      <c r="I14" s="19"/>
    </row>
    <row r="15" spans="1:10" ht="15.75">
      <c r="A15" s="25"/>
      <c r="C15" s="81" t="s">
        <v>33</v>
      </c>
      <c r="D15" s="81"/>
      <c r="E15" s="81"/>
      <c r="F15" s="47"/>
      <c r="G15" s="46"/>
      <c r="H15" s="45"/>
      <c r="I15" s="44"/>
    </row>
    <row r="16" spans="1:10" ht="97.9" customHeight="1">
      <c r="A16" s="14"/>
      <c r="B16" s="14"/>
      <c r="C16" s="17" t="s">
        <v>19</v>
      </c>
      <c r="D16" s="43" t="s">
        <v>18</v>
      </c>
      <c r="E16" s="17" t="s">
        <v>32</v>
      </c>
      <c r="F16" s="17" t="s">
        <v>31</v>
      </c>
      <c r="G16" s="17" t="s">
        <v>15</v>
      </c>
      <c r="H16" s="42" t="s">
        <v>30</v>
      </c>
      <c r="I16" s="17" t="s">
        <v>29</v>
      </c>
      <c r="J16" s="17" t="s">
        <v>28</v>
      </c>
    </row>
    <row r="17" spans="1:20" ht="15.75">
      <c r="A17" s="16" t="s">
        <v>2</v>
      </c>
      <c r="B17" s="16" t="s">
        <v>27</v>
      </c>
      <c r="C17" s="16" t="s">
        <v>26</v>
      </c>
      <c r="D17" s="16" t="s">
        <v>26</v>
      </c>
      <c r="E17" s="16" t="s">
        <v>26</v>
      </c>
      <c r="F17" s="16" t="s">
        <v>26</v>
      </c>
      <c r="G17" s="16" t="s">
        <v>26</v>
      </c>
      <c r="H17" s="41" t="s">
        <v>26</v>
      </c>
      <c r="I17" s="16" t="s">
        <v>26</v>
      </c>
      <c r="J17" s="16" t="s">
        <v>26</v>
      </c>
    </row>
    <row r="18" spans="1:20" ht="15.75">
      <c r="A18" s="11">
        <v>41640</v>
      </c>
      <c r="B18" s="39">
        <v>31</v>
      </c>
      <c r="C18" s="30">
        <v>122.58</v>
      </c>
      <c r="D18" s="30">
        <v>297.94099999999997</v>
      </c>
      <c r="E18" s="36">
        <v>729.47900000000004</v>
      </c>
      <c r="F18" s="30">
        <v>1150</v>
      </c>
      <c r="G18" s="30">
        <v>100</v>
      </c>
      <c r="H18" s="38"/>
      <c r="I18" s="30">
        <v>695</v>
      </c>
      <c r="J18" s="30">
        <v>50</v>
      </c>
      <c r="K18" s="31"/>
      <c r="L18" s="40"/>
      <c r="M18" s="31"/>
      <c r="N18" s="31"/>
      <c r="O18" s="31"/>
      <c r="P18" s="31"/>
      <c r="Q18" s="31"/>
      <c r="R18" s="31"/>
      <c r="S18" s="31"/>
      <c r="T18" s="31"/>
    </row>
    <row r="19" spans="1:20" ht="15.75">
      <c r="A19" s="11">
        <v>41671</v>
      </c>
      <c r="B19" s="39">
        <v>30</v>
      </c>
      <c r="C19" s="30">
        <v>122.58</v>
      </c>
      <c r="D19" s="30">
        <v>297.94099999999997</v>
      </c>
      <c r="E19" s="36">
        <v>729.47900000000004</v>
      </c>
      <c r="F19" s="30">
        <v>1150</v>
      </c>
      <c r="G19" s="30">
        <v>100</v>
      </c>
      <c r="H19" s="38"/>
      <c r="I19" s="30">
        <v>695</v>
      </c>
      <c r="J19" s="30">
        <v>50</v>
      </c>
      <c r="K19" s="31"/>
      <c r="L19" s="40"/>
      <c r="M19" s="31"/>
      <c r="N19" s="31"/>
      <c r="O19" s="31"/>
      <c r="P19" s="31"/>
      <c r="Q19" s="31"/>
      <c r="R19" s="31"/>
      <c r="S19" s="31"/>
      <c r="T19" s="31"/>
    </row>
    <row r="20" spans="1:20" ht="15.75">
      <c r="A20" s="11">
        <v>41699</v>
      </c>
      <c r="B20" s="39">
        <v>31</v>
      </c>
      <c r="C20" s="30">
        <v>122.58</v>
      </c>
      <c r="D20" s="30">
        <v>297.94099999999997</v>
      </c>
      <c r="E20" s="36">
        <v>729.47900000000004</v>
      </c>
      <c r="F20" s="30">
        <v>1150</v>
      </c>
      <c r="G20" s="30">
        <v>100</v>
      </c>
      <c r="H20" s="38"/>
      <c r="I20" s="30">
        <v>695</v>
      </c>
      <c r="J20" s="30">
        <v>50</v>
      </c>
      <c r="K20" s="31"/>
      <c r="L20" s="40"/>
      <c r="M20" s="31"/>
      <c r="N20" s="31"/>
      <c r="O20" s="31"/>
      <c r="P20" s="31"/>
      <c r="Q20" s="31"/>
      <c r="R20" s="31"/>
      <c r="S20" s="31"/>
      <c r="T20" s="31"/>
    </row>
    <row r="21" spans="1:20" ht="15.75">
      <c r="A21" s="11">
        <v>41730</v>
      </c>
      <c r="B21" s="39">
        <v>30</v>
      </c>
      <c r="C21" s="30">
        <v>141.29300000000001</v>
      </c>
      <c r="D21" s="30">
        <v>267.99299999999999</v>
      </c>
      <c r="E21" s="36">
        <v>829.71400000000006</v>
      </c>
      <c r="F21" s="30">
        <v>1239</v>
      </c>
      <c r="G21" s="30">
        <v>100</v>
      </c>
      <c r="H21" s="38"/>
      <c r="I21" s="30">
        <v>695</v>
      </c>
      <c r="J21" s="30">
        <v>50</v>
      </c>
      <c r="K21" s="31"/>
      <c r="L21" s="40"/>
      <c r="M21" s="31"/>
      <c r="N21" s="31"/>
      <c r="O21" s="31"/>
      <c r="P21" s="31"/>
      <c r="Q21" s="31"/>
      <c r="R21" s="31"/>
      <c r="S21" s="31"/>
      <c r="T21" s="31"/>
    </row>
    <row r="22" spans="1:20" ht="15.75">
      <c r="A22" s="11">
        <v>41760</v>
      </c>
      <c r="B22" s="39">
        <v>31</v>
      </c>
      <c r="C22" s="30">
        <v>194.20500000000001</v>
      </c>
      <c r="D22" s="30">
        <v>267.46600000000001</v>
      </c>
      <c r="E22" s="36">
        <v>862.32899999999995</v>
      </c>
      <c r="F22" s="30">
        <v>1324</v>
      </c>
      <c r="G22" s="30">
        <v>75</v>
      </c>
      <c r="H22" s="38"/>
      <c r="I22" s="30">
        <v>695</v>
      </c>
      <c r="J22" s="30">
        <v>50</v>
      </c>
      <c r="K22" s="31"/>
      <c r="L22" s="40"/>
      <c r="M22" s="31"/>
      <c r="N22" s="31"/>
      <c r="O22" s="31"/>
      <c r="P22" s="31"/>
      <c r="Q22" s="31"/>
      <c r="R22" s="31"/>
      <c r="S22" s="31"/>
      <c r="T22" s="31"/>
    </row>
    <row r="23" spans="1:20" ht="15.75">
      <c r="A23" s="11">
        <v>41791</v>
      </c>
      <c r="B23" s="39">
        <v>30</v>
      </c>
      <c r="C23" s="30">
        <v>194.20500000000001</v>
      </c>
      <c r="D23" s="30">
        <v>267.46600000000001</v>
      </c>
      <c r="E23" s="36">
        <v>862.32899999999995</v>
      </c>
      <c r="F23" s="30">
        <v>1324</v>
      </c>
      <c r="G23" s="30">
        <v>50</v>
      </c>
      <c r="H23" s="38"/>
      <c r="I23" s="30">
        <v>695</v>
      </c>
      <c r="J23" s="30">
        <v>50</v>
      </c>
      <c r="K23" s="31"/>
      <c r="L23" s="40"/>
      <c r="M23" s="31"/>
      <c r="N23" s="31"/>
      <c r="O23" s="31"/>
      <c r="P23" s="31"/>
      <c r="Q23" s="31"/>
      <c r="R23" s="31"/>
      <c r="S23" s="31"/>
      <c r="T23" s="31"/>
    </row>
    <row r="24" spans="1:20" ht="15.75">
      <c r="A24" s="11">
        <v>41821</v>
      </c>
      <c r="B24" s="39">
        <v>31</v>
      </c>
      <c r="C24" s="30">
        <v>194.20500000000001</v>
      </c>
      <c r="D24" s="30">
        <v>267.46600000000001</v>
      </c>
      <c r="E24" s="36">
        <v>862.32899999999995</v>
      </c>
      <c r="F24" s="30">
        <v>1324</v>
      </c>
      <c r="G24" s="30">
        <v>50</v>
      </c>
      <c r="H24" s="38"/>
      <c r="I24" s="30">
        <v>695</v>
      </c>
      <c r="J24" s="30">
        <v>0</v>
      </c>
      <c r="K24" s="31"/>
      <c r="L24" s="40"/>
      <c r="M24" s="31"/>
      <c r="N24" s="31"/>
      <c r="O24" s="31"/>
      <c r="P24" s="31"/>
      <c r="Q24" s="31"/>
      <c r="R24" s="31"/>
      <c r="S24" s="31"/>
      <c r="T24" s="31"/>
    </row>
    <row r="25" spans="1:20" ht="15.75">
      <c r="A25" s="11">
        <v>41852</v>
      </c>
      <c r="B25" s="39">
        <v>31</v>
      </c>
      <c r="C25" s="30">
        <v>194.20500000000001</v>
      </c>
      <c r="D25" s="30">
        <v>267.46600000000001</v>
      </c>
      <c r="E25" s="36">
        <v>862.32899999999995</v>
      </c>
      <c r="F25" s="30">
        <v>1324</v>
      </c>
      <c r="G25" s="30">
        <v>50</v>
      </c>
      <c r="H25" s="38"/>
      <c r="I25" s="30">
        <v>695</v>
      </c>
      <c r="J25" s="30">
        <v>0</v>
      </c>
      <c r="K25" s="31"/>
      <c r="L25" s="40"/>
      <c r="M25" s="31"/>
      <c r="N25" s="31"/>
      <c r="O25" s="31"/>
      <c r="P25" s="31"/>
      <c r="Q25" s="31"/>
      <c r="R25" s="31"/>
      <c r="S25" s="31"/>
      <c r="T25" s="31"/>
    </row>
    <row r="26" spans="1:20" ht="15.75">
      <c r="A26" s="11">
        <v>41883</v>
      </c>
      <c r="B26" s="39">
        <v>30</v>
      </c>
      <c r="C26" s="30">
        <v>194.20500000000001</v>
      </c>
      <c r="D26" s="30">
        <v>267.46600000000001</v>
      </c>
      <c r="E26" s="36">
        <v>862.32899999999995</v>
      </c>
      <c r="F26" s="30">
        <v>1324</v>
      </c>
      <c r="G26" s="30">
        <v>50</v>
      </c>
      <c r="H26" s="38"/>
      <c r="I26" s="30">
        <v>695</v>
      </c>
      <c r="J26" s="30">
        <v>0</v>
      </c>
      <c r="K26" s="31"/>
      <c r="L26" s="40"/>
      <c r="M26" s="31"/>
      <c r="N26" s="31"/>
      <c r="O26" s="31"/>
      <c r="P26" s="31"/>
      <c r="Q26" s="31"/>
      <c r="R26" s="31"/>
      <c r="S26" s="31"/>
      <c r="T26" s="31"/>
    </row>
    <row r="27" spans="1:20" ht="15.75">
      <c r="A27" s="11">
        <v>41913</v>
      </c>
      <c r="B27" s="39">
        <v>31</v>
      </c>
      <c r="C27" s="30">
        <v>131.881</v>
      </c>
      <c r="D27" s="30">
        <v>277.16699999999997</v>
      </c>
      <c r="E27" s="36">
        <v>829.952</v>
      </c>
      <c r="F27" s="30">
        <v>1239</v>
      </c>
      <c r="G27" s="30">
        <v>75</v>
      </c>
      <c r="H27" s="38"/>
      <c r="I27" s="30">
        <v>695</v>
      </c>
      <c r="J27" s="30">
        <v>0</v>
      </c>
      <c r="K27" s="31"/>
      <c r="L27" s="40"/>
      <c r="M27" s="31"/>
      <c r="N27" s="31"/>
      <c r="O27" s="31"/>
      <c r="P27" s="31"/>
      <c r="Q27" s="31"/>
      <c r="R27" s="31"/>
      <c r="S27" s="31"/>
      <c r="T27" s="31"/>
    </row>
    <row r="28" spans="1:20" ht="15.75">
      <c r="A28" s="11">
        <v>41944</v>
      </c>
      <c r="B28" s="39">
        <v>30</v>
      </c>
      <c r="C28" s="30">
        <v>122.58</v>
      </c>
      <c r="D28" s="30">
        <v>297.94099999999997</v>
      </c>
      <c r="E28" s="36">
        <v>729.47900000000004</v>
      </c>
      <c r="F28" s="30">
        <v>1150</v>
      </c>
      <c r="G28" s="30">
        <v>100</v>
      </c>
      <c r="H28" s="38"/>
      <c r="I28" s="30">
        <v>695</v>
      </c>
      <c r="J28" s="30">
        <v>50</v>
      </c>
      <c r="K28" s="31"/>
      <c r="L28" s="40"/>
      <c r="M28" s="31"/>
      <c r="N28" s="31"/>
      <c r="O28" s="31"/>
      <c r="P28" s="31"/>
      <c r="Q28" s="31"/>
      <c r="R28" s="31"/>
      <c r="S28" s="31"/>
      <c r="T28" s="31"/>
    </row>
    <row r="29" spans="1:20" ht="15.75">
      <c r="A29" s="11">
        <v>41974</v>
      </c>
      <c r="B29" s="39">
        <v>31</v>
      </c>
      <c r="C29" s="30">
        <v>122.58</v>
      </c>
      <c r="D29" s="30">
        <v>297.94099999999997</v>
      </c>
      <c r="E29" s="36">
        <v>729.47900000000004</v>
      </c>
      <c r="F29" s="30">
        <v>1150</v>
      </c>
      <c r="G29" s="30">
        <v>100</v>
      </c>
      <c r="H29" s="38"/>
      <c r="I29" s="30">
        <v>695</v>
      </c>
      <c r="J29" s="30">
        <v>50</v>
      </c>
      <c r="K29" s="31"/>
      <c r="L29" s="40"/>
      <c r="M29" s="31"/>
      <c r="N29" s="31"/>
      <c r="O29" s="31"/>
      <c r="P29" s="31"/>
      <c r="Q29" s="31"/>
      <c r="R29" s="31"/>
      <c r="S29" s="31"/>
      <c r="T29" s="31"/>
    </row>
    <row r="30" spans="1:20" ht="15.75">
      <c r="A30" s="11">
        <v>42005</v>
      </c>
      <c r="B30" s="39">
        <v>31</v>
      </c>
      <c r="C30" s="30">
        <v>122.58</v>
      </c>
      <c r="D30" s="30">
        <v>297.94099999999997</v>
      </c>
      <c r="E30" s="36">
        <v>729.47900000000004</v>
      </c>
      <c r="F30" s="30">
        <v>1150</v>
      </c>
      <c r="G30" s="30">
        <v>100</v>
      </c>
      <c r="H30" s="38"/>
      <c r="I30" s="30">
        <v>695</v>
      </c>
      <c r="J30" s="30">
        <v>50</v>
      </c>
      <c r="K30" s="31"/>
      <c r="L30" s="40"/>
      <c r="M30" s="31"/>
      <c r="N30" s="31"/>
      <c r="O30" s="31"/>
      <c r="P30" s="31"/>
      <c r="Q30" s="31"/>
      <c r="R30" s="31"/>
      <c r="S30" s="31"/>
      <c r="T30" s="31"/>
    </row>
    <row r="31" spans="1:20" ht="15.75">
      <c r="A31" s="11">
        <v>42036</v>
      </c>
      <c r="B31" s="39">
        <v>28</v>
      </c>
      <c r="C31" s="30">
        <v>122.58</v>
      </c>
      <c r="D31" s="30">
        <v>297.94099999999997</v>
      </c>
      <c r="E31" s="36">
        <v>729.47900000000004</v>
      </c>
      <c r="F31" s="30">
        <v>1150</v>
      </c>
      <c r="G31" s="30">
        <v>100</v>
      </c>
      <c r="H31" s="38"/>
      <c r="I31" s="30">
        <v>695</v>
      </c>
      <c r="J31" s="30">
        <v>50</v>
      </c>
      <c r="K31" s="31"/>
      <c r="L31" s="40"/>
      <c r="M31" s="31"/>
      <c r="N31" s="31"/>
      <c r="O31" s="31"/>
      <c r="P31" s="31"/>
      <c r="Q31" s="31"/>
      <c r="R31" s="31"/>
      <c r="S31" s="31"/>
      <c r="T31" s="31"/>
    </row>
    <row r="32" spans="1:20" ht="15.75">
      <c r="A32" s="11">
        <v>42064</v>
      </c>
      <c r="B32" s="39">
        <v>31</v>
      </c>
      <c r="C32" s="30">
        <v>122.58</v>
      </c>
      <c r="D32" s="30">
        <v>297.94099999999997</v>
      </c>
      <c r="E32" s="36">
        <v>729.47900000000004</v>
      </c>
      <c r="F32" s="30">
        <v>1150</v>
      </c>
      <c r="G32" s="30">
        <v>100</v>
      </c>
      <c r="H32" s="38"/>
      <c r="I32" s="30">
        <v>695</v>
      </c>
      <c r="J32" s="30">
        <v>50</v>
      </c>
      <c r="K32" s="31"/>
      <c r="L32" s="40"/>
      <c r="M32" s="31"/>
      <c r="N32" s="31"/>
      <c r="O32" s="31"/>
      <c r="P32" s="31"/>
      <c r="Q32" s="31"/>
      <c r="R32" s="31"/>
      <c r="S32" s="31"/>
      <c r="T32" s="31"/>
    </row>
    <row r="33" spans="1:20" ht="15.75">
      <c r="A33" s="11">
        <v>42095</v>
      </c>
      <c r="B33" s="39">
        <v>30</v>
      </c>
      <c r="C33" s="30">
        <v>141.29300000000001</v>
      </c>
      <c r="D33" s="30">
        <v>267.99299999999999</v>
      </c>
      <c r="E33" s="36">
        <v>829.71400000000006</v>
      </c>
      <c r="F33" s="30">
        <v>1239</v>
      </c>
      <c r="G33" s="30">
        <v>100</v>
      </c>
      <c r="H33" s="38"/>
      <c r="I33" s="30">
        <v>695</v>
      </c>
      <c r="J33" s="30">
        <v>50</v>
      </c>
      <c r="K33" s="31"/>
      <c r="L33" s="40"/>
      <c r="M33" s="31"/>
      <c r="N33" s="31"/>
      <c r="O33" s="31"/>
      <c r="P33" s="31"/>
      <c r="Q33" s="31"/>
      <c r="R33" s="31"/>
      <c r="S33" s="31"/>
      <c r="T33" s="31"/>
    </row>
    <row r="34" spans="1:20" ht="15.75">
      <c r="A34" s="11">
        <v>42125</v>
      </c>
      <c r="B34" s="39">
        <v>31</v>
      </c>
      <c r="C34" s="30">
        <v>194.20500000000001</v>
      </c>
      <c r="D34" s="30">
        <v>267.46600000000001</v>
      </c>
      <c r="E34" s="36">
        <v>862.32899999999995</v>
      </c>
      <c r="F34" s="30">
        <v>1324</v>
      </c>
      <c r="G34" s="30">
        <v>75</v>
      </c>
      <c r="H34" s="38"/>
      <c r="I34" s="30">
        <v>695</v>
      </c>
      <c r="J34" s="30">
        <v>50</v>
      </c>
      <c r="K34" s="31"/>
      <c r="L34" s="40"/>
      <c r="M34" s="31"/>
      <c r="N34" s="31"/>
      <c r="O34" s="31"/>
      <c r="P34" s="31"/>
      <c r="Q34" s="31"/>
      <c r="R34" s="31"/>
      <c r="S34" s="31"/>
      <c r="T34" s="31"/>
    </row>
    <row r="35" spans="1:20" ht="15.75">
      <c r="A35" s="11">
        <v>42156</v>
      </c>
      <c r="B35" s="39">
        <v>30</v>
      </c>
      <c r="C35" s="30">
        <v>194.20500000000001</v>
      </c>
      <c r="D35" s="30">
        <v>267.46600000000001</v>
      </c>
      <c r="E35" s="36">
        <v>862.32899999999995</v>
      </c>
      <c r="F35" s="30">
        <v>1324</v>
      </c>
      <c r="G35" s="30">
        <v>50</v>
      </c>
      <c r="H35" s="38"/>
      <c r="I35" s="30">
        <v>695</v>
      </c>
      <c r="J35" s="30">
        <v>50</v>
      </c>
      <c r="K35" s="31"/>
      <c r="L35" s="40"/>
      <c r="M35" s="31"/>
      <c r="N35" s="31"/>
      <c r="O35" s="31"/>
      <c r="P35" s="31"/>
      <c r="Q35" s="31"/>
      <c r="R35" s="31"/>
      <c r="S35" s="31"/>
      <c r="T35" s="31"/>
    </row>
    <row r="36" spans="1:20" ht="15.75">
      <c r="A36" s="11">
        <v>42186</v>
      </c>
      <c r="B36" s="39">
        <v>31</v>
      </c>
      <c r="C36" s="30">
        <v>194.20500000000001</v>
      </c>
      <c r="D36" s="30">
        <v>267.46600000000001</v>
      </c>
      <c r="E36" s="36">
        <v>862.32899999999995</v>
      </c>
      <c r="F36" s="30">
        <v>1324</v>
      </c>
      <c r="G36" s="30">
        <v>50</v>
      </c>
      <c r="H36" s="38"/>
      <c r="I36" s="30">
        <v>695</v>
      </c>
      <c r="J36" s="30">
        <v>0</v>
      </c>
      <c r="K36" s="31"/>
      <c r="L36" s="40"/>
      <c r="M36" s="31"/>
      <c r="N36" s="31"/>
      <c r="O36" s="31"/>
      <c r="P36" s="31"/>
      <c r="Q36" s="31"/>
      <c r="R36" s="31"/>
      <c r="S36" s="31"/>
      <c r="T36" s="31"/>
    </row>
    <row r="37" spans="1:20" ht="15.75">
      <c r="A37" s="11">
        <v>42217</v>
      </c>
      <c r="B37" s="39">
        <v>31</v>
      </c>
      <c r="C37" s="30">
        <v>194.20500000000001</v>
      </c>
      <c r="D37" s="30">
        <v>267.46600000000001</v>
      </c>
      <c r="E37" s="36">
        <v>862.32899999999995</v>
      </c>
      <c r="F37" s="30">
        <v>1324</v>
      </c>
      <c r="G37" s="30">
        <v>50</v>
      </c>
      <c r="H37" s="38"/>
      <c r="I37" s="30">
        <v>695</v>
      </c>
      <c r="J37" s="30">
        <v>0</v>
      </c>
      <c r="K37" s="31"/>
      <c r="L37" s="40"/>
      <c r="M37" s="31"/>
      <c r="N37" s="31"/>
      <c r="O37" s="31"/>
      <c r="P37" s="31"/>
      <c r="Q37" s="31"/>
      <c r="R37" s="31"/>
      <c r="S37" s="31"/>
      <c r="T37" s="31"/>
    </row>
    <row r="38" spans="1:20" ht="15.75">
      <c r="A38" s="11">
        <v>42248</v>
      </c>
      <c r="B38" s="39">
        <v>30</v>
      </c>
      <c r="C38" s="30">
        <v>194.20500000000001</v>
      </c>
      <c r="D38" s="30">
        <v>267.46600000000001</v>
      </c>
      <c r="E38" s="36">
        <v>862.32899999999995</v>
      </c>
      <c r="F38" s="30">
        <v>1324</v>
      </c>
      <c r="G38" s="30">
        <v>50</v>
      </c>
      <c r="H38" s="38"/>
      <c r="I38" s="30">
        <v>695</v>
      </c>
      <c r="J38" s="30">
        <v>0</v>
      </c>
      <c r="K38" s="31"/>
      <c r="L38" s="40"/>
      <c r="M38" s="31"/>
      <c r="N38" s="31"/>
      <c r="O38" s="31"/>
      <c r="P38" s="31"/>
      <c r="Q38" s="31"/>
      <c r="R38" s="31"/>
      <c r="S38" s="31"/>
      <c r="T38" s="31"/>
    </row>
    <row r="39" spans="1:20" ht="15.75">
      <c r="A39" s="11">
        <v>42278</v>
      </c>
      <c r="B39" s="39">
        <v>31</v>
      </c>
      <c r="C39" s="30">
        <v>131.881</v>
      </c>
      <c r="D39" s="30">
        <v>277.16699999999997</v>
      </c>
      <c r="E39" s="36">
        <v>829.952</v>
      </c>
      <c r="F39" s="30">
        <v>1239</v>
      </c>
      <c r="G39" s="30">
        <v>75</v>
      </c>
      <c r="H39" s="38"/>
      <c r="I39" s="30">
        <v>695</v>
      </c>
      <c r="J39" s="30">
        <v>0</v>
      </c>
      <c r="K39" s="31"/>
      <c r="L39" s="40"/>
      <c r="M39" s="31"/>
      <c r="N39" s="31"/>
      <c r="O39" s="31"/>
      <c r="P39" s="31"/>
      <c r="Q39" s="31"/>
      <c r="R39" s="31"/>
      <c r="S39" s="31"/>
      <c r="T39" s="31"/>
    </row>
    <row r="40" spans="1:20" ht="15.75">
      <c r="A40" s="11">
        <v>42309</v>
      </c>
      <c r="B40" s="39">
        <v>30</v>
      </c>
      <c r="C40" s="30">
        <v>122.58</v>
      </c>
      <c r="D40" s="30">
        <v>297.94099999999997</v>
      </c>
      <c r="E40" s="36">
        <v>729.47900000000004</v>
      </c>
      <c r="F40" s="30">
        <v>1150</v>
      </c>
      <c r="G40" s="30">
        <v>100</v>
      </c>
      <c r="H40" s="38"/>
      <c r="I40" s="30">
        <v>695</v>
      </c>
      <c r="J40" s="30">
        <v>50</v>
      </c>
      <c r="K40" s="31"/>
      <c r="L40" s="40"/>
      <c r="M40" s="31"/>
      <c r="N40" s="31"/>
      <c r="O40" s="31"/>
      <c r="P40" s="31"/>
      <c r="Q40" s="31"/>
      <c r="R40" s="31"/>
      <c r="S40" s="31"/>
      <c r="T40" s="31"/>
    </row>
    <row r="41" spans="1:20" ht="15.75">
      <c r="A41" s="11">
        <v>42339</v>
      </c>
      <c r="B41" s="39">
        <v>31</v>
      </c>
      <c r="C41" s="30">
        <v>122.58</v>
      </c>
      <c r="D41" s="30">
        <v>297.94099999999997</v>
      </c>
      <c r="E41" s="36">
        <v>729.47900000000004</v>
      </c>
      <c r="F41" s="30">
        <v>1150</v>
      </c>
      <c r="G41" s="30">
        <v>100</v>
      </c>
      <c r="H41" s="38"/>
      <c r="I41" s="30">
        <v>695</v>
      </c>
      <c r="J41" s="30">
        <v>50</v>
      </c>
      <c r="K41" s="31"/>
      <c r="L41" s="40"/>
      <c r="M41" s="31"/>
      <c r="N41" s="31"/>
      <c r="O41" s="31"/>
      <c r="P41" s="31"/>
      <c r="Q41" s="31"/>
      <c r="R41" s="31"/>
      <c r="S41" s="31"/>
      <c r="T41" s="31"/>
    </row>
    <row r="42" spans="1:20" ht="15.75">
      <c r="A42" s="11">
        <v>42370</v>
      </c>
      <c r="B42" s="39">
        <v>31</v>
      </c>
      <c r="C42" s="30">
        <v>122.58</v>
      </c>
      <c r="D42" s="30">
        <v>297.94099999999997</v>
      </c>
      <c r="E42" s="36">
        <v>729.47900000000004</v>
      </c>
      <c r="F42" s="30">
        <v>1150</v>
      </c>
      <c r="G42" s="30">
        <v>100</v>
      </c>
      <c r="H42" s="38"/>
      <c r="I42" s="30">
        <v>695</v>
      </c>
      <c r="J42" s="30">
        <v>50</v>
      </c>
      <c r="K42" s="31"/>
      <c r="L42" s="40"/>
      <c r="M42" s="31"/>
      <c r="N42" s="31"/>
      <c r="O42" s="31"/>
      <c r="P42" s="31"/>
      <c r="Q42" s="31"/>
      <c r="R42" s="31"/>
      <c r="S42" s="31"/>
      <c r="T42" s="31"/>
    </row>
    <row r="43" spans="1:20" ht="15.75">
      <c r="A43" s="11">
        <v>42401</v>
      </c>
      <c r="B43" s="39">
        <v>29</v>
      </c>
      <c r="C43" s="30">
        <v>122.58</v>
      </c>
      <c r="D43" s="30">
        <v>297.94099999999997</v>
      </c>
      <c r="E43" s="36">
        <v>729.47900000000004</v>
      </c>
      <c r="F43" s="30">
        <v>1150</v>
      </c>
      <c r="G43" s="30">
        <v>100</v>
      </c>
      <c r="H43" s="38"/>
      <c r="I43" s="30">
        <v>695</v>
      </c>
      <c r="J43" s="30">
        <v>50</v>
      </c>
      <c r="K43" s="31"/>
      <c r="L43" s="40"/>
      <c r="M43" s="31"/>
      <c r="N43" s="31"/>
      <c r="O43" s="31"/>
      <c r="P43" s="31"/>
      <c r="Q43" s="31"/>
      <c r="R43" s="31"/>
      <c r="S43" s="31"/>
      <c r="T43" s="31"/>
    </row>
    <row r="44" spans="1:20" ht="15.75">
      <c r="A44" s="11">
        <v>42430</v>
      </c>
      <c r="B44" s="39">
        <v>31</v>
      </c>
      <c r="C44" s="30">
        <v>122.58</v>
      </c>
      <c r="D44" s="30">
        <v>297.94099999999997</v>
      </c>
      <c r="E44" s="36">
        <v>729.47900000000004</v>
      </c>
      <c r="F44" s="30">
        <v>1150</v>
      </c>
      <c r="G44" s="30">
        <v>100</v>
      </c>
      <c r="H44" s="38"/>
      <c r="I44" s="30">
        <v>695</v>
      </c>
      <c r="J44" s="30">
        <v>50</v>
      </c>
      <c r="K44" s="31"/>
      <c r="L44" s="40"/>
      <c r="M44" s="31"/>
      <c r="N44" s="31"/>
      <c r="O44" s="31"/>
      <c r="P44" s="31"/>
      <c r="Q44" s="31"/>
      <c r="R44" s="31"/>
      <c r="S44" s="31"/>
      <c r="T44" s="31"/>
    </row>
    <row r="45" spans="1:20" ht="15.75">
      <c r="A45" s="11">
        <v>42461</v>
      </c>
      <c r="B45" s="39">
        <v>30</v>
      </c>
      <c r="C45" s="30">
        <v>141.29300000000001</v>
      </c>
      <c r="D45" s="30">
        <v>267.99299999999999</v>
      </c>
      <c r="E45" s="36">
        <v>829.71400000000006</v>
      </c>
      <c r="F45" s="30">
        <v>1239</v>
      </c>
      <c r="G45" s="30">
        <v>100</v>
      </c>
      <c r="H45" s="38"/>
      <c r="I45" s="30">
        <v>695</v>
      </c>
      <c r="J45" s="30">
        <v>50</v>
      </c>
      <c r="K45" s="31"/>
      <c r="L45" s="40"/>
      <c r="M45" s="31"/>
      <c r="N45" s="31"/>
      <c r="O45" s="31"/>
      <c r="P45" s="31"/>
      <c r="Q45" s="31"/>
      <c r="R45" s="31"/>
      <c r="S45" s="31"/>
      <c r="T45" s="31"/>
    </row>
    <row r="46" spans="1:20" ht="15.75">
      <c r="A46" s="11">
        <v>42491</v>
      </c>
      <c r="B46" s="39">
        <v>31</v>
      </c>
      <c r="C46" s="30">
        <v>194.20500000000001</v>
      </c>
      <c r="D46" s="30">
        <v>267.46600000000001</v>
      </c>
      <c r="E46" s="36">
        <v>812.32899999999995</v>
      </c>
      <c r="F46" s="30">
        <v>1274</v>
      </c>
      <c r="G46" s="30">
        <v>75</v>
      </c>
      <c r="H46" s="38"/>
      <c r="I46" s="30">
        <v>695</v>
      </c>
      <c r="J46" s="30">
        <v>50</v>
      </c>
      <c r="K46" s="31"/>
      <c r="L46" s="40"/>
      <c r="M46" s="31"/>
      <c r="N46" s="31"/>
      <c r="O46" s="31"/>
      <c r="P46" s="31"/>
      <c r="Q46" s="31"/>
      <c r="R46" s="31"/>
      <c r="S46" s="31"/>
      <c r="T46" s="31"/>
    </row>
    <row r="47" spans="1:20" ht="15.75">
      <c r="A47" s="11">
        <v>42522</v>
      </c>
      <c r="B47" s="39">
        <v>30</v>
      </c>
      <c r="C47" s="30">
        <v>194.20500000000001</v>
      </c>
      <c r="D47" s="30">
        <v>267.46600000000001</v>
      </c>
      <c r="E47" s="36">
        <v>812.32899999999995</v>
      </c>
      <c r="F47" s="30">
        <v>1274</v>
      </c>
      <c r="G47" s="30">
        <v>50</v>
      </c>
      <c r="H47" s="38"/>
      <c r="I47" s="30">
        <v>695</v>
      </c>
      <c r="J47" s="30">
        <v>50</v>
      </c>
      <c r="K47" s="31"/>
      <c r="L47" s="40"/>
      <c r="M47" s="31"/>
      <c r="N47" s="31"/>
      <c r="O47" s="31"/>
      <c r="P47" s="31"/>
      <c r="Q47" s="31"/>
      <c r="R47" s="31"/>
      <c r="S47" s="31"/>
      <c r="T47" s="31"/>
    </row>
    <row r="48" spans="1:20" ht="15.75">
      <c r="A48" s="11">
        <v>42552</v>
      </c>
      <c r="B48" s="39">
        <v>31</v>
      </c>
      <c r="C48" s="30">
        <v>194.20500000000001</v>
      </c>
      <c r="D48" s="30">
        <v>267.46600000000001</v>
      </c>
      <c r="E48" s="36">
        <v>812.32899999999995</v>
      </c>
      <c r="F48" s="30">
        <v>1274</v>
      </c>
      <c r="G48" s="30">
        <v>50</v>
      </c>
      <c r="H48" s="38"/>
      <c r="I48" s="30">
        <v>695</v>
      </c>
      <c r="J48" s="30">
        <v>0</v>
      </c>
      <c r="K48" s="31"/>
      <c r="L48" s="40"/>
      <c r="M48" s="31"/>
      <c r="N48" s="31"/>
      <c r="O48" s="31"/>
      <c r="P48" s="31"/>
      <c r="Q48" s="31"/>
      <c r="R48" s="31"/>
      <c r="S48" s="31"/>
      <c r="T48" s="31"/>
    </row>
    <row r="49" spans="1:20" ht="15.75">
      <c r="A49" s="11">
        <v>42583</v>
      </c>
      <c r="B49" s="39">
        <v>31</v>
      </c>
      <c r="C49" s="30">
        <v>194.20500000000001</v>
      </c>
      <c r="D49" s="30">
        <v>267.46600000000001</v>
      </c>
      <c r="E49" s="36">
        <v>812.32899999999995</v>
      </c>
      <c r="F49" s="30">
        <v>1274</v>
      </c>
      <c r="G49" s="30">
        <v>50</v>
      </c>
      <c r="H49" s="38"/>
      <c r="I49" s="30">
        <v>695</v>
      </c>
      <c r="J49" s="30">
        <v>0</v>
      </c>
      <c r="K49" s="31"/>
      <c r="L49" s="40"/>
      <c r="M49" s="31"/>
      <c r="N49" s="31"/>
      <c r="O49" s="31"/>
      <c r="P49" s="31"/>
      <c r="Q49" s="31"/>
      <c r="R49" s="31"/>
      <c r="S49" s="31"/>
      <c r="T49" s="31"/>
    </row>
    <row r="50" spans="1:20" ht="15.75">
      <c r="A50" s="11">
        <v>42614</v>
      </c>
      <c r="B50" s="39">
        <v>30</v>
      </c>
      <c r="C50" s="30">
        <v>194.20500000000001</v>
      </c>
      <c r="D50" s="30">
        <v>267.46600000000001</v>
      </c>
      <c r="E50" s="36">
        <v>812.32899999999995</v>
      </c>
      <c r="F50" s="30">
        <v>1274</v>
      </c>
      <c r="G50" s="30">
        <v>50</v>
      </c>
      <c r="H50" s="38"/>
      <c r="I50" s="30">
        <v>695</v>
      </c>
      <c r="J50" s="30">
        <v>0</v>
      </c>
      <c r="K50" s="31"/>
      <c r="L50" s="40"/>
      <c r="M50" s="31"/>
      <c r="N50" s="31"/>
      <c r="O50" s="31"/>
      <c r="P50" s="31"/>
      <c r="Q50" s="31"/>
      <c r="R50" s="31"/>
      <c r="S50" s="31"/>
      <c r="T50" s="31"/>
    </row>
    <row r="51" spans="1:20" ht="15.75">
      <c r="A51" s="11">
        <v>42644</v>
      </c>
      <c r="B51" s="39">
        <v>31</v>
      </c>
      <c r="C51" s="30">
        <v>131.881</v>
      </c>
      <c r="D51" s="30">
        <v>277.16699999999997</v>
      </c>
      <c r="E51" s="36">
        <v>829.952</v>
      </c>
      <c r="F51" s="30">
        <v>1239</v>
      </c>
      <c r="G51" s="30">
        <v>75</v>
      </c>
      <c r="H51" s="38"/>
      <c r="I51" s="30">
        <v>695</v>
      </c>
      <c r="J51" s="30">
        <v>0</v>
      </c>
      <c r="K51" s="31"/>
      <c r="L51" s="40"/>
      <c r="M51" s="31"/>
      <c r="N51" s="31"/>
      <c r="O51" s="31"/>
      <c r="P51" s="31"/>
      <c r="Q51" s="31"/>
      <c r="R51" s="31"/>
      <c r="S51" s="31"/>
      <c r="T51" s="31"/>
    </row>
    <row r="52" spans="1:20" ht="15.75">
      <c r="A52" s="11">
        <v>42675</v>
      </c>
      <c r="B52" s="39">
        <v>30</v>
      </c>
      <c r="C52" s="30">
        <v>122.58</v>
      </c>
      <c r="D52" s="30">
        <v>297.94099999999997</v>
      </c>
      <c r="E52" s="36">
        <v>729.47900000000004</v>
      </c>
      <c r="F52" s="30">
        <v>1150</v>
      </c>
      <c r="G52" s="30">
        <v>100</v>
      </c>
      <c r="H52" s="38"/>
      <c r="I52" s="30">
        <v>695</v>
      </c>
      <c r="J52" s="30">
        <v>50</v>
      </c>
      <c r="K52" s="31"/>
      <c r="L52" s="40"/>
      <c r="M52" s="31"/>
      <c r="N52" s="31"/>
      <c r="O52" s="31"/>
      <c r="P52" s="31"/>
      <c r="Q52" s="31"/>
      <c r="R52" s="31"/>
      <c r="S52" s="31"/>
      <c r="T52" s="31"/>
    </row>
    <row r="53" spans="1:20" ht="15.75">
      <c r="A53" s="11">
        <v>42705</v>
      </c>
      <c r="B53" s="39">
        <v>31</v>
      </c>
      <c r="C53" s="30">
        <v>122.58</v>
      </c>
      <c r="D53" s="30">
        <v>297.94099999999997</v>
      </c>
      <c r="E53" s="36">
        <v>729.47900000000004</v>
      </c>
      <c r="F53" s="30">
        <v>1150</v>
      </c>
      <c r="G53" s="30">
        <v>100</v>
      </c>
      <c r="H53" s="38"/>
      <c r="I53" s="30">
        <v>695</v>
      </c>
      <c r="J53" s="30">
        <v>50</v>
      </c>
      <c r="K53" s="31"/>
      <c r="L53" s="40"/>
      <c r="M53" s="31"/>
      <c r="N53" s="31"/>
      <c r="O53" s="31"/>
      <c r="P53" s="31"/>
      <c r="Q53" s="31"/>
      <c r="R53" s="31"/>
      <c r="S53" s="31"/>
      <c r="T53" s="31"/>
    </row>
    <row r="54" spans="1:20" ht="15.75">
      <c r="A54" s="11">
        <v>42736</v>
      </c>
      <c r="B54" s="39">
        <v>31</v>
      </c>
      <c r="C54" s="30">
        <v>122.58</v>
      </c>
      <c r="D54" s="30">
        <v>297.94099999999997</v>
      </c>
      <c r="E54" s="36">
        <v>729.47900000000004</v>
      </c>
      <c r="F54" s="30">
        <v>1150</v>
      </c>
      <c r="G54" s="30">
        <v>100</v>
      </c>
      <c r="H54" s="38"/>
      <c r="I54" s="30">
        <v>695</v>
      </c>
      <c r="J54" s="30">
        <v>50</v>
      </c>
      <c r="K54" s="31"/>
      <c r="L54" s="40"/>
      <c r="M54" s="31"/>
      <c r="N54" s="31"/>
      <c r="O54" s="31"/>
      <c r="P54" s="31"/>
      <c r="Q54" s="31"/>
      <c r="R54" s="31"/>
      <c r="S54" s="31"/>
      <c r="T54" s="31"/>
    </row>
    <row r="55" spans="1:20" ht="15.75">
      <c r="A55" s="11">
        <v>42767</v>
      </c>
      <c r="B55" s="39">
        <v>28</v>
      </c>
      <c r="C55" s="30">
        <v>122.58</v>
      </c>
      <c r="D55" s="30">
        <v>297.94099999999997</v>
      </c>
      <c r="E55" s="36">
        <v>729.47900000000004</v>
      </c>
      <c r="F55" s="30">
        <v>1150</v>
      </c>
      <c r="G55" s="30">
        <v>100</v>
      </c>
      <c r="H55" s="38"/>
      <c r="I55" s="30">
        <v>695</v>
      </c>
      <c r="J55" s="30">
        <v>50</v>
      </c>
      <c r="K55" s="31"/>
      <c r="L55" s="40"/>
      <c r="M55" s="31"/>
      <c r="N55" s="31"/>
      <c r="O55" s="31"/>
      <c r="P55" s="31"/>
      <c r="Q55" s="31"/>
      <c r="R55" s="31"/>
      <c r="S55" s="31"/>
      <c r="T55" s="31"/>
    </row>
    <row r="56" spans="1:20" ht="15.75">
      <c r="A56" s="11">
        <v>42795</v>
      </c>
      <c r="B56" s="39">
        <v>31</v>
      </c>
      <c r="C56" s="30">
        <v>122.58</v>
      </c>
      <c r="D56" s="30">
        <v>297.94099999999997</v>
      </c>
      <c r="E56" s="36">
        <v>729.47900000000004</v>
      </c>
      <c r="F56" s="30">
        <v>1150</v>
      </c>
      <c r="G56" s="30">
        <v>100</v>
      </c>
      <c r="H56" s="38"/>
      <c r="I56" s="30">
        <v>695</v>
      </c>
      <c r="J56" s="30">
        <v>50</v>
      </c>
      <c r="K56" s="31"/>
      <c r="L56" s="40"/>
      <c r="M56" s="31"/>
      <c r="N56" s="31"/>
      <c r="O56" s="31"/>
      <c r="P56" s="31"/>
      <c r="Q56" s="31"/>
      <c r="R56" s="31"/>
      <c r="S56" s="31"/>
      <c r="T56" s="31"/>
    </row>
    <row r="57" spans="1:20" ht="15.75">
      <c r="A57" s="11">
        <v>42826</v>
      </c>
      <c r="B57" s="39">
        <v>30</v>
      </c>
      <c r="C57" s="30">
        <v>141.29300000000001</v>
      </c>
      <c r="D57" s="30">
        <v>267.99299999999999</v>
      </c>
      <c r="E57" s="36">
        <v>829.71400000000006</v>
      </c>
      <c r="F57" s="30">
        <v>1239</v>
      </c>
      <c r="G57" s="30">
        <v>100</v>
      </c>
      <c r="H57" s="38"/>
      <c r="I57" s="30">
        <v>695</v>
      </c>
      <c r="J57" s="30">
        <v>50</v>
      </c>
      <c r="K57" s="31"/>
      <c r="L57" s="40"/>
      <c r="M57" s="31"/>
      <c r="N57" s="31"/>
      <c r="O57" s="31"/>
      <c r="P57" s="31"/>
      <c r="Q57" s="31"/>
      <c r="R57" s="31"/>
      <c r="S57" s="31"/>
      <c r="T57" s="31"/>
    </row>
    <row r="58" spans="1:20" ht="15.75">
      <c r="A58" s="11">
        <v>42856</v>
      </c>
      <c r="B58" s="39">
        <v>31</v>
      </c>
      <c r="C58" s="30">
        <v>194.20500000000001</v>
      </c>
      <c r="D58" s="30">
        <v>267.46600000000001</v>
      </c>
      <c r="E58" s="36">
        <v>812.32899999999995</v>
      </c>
      <c r="F58" s="30">
        <v>1274</v>
      </c>
      <c r="G58" s="30">
        <v>75</v>
      </c>
      <c r="H58" s="38">
        <v>400</v>
      </c>
      <c r="I58" s="30">
        <v>695</v>
      </c>
      <c r="J58" s="30">
        <v>50</v>
      </c>
      <c r="K58" s="31"/>
      <c r="L58" s="40"/>
      <c r="M58" s="31"/>
      <c r="N58" s="31"/>
      <c r="O58" s="31"/>
      <c r="P58" s="31"/>
      <c r="Q58" s="31"/>
      <c r="R58" s="31"/>
      <c r="S58" s="31"/>
      <c r="T58" s="31"/>
    </row>
    <row r="59" spans="1:20" ht="15.75">
      <c r="A59" s="11">
        <v>42887</v>
      </c>
      <c r="B59" s="39">
        <v>30</v>
      </c>
      <c r="C59" s="30">
        <v>194.20500000000001</v>
      </c>
      <c r="D59" s="30">
        <v>267.46600000000001</v>
      </c>
      <c r="E59" s="36">
        <v>812.32899999999995</v>
      </c>
      <c r="F59" s="30">
        <v>1274</v>
      </c>
      <c r="G59" s="30">
        <v>50</v>
      </c>
      <c r="H59" s="38">
        <v>400</v>
      </c>
      <c r="I59" s="30">
        <v>695</v>
      </c>
      <c r="J59" s="30">
        <v>50</v>
      </c>
      <c r="K59" s="31"/>
      <c r="L59" s="40"/>
      <c r="M59" s="31"/>
      <c r="N59" s="31"/>
      <c r="O59" s="31"/>
      <c r="P59" s="31"/>
      <c r="Q59" s="31"/>
      <c r="R59" s="31"/>
      <c r="S59" s="31"/>
      <c r="T59" s="31"/>
    </row>
    <row r="60" spans="1:20" ht="15.75">
      <c r="A60" s="11">
        <v>42917</v>
      </c>
      <c r="B60" s="39">
        <v>31</v>
      </c>
      <c r="C60" s="30">
        <v>194.20500000000001</v>
      </c>
      <c r="D60" s="30">
        <v>267.46600000000001</v>
      </c>
      <c r="E60" s="36">
        <v>812.32899999999995</v>
      </c>
      <c r="F60" s="30">
        <v>1274</v>
      </c>
      <c r="G60" s="30">
        <v>50</v>
      </c>
      <c r="H60" s="38">
        <v>400</v>
      </c>
      <c r="I60" s="30">
        <v>695</v>
      </c>
      <c r="J60" s="30">
        <v>0</v>
      </c>
      <c r="K60" s="31"/>
      <c r="L60" s="40"/>
      <c r="M60" s="31"/>
      <c r="N60" s="31"/>
      <c r="O60" s="31"/>
      <c r="P60" s="31"/>
      <c r="Q60" s="31"/>
      <c r="R60" s="31"/>
      <c r="S60" s="31"/>
      <c r="T60" s="31"/>
    </row>
    <row r="61" spans="1:20" ht="15.75">
      <c r="A61" s="11">
        <v>42948</v>
      </c>
      <c r="B61" s="39">
        <v>31</v>
      </c>
      <c r="C61" s="30">
        <v>194.20500000000001</v>
      </c>
      <c r="D61" s="30">
        <v>267.46600000000001</v>
      </c>
      <c r="E61" s="36">
        <v>812.32899999999995</v>
      </c>
      <c r="F61" s="30">
        <v>1274</v>
      </c>
      <c r="G61" s="30">
        <v>50</v>
      </c>
      <c r="H61" s="38">
        <v>400</v>
      </c>
      <c r="I61" s="30">
        <v>695</v>
      </c>
      <c r="J61" s="30">
        <v>0</v>
      </c>
      <c r="K61" s="31"/>
      <c r="L61" s="40"/>
      <c r="M61" s="31"/>
      <c r="N61" s="31"/>
      <c r="O61" s="31"/>
      <c r="P61" s="31"/>
      <c r="Q61" s="31"/>
      <c r="R61" s="31"/>
      <c r="S61" s="31"/>
      <c r="T61" s="31"/>
    </row>
    <row r="62" spans="1:20" ht="15.75">
      <c r="A62" s="11">
        <v>42979</v>
      </c>
      <c r="B62" s="39">
        <v>30</v>
      </c>
      <c r="C62" s="30">
        <v>194.20500000000001</v>
      </c>
      <c r="D62" s="30">
        <v>267.46600000000001</v>
      </c>
      <c r="E62" s="36">
        <v>812.32899999999995</v>
      </c>
      <c r="F62" s="30">
        <v>1274</v>
      </c>
      <c r="G62" s="30">
        <v>50</v>
      </c>
      <c r="H62" s="38">
        <v>400</v>
      </c>
      <c r="I62" s="30">
        <v>695</v>
      </c>
      <c r="J62" s="30">
        <v>0</v>
      </c>
      <c r="K62" s="31"/>
      <c r="L62" s="40"/>
      <c r="M62" s="31"/>
      <c r="N62" s="31"/>
      <c r="O62" s="31"/>
      <c r="P62" s="31"/>
      <c r="Q62" s="31"/>
      <c r="R62" s="31"/>
      <c r="S62" s="31"/>
      <c r="T62" s="31"/>
    </row>
    <row r="63" spans="1:20" ht="15.75">
      <c r="A63" s="11">
        <v>43009</v>
      </c>
      <c r="B63" s="39">
        <v>31</v>
      </c>
      <c r="C63" s="30">
        <v>131.881</v>
      </c>
      <c r="D63" s="30">
        <v>277.16699999999997</v>
      </c>
      <c r="E63" s="36">
        <v>829.952</v>
      </c>
      <c r="F63" s="30">
        <v>1239</v>
      </c>
      <c r="G63" s="30">
        <v>75</v>
      </c>
      <c r="H63" s="38">
        <v>400</v>
      </c>
      <c r="I63" s="30">
        <v>695</v>
      </c>
      <c r="J63" s="30">
        <v>0</v>
      </c>
      <c r="K63" s="31"/>
      <c r="L63" s="40"/>
      <c r="M63" s="31"/>
      <c r="N63" s="31"/>
      <c r="O63" s="31"/>
      <c r="P63" s="31"/>
      <c r="Q63" s="31"/>
      <c r="R63" s="31"/>
      <c r="S63" s="31"/>
      <c r="T63" s="31"/>
    </row>
    <row r="64" spans="1:20" ht="15.75">
      <c r="A64" s="11">
        <v>43040</v>
      </c>
      <c r="B64" s="39">
        <v>30</v>
      </c>
      <c r="C64" s="30">
        <v>122.58</v>
      </c>
      <c r="D64" s="30">
        <v>297.94099999999997</v>
      </c>
      <c r="E64" s="36">
        <v>729.47900000000004</v>
      </c>
      <c r="F64" s="30">
        <v>1150</v>
      </c>
      <c r="G64" s="30">
        <v>100</v>
      </c>
      <c r="H64" s="38">
        <v>400</v>
      </c>
      <c r="I64" s="30">
        <v>695</v>
      </c>
      <c r="J64" s="30">
        <v>50</v>
      </c>
      <c r="K64" s="31"/>
      <c r="L64" s="40"/>
      <c r="M64" s="31"/>
      <c r="N64" s="31"/>
      <c r="O64" s="31"/>
      <c r="P64" s="31"/>
      <c r="Q64" s="31"/>
      <c r="R64" s="31"/>
      <c r="S64" s="31"/>
      <c r="T64" s="31"/>
    </row>
    <row r="65" spans="1:20" ht="15.75">
      <c r="A65" s="11">
        <v>43070</v>
      </c>
      <c r="B65" s="39">
        <v>31</v>
      </c>
      <c r="C65" s="30">
        <v>122.58</v>
      </c>
      <c r="D65" s="30">
        <v>297.94099999999997</v>
      </c>
      <c r="E65" s="36">
        <v>729.47900000000004</v>
      </c>
      <c r="F65" s="30">
        <v>1150</v>
      </c>
      <c r="G65" s="30">
        <v>100</v>
      </c>
      <c r="H65" s="38">
        <v>400</v>
      </c>
      <c r="I65" s="30">
        <v>695</v>
      </c>
      <c r="J65" s="30">
        <v>50</v>
      </c>
      <c r="K65" s="31"/>
      <c r="L65" s="40"/>
      <c r="M65" s="31"/>
      <c r="N65" s="31"/>
      <c r="O65" s="31"/>
      <c r="P65" s="31"/>
      <c r="Q65" s="31"/>
      <c r="R65" s="31"/>
      <c r="S65" s="31"/>
      <c r="T65" s="31"/>
    </row>
    <row r="66" spans="1:20" ht="15.75">
      <c r="A66" s="11">
        <v>43101</v>
      </c>
      <c r="B66" s="39">
        <v>31</v>
      </c>
      <c r="C66" s="30">
        <v>122.58</v>
      </c>
      <c r="D66" s="30">
        <v>297.94099999999997</v>
      </c>
      <c r="E66" s="36">
        <v>729.47900000000004</v>
      </c>
      <c r="F66" s="30">
        <v>1150</v>
      </c>
      <c r="G66" s="30">
        <v>100</v>
      </c>
      <c r="H66" s="38">
        <v>400</v>
      </c>
      <c r="I66" s="30">
        <v>695</v>
      </c>
      <c r="J66" s="30">
        <v>50</v>
      </c>
      <c r="K66" s="31"/>
      <c r="L66" s="40"/>
      <c r="M66" s="31"/>
      <c r="N66" s="31"/>
      <c r="O66" s="31"/>
      <c r="P66" s="31"/>
      <c r="Q66" s="31"/>
      <c r="R66" s="31"/>
      <c r="S66" s="31"/>
      <c r="T66" s="31"/>
    </row>
    <row r="67" spans="1:20" ht="15.75">
      <c r="A67" s="11">
        <v>43132</v>
      </c>
      <c r="B67" s="39">
        <v>28</v>
      </c>
      <c r="C67" s="30">
        <v>122.58</v>
      </c>
      <c r="D67" s="30">
        <v>297.94099999999997</v>
      </c>
      <c r="E67" s="36">
        <v>729.47900000000004</v>
      </c>
      <c r="F67" s="30">
        <v>1150</v>
      </c>
      <c r="G67" s="30">
        <v>100</v>
      </c>
      <c r="H67" s="38">
        <v>400</v>
      </c>
      <c r="I67" s="30">
        <v>695</v>
      </c>
      <c r="J67" s="30">
        <v>50</v>
      </c>
      <c r="K67" s="31"/>
      <c r="L67" s="40"/>
      <c r="M67" s="31"/>
      <c r="N67" s="31"/>
      <c r="O67" s="31"/>
      <c r="P67" s="31"/>
      <c r="Q67" s="31"/>
      <c r="R67" s="31"/>
      <c r="S67" s="31"/>
      <c r="T67" s="31"/>
    </row>
    <row r="68" spans="1:20" ht="15.75">
      <c r="A68" s="11">
        <v>43160</v>
      </c>
      <c r="B68" s="39">
        <v>31</v>
      </c>
      <c r="C68" s="30">
        <v>122.58</v>
      </c>
      <c r="D68" s="30">
        <v>297.94099999999997</v>
      </c>
      <c r="E68" s="36">
        <v>729.47900000000004</v>
      </c>
      <c r="F68" s="30">
        <v>1150</v>
      </c>
      <c r="G68" s="30">
        <v>100</v>
      </c>
      <c r="H68" s="38">
        <v>400</v>
      </c>
      <c r="I68" s="30">
        <v>695</v>
      </c>
      <c r="J68" s="30">
        <v>50</v>
      </c>
      <c r="K68" s="31"/>
      <c r="L68" s="40"/>
      <c r="M68" s="31"/>
      <c r="N68" s="31"/>
      <c r="O68" s="31"/>
      <c r="P68" s="31"/>
      <c r="Q68" s="31"/>
      <c r="R68" s="31"/>
      <c r="S68" s="31"/>
      <c r="T68" s="31"/>
    </row>
    <row r="69" spans="1:20" ht="15.75">
      <c r="A69" s="11">
        <v>43191</v>
      </c>
      <c r="B69" s="39">
        <v>30</v>
      </c>
      <c r="C69" s="30">
        <v>141.29300000000001</v>
      </c>
      <c r="D69" s="30">
        <v>267.99299999999999</v>
      </c>
      <c r="E69" s="36">
        <v>829.71400000000006</v>
      </c>
      <c r="F69" s="30">
        <v>1239</v>
      </c>
      <c r="G69" s="30">
        <v>100</v>
      </c>
      <c r="H69" s="38">
        <v>400</v>
      </c>
      <c r="I69" s="30">
        <v>695</v>
      </c>
      <c r="J69" s="30">
        <v>50</v>
      </c>
      <c r="K69" s="31"/>
      <c r="L69" s="40"/>
      <c r="M69" s="31"/>
      <c r="N69" s="31"/>
      <c r="O69" s="31"/>
      <c r="P69" s="31"/>
      <c r="Q69" s="31"/>
      <c r="R69" s="31"/>
      <c r="S69" s="31"/>
      <c r="T69" s="31"/>
    </row>
    <row r="70" spans="1:20" ht="15.75">
      <c r="A70" s="11">
        <v>43221</v>
      </c>
      <c r="B70" s="39">
        <v>31</v>
      </c>
      <c r="C70" s="30">
        <v>194.20500000000001</v>
      </c>
      <c r="D70" s="30">
        <v>267.46600000000001</v>
      </c>
      <c r="E70" s="36">
        <v>812.32899999999995</v>
      </c>
      <c r="F70" s="30">
        <v>1274</v>
      </c>
      <c r="G70" s="30">
        <v>75</v>
      </c>
      <c r="H70" s="38">
        <v>400</v>
      </c>
      <c r="I70" s="30">
        <v>695</v>
      </c>
      <c r="J70" s="30">
        <v>50</v>
      </c>
      <c r="K70" s="31"/>
      <c r="L70" s="40"/>
      <c r="M70" s="31"/>
      <c r="N70" s="31"/>
      <c r="O70" s="31"/>
      <c r="P70" s="31"/>
      <c r="Q70" s="31"/>
      <c r="R70" s="31"/>
      <c r="S70" s="31"/>
      <c r="T70" s="31"/>
    </row>
    <row r="71" spans="1:20" ht="15.75">
      <c r="A71" s="11">
        <v>43252</v>
      </c>
      <c r="B71" s="39">
        <v>30</v>
      </c>
      <c r="C71" s="30">
        <v>194.20500000000001</v>
      </c>
      <c r="D71" s="30">
        <v>267.46600000000001</v>
      </c>
      <c r="E71" s="36">
        <v>812.32899999999995</v>
      </c>
      <c r="F71" s="30">
        <v>1274</v>
      </c>
      <c r="G71" s="30">
        <v>50</v>
      </c>
      <c r="H71" s="38">
        <v>400</v>
      </c>
      <c r="I71" s="30">
        <v>695</v>
      </c>
      <c r="J71" s="30">
        <v>50</v>
      </c>
      <c r="K71" s="31"/>
      <c r="L71" s="40"/>
      <c r="M71" s="31"/>
      <c r="N71" s="31"/>
      <c r="O71" s="31"/>
      <c r="P71" s="31"/>
      <c r="Q71" s="31"/>
      <c r="R71" s="31"/>
      <c r="S71" s="31"/>
      <c r="T71" s="31"/>
    </row>
    <row r="72" spans="1:20" ht="15.75">
      <c r="A72" s="11">
        <v>43282</v>
      </c>
      <c r="B72" s="39">
        <v>31</v>
      </c>
      <c r="C72" s="30">
        <v>194.20500000000001</v>
      </c>
      <c r="D72" s="30">
        <v>267.46600000000001</v>
      </c>
      <c r="E72" s="36">
        <v>812.32899999999995</v>
      </c>
      <c r="F72" s="30">
        <v>1274</v>
      </c>
      <c r="G72" s="30">
        <v>50</v>
      </c>
      <c r="H72" s="38">
        <v>400</v>
      </c>
      <c r="I72" s="30">
        <v>695</v>
      </c>
      <c r="J72" s="30">
        <v>0</v>
      </c>
      <c r="K72" s="31"/>
      <c r="L72" s="40"/>
      <c r="M72" s="31"/>
      <c r="N72" s="31"/>
      <c r="O72" s="31"/>
      <c r="P72" s="31"/>
      <c r="Q72" s="31"/>
      <c r="R72" s="31"/>
      <c r="S72" s="31"/>
      <c r="T72" s="31"/>
    </row>
    <row r="73" spans="1:20" ht="15.75">
      <c r="A73" s="11">
        <v>43313</v>
      </c>
      <c r="B73" s="39">
        <v>31</v>
      </c>
      <c r="C73" s="30">
        <v>194.20500000000001</v>
      </c>
      <c r="D73" s="30">
        <v>267.46600000000001</v>
      </c>
      <c r="E73" s="36">
        <v>812.32899999999995</v>
      </c>
      <c r="F73" s="30">
        <v>1274</v>
      </c>
      <c r="G73" s="30">
        <v>50</v>
      </c>
      <c r="H73" s="38">
        <v>400</v>
      </c>
      <c r="I73" s="30">
        <v>695</v>
      </c>
      <c r="J73" s="30">
        <v>0</v>
      </c>
      <c r="K73" s="31"/>
      <c r="L73" s="40"/>
      <c r="M73" s="31"/>
      <c r="N73" s="31"/>
      <c r="O73" s="31"/>
      <c r="P73" s="31"/>
      <c r="Q73" s="31"/>
      <c r="R73" s="31"/>
      <c r="S73" s="31"/>
      <c r="T73" s="31"/>
    </row>
    <row r="74" spans="1:20" ht="15.75">
      <c r="A74" s="11">
        <v>43344</v>
      </c>
      <c r="B74" s="39">
        <v>30</v>
      </c>
      <c r="C74" s="30">
        <v>194.20500000000001</v>
      </c>
      <c r="D74" s="30">
        <v>267.46600000000001</v>
      </c>
      <c r="E74" s="36">
        <v>812.32899999999995</v>
      </c>
      <c r="F74" s="30">
        <v>1274</v>
      </c>
      <c r="G74" s="30">
        <v>50</v>
      </c>
      <c r="H74" s="38">
        <v>400</v>
      </c>
      <c r="I74" s="30">
        <v>695</v>
      </c>
      <c r="J74" s="30">
        <v>0</v>
      </c>
      <c r="K74" s="31"/>
      <c r="L74" s="40"/>
      <c r="M74" s="31"/>
      <c r="N74" s="31"/>
      <c r="O74" s="31"/>
      <c r="P74" s="31"/>
      <c r="Q74" s="31"/>
      <c r="R74" s="31"/>
      <c r="S74" s="31"/>
      <c r="T74" s="31"/>
    </row>
    <row r="75" spans="1:20" ht="15.75">
      <c r="A75" s="11">
        <v>43374</v>
      </c>
      <c r="B75" s="39">
        <v>31</v>
      </c>
      <c r="C75" s="30">
        <v>131.881</v>
      </c>
      <c r="D75" s="30">
        <v>277.16699999999997</v>
      </c>
      <c r="E75" s="36">
        <v>829.952</v>
      </c>
      <c r="F75" s="30">
        <v>1239</v>
      </c>
      <c r="G75" s="30">
        <v>75</v>
      </c>
      <c r="H75" s="38">
        <v>400</v>
      </c>
      <c r="I75" s="30">
        <v>695</v>
      </c>
      <c r="J75" s="30">
        <v>0</v>
      </c>
      <c r="K75" s="31"/>
      <c r="L75" s="40"/>
      <c r="M75" s="31"/>
      <c r="N75" s="31"/>
      <c r="O75" s="31"/>
      <c r="P75" s="31"/>
      <c r="Q75" s="31"/>
      <c r="R75" s="31"/>
      <c r="S75" s="31"/>
      <c r="T75" s="31"/>
    </row>
    <row r="76" spans="1:20" ht="15.75">
      <c r="A76" s="11">
        <v>43405</v>
      </c>
      <c r="B76" s="39">
        <v>30</v>
      </c>
      <c r="C76" s="30">
        <v>122.58</v>
      </c>
      <c r="D76" s="30">
        <v>297.94099999999997</v>
      </c>
      <c r="E76" s="36">
        <v>729.47900000000004</v>
      </c>
      <c r="F76" s="30">
        <v>1150</v>
      </c>
      <c r="G76" s="30">
        <v>100</v>
      </c>
      <c r="H76" s="38">
        <v>400</v>
      </c>
      <c r="I76" s="30">
        <v>695</v>
      </c>
      <c r="J76" s="30">
        <v>50</v>
      </c>
      <c r="K76" s="31"/>
      <c r="L76" s="40"/>
      <c r="M76" s="31"/>
      <c r="N76" s="31"/>
      <c r="O76" s="31"/>
      <c r="P76" s="31"/>
      <c r="Q76" s="31"/>
      <c r="R76" s="31"/>
      <c r="S76" s="31"/>
      <c r="T76" s="31"/>
    </row>
    <row r="77" spans="1:20" ht="15.75">
      <c r="A77" s="11">
        <v>43435</v>
      </c>
      <c r="B77" s="39">
        <v>31</v>
      </c>
      <c r="C77" s="30">
        <v>122.58</v>
      </c>
      <c r="D77" s="30">
        <v>297.94099999999997</v>
      </c>
      <c r="E77" s="36">
        <v>729.47900000000004</v>
      </c>
      <c r="F77" s="30">
        <v>1150</v>
      </c>
      <c r="G77" s="30">
        <v>100</v>
      </c>
      <c r="H77" s="38">
        <v>400</v>
      </c>
      <c r="I77" s="30">
        <v>695</v>
      </c>
      <c r="J77" s="30">
        <v>50</v>
      </c>
      <c r="K77" s="31"/>
      <c r="L77" s="40"/>
      <c r="M77" s="31"/>
      <c r="N77" s="31"/>
      <c r="O77" s="31"/>
      <c r="P77" s="31"/>
      <c r="Q77" s="31"/>
      <c r="R77" s="31"/>
      <c r="S77" s="31"/>
      <c r="T77" s="31"/>
    </row>
    <row r="78" spans="1:20" ht="15.75">
      <c r="A78" s="11">
        <v>43466</v>
      </c>
      <c r="B78" s="39">
        <v>31</v>
      </c>
      <c r="C78" s="30">
        <v>122.58</v>
      </c>
      <c r="D78" s="30">
        <v>297.94099999999997</v>
      </c>
      <c r="E78" s="36">
        <v>729.47900000000004</v>
      </c>
      <c r="F78" s="30">
        <v>1150</v>
      </c>
      <c r="G78" s="30">
        <v>100</v>
      </c>
      <c r="H78" s="38">
        <v>400</v>
      </c>
      <c r="I78" s="30">
        <v>695</v>
      </c>
      <c r="J78" s="30">
        <v>50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5.75">
      <c r="A79" s="11">
        <v>43497</v>
      </c>
      <c r="B79" s="39">
        <v>28</v>
      </c>
      <c r="C79" s="30">
        <v>122.58</v>
      </c>
      <c r="D79" s="30">
        <v>297.94099999999997</v>
      </c>
      <c r="E79" s="36">
        <v>729.47900000000004</v>
      </c>
      <c r="F79" s="30">
        <v>1150</v>
      </c>
      <c r="G79" s="30">
        <v>100</v>
      </c>
      <c r="H79" s="38">
        <v>400</v>
      </c>
      <c r="I79" s="30">
        <v>695</v>
      </c>
      <c r="J79" s="30">
        <v>50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ht="15.75">
      <c r="A80" s="11">
        <v>43525</v>
      </c>
      <c r="B80" s="39">
        <v>31</v>
      </c>
      <c r="C80" s="30">
        <v>122.58</v>
      </c>
      <c r="D80" s="30">
        <v>297.94099999999997</v>
      </c>
      <c r="E80" s="36">
        <v>729.47900000000004</v>
      </c>
      <c r="F80" s="30">
        <v>1150</v>
      </c>
      <c r="G80" s="30">
        <v>100</v>
      </c>
      <c r="H80" s="38">
        <v>400</v>
      </c>
      <c r="I80" s="30">
        <v>695</v>
      </c>
      <c r="J80" s="30">
        <v>50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ht="15.75">
      <c r="A81" s="11">
        <v>43556</v>
      </c>
      <c r="B81" s="39">
        <v>30</v>
      </c>
      <c r="C81" s="30">
        <v>141.29300000000001</v>
      </c>
      <c r="D81" s="30">
        <v>267.99299999999999</v>
      </c>
      <c r="E81" s="36">
        <v>829.71400000000006</v>
      </c>
      <c r="F81" s="30">
        <v>1239</v>
      </c>
      <c r="G81" s="30">
        <v>100</v>
      </c>
      <c r="H81" s="38">
        <v>400</v>
      </c>
      <c r="I81" s="30">
        <v>695</v>
      </c>
      <c r="J81" s="30">
        <v>50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15.75">
      <c r="A82" s="11">
        <v>43586</v>
      </c>
      <c r="B82" s="39">
        <v>31</v>
      </c>
      <c r="C82" s="30">
        <v>194.20500000000001</v>
      </c>
      <c r="D82" s="30">
        <v>267.46600000000001</v>
      </c>
      <c r="E82" s="36">
        <v>812.32899999999995</v>
      </c>
      <c r="F82" s="30">
        <v>1274</v>
      </c>
      <c r="G82" s="30">
        <v>75</v>
      </c>
      <c r="H82" s="38">
        <v>400</v>
      </c>
      <c r="I82" s="30">
        <v>695</v>
      </c>
      <c r="J82" s="30">
        <v>50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ht="15.75">
      <c r="A83" s="11">
        <v>43617</v>
      </c>
      <c r="B83" s="39">
        <v>30</v>
      </c>
      <c r="C83" s="30">
        <v>194.20500000000001</v>
      </c>
      <c r="D83" s="30">
        <v>267.46600000000001</v>
      </c>
      <c r="E83" s="36">
        <v>812.32899999999995</v>
      </c>
      <c r="F83" s="30">
        <v>1274</v>
      </c>
      <c r="G83" s="30">
        <v>50</v>
      </c>
      <c r="H83" s="38">
        <v>400</v>
      </c>
      <c r="I83" s="30">
        <v>695</v>
      </c>
      <c r="J83" s="30">
        <v>50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ht="15.75">
      <c r="A84" s="11">
        <v>43647</v>
      </c>
      <c r="B84" s="39">
        <v>31</v>
      </c>
      <c r="C84" s="30">
        <v>194.20500000000001</v>
      </c>
      <c r="D84" s="30">
        <v>267.46600000000001</v>
      </c>
      <c r="E84" s="36">
        <v>812.32899999999995</v>
      </c>
      <c r="F84" s="30">
        <v>1274</v>
      </c>
      <c r="G84" s="30">
        <v>50</v>
      </c>
      <c r="H84" s="38">
        <v>400</v>
      </c>
      <c r="I84" s="30">
        <v>695</v>
      </c>
      <c r="J84" s="30">
        <v>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ht="15.75">
      <c r="A85" s="11">
        <v>43678</v>
      </c>
      <c r="B85" s="39">
        <v>31</v>
      </c>
      <c r="C85" s="30">
        <v>194.20500000000001</v>
      </c>
      <c r="D85" s="30">
        <v>267.46600000000001</v>
      </c>
      <c r="E85" s="36">
        <v>812.32899999999995</v>
      </c>
      <c r="F85" s="30">
        <v>1274</v>
      </c>
      <c r="G85" s="30">
        <v>50</v>
      </c>
      <c r="H85" s="38">
        <v>400</v>
      </c>
      <c r="I85" s="30">
        <v>695</v>
      </c>
      <c r="J85" s="30">
        <v>0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ht="15.75">
      <c r="A86" s="11">
        <v>43709</v>
      </c>
      <c r="B86" s="39">
        <v>30</v>
      </c>
      <c r="C86" s="30">
        <v>194.20500000000001</v>
      </c>
      <c r="D86" s="30">
        <v>267.46600000000001</v>
      </c>
      <c r="E86" s="36">
        <v>812.32899999999995</v>
      </c>
      <c r="F86" s="30">
        <v>1274</v>
      </c>
      <c r="G86" s="30">
        <v>50</v>
      </c>
      <c r="H86" s="38">
        <v>400</v>
      </c>
      <c r="I86" s="30">
        <v>695</v>
      </c>
      <c r="J86" s="30">
        <v>0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15.75">
      <c r="A87" s="11">
        <v>43739</v>
      </c>
      <c r="B87" s="39">
        <v>31</v>
      </c>
      <c r="C87" s="30">
        <v>131.881</v>
      </c>
      <c r="D87" s="30">
        <v>277.16699999999997</v>
      </c>
      <c r="E87" s="36">
        <v>829.952</v>
      </c>
      <c r="F87" s="30">
        <v>1239</v>
      </c>
      <c r="G87" s="30">
        <v>75</v>
      </c>
      <c r="H87" s="38">
        <v>400</v>
      </c>
      <c r="I87" s="30">
        <v>695</v>
      </c>
      <c r="J87" s="30">
        <v>0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5.75">
      <c r="A88" s="11">
        <v>43770</v>
      </c>
      <c r="B88" s="39">
        <v>30</v>
      </c>
      <c r="C88" s="30">
        <v>122.58</v>
      </c>
      <c r="D88" s="30">
        <v>297.94099999999997</v>
      </c>
      <c r="E88" s="36">
        <v>729.47900000000004</v>
      </c>
      <c r="F88" s="30">
        <v>1150</v>
      </c>
      <c r="G88" s="30">
        <v>100</v>
      </c>
      <c r="H88" s="38">
        <v>400</v>
      </c>
      <c r="I88" s="30">
        <v>695</v>
      </c>
      <c r="J88" s="30">
        <v>50</v>
      </c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15.75">
      <c r="A89" s="11">
        <v>43800</v>
      </c>
      <c r="B89" s="39">
        <v>31</v>
      </c>
      <c r="C89" s="30">
        <v>122.58</v>
      </c>
      <c r="D89" s="30">
        <v>297.94099999999997</v>
      </c>
      <c r="E89" s="36">
        <v>729.47900000000004</v>
      </c>
      <c r="F89" s="30">
        <v>1150</v>
      </c>
      <c r="G89" s="30">
        <v>100</v>
      </c>
      <c r="H89" s="38">
        <v>400</v>
      </c>
      <c r="I89" s="30">
        <v>695</v>
      </c>
      <c r="J89" s="30">
        <v>50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15.75">
      <c r="A90" s="11">
        <v>43831</v>
      </c>
      <c r="B90" s="39">
        <v>31</v>
      </c>
      <c r="C90" s="30">
        <v>122.58</v>
      </c>
      <c r="D90" s="30">
        <v>297.94099999999997</v>
      </c>
      <c r="E90" s="36">
        <v>729.47900000000004</v>
      </c>
      <c r="F90" s="30">
        <v>1150</v>
      </c>
      <c r="G90" s="30">
        <v>100</v>
      </c>
      <c r="H90" s="38">
        <v>400</v>
      </c>
      <c r="I90" s="30">
        <v>695</v>
      </c>
      <c r="J90" s="30">
        <v>50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15.75">
      <c r="A91" s="11">
        <v>43862</v>
      </c>
      <c r="B91" s="39">
        <v>29</v>
      </c>
      <c r="C91" s="30">
        <v>122.58</v>
      </c>
      <c r="D91" s="30">
        <v>297.94099999999997</v>
      </c>
      <c r="E91" s="36">
        <v>729.47900000000004</v>
      </c>
      <c r="F91" s="30">
        <v>1150</v>
      </c>
      <c r="G91" s="30">
        <v>100</v>
      </c>
      <c r="H91" s="38">
        <v>400</v>
      </c>
      <c r="I91" s="30">
        <v>695</v>
      </c>
      <c r="J91" s="30">
        <v>50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15.75">
      <c r="A92" s="11">
        <v>43891</v>
      </c>
      <c r="B92" s="39">
        <v>31</v>
      </c>
      <c r="C92" s="30">
        <v>122.58</v>
      </c>
      <c r="D92" s="30">
        <v>297.94099999999997</v>
      </c>
      <c r="E92" s="36">
        <v>729.47900000000004</v>
      </c>
      <c r="F92" s="30">
        <v>1150</v>
      </c>
      <c r="G92" s="30">
        <v>100</v>
      </c>
      <c r="H92" s="38">
        <v>400</v>
      </c>
      <c r="I92" s="30">
        <v>695</v>
      </c>
      <c r="J92" s="30">
        <v>50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15.75">
      <c r="A93" s="11">
        <v>43922</v>
      </c>
      <c r="B93" s="39">
        <v>30</v>
      </c>
      <c r="C93" s="30">
        <v>141.29300000000001</v>
      </c>
      <c r="D93" s="30">
        <v>267.99299999999999</v>
      </c>
      <c r="E93" s="36">
        <v>829.71400000000006</v>
      </c>
      <c r="F93" s="30">
        <v>1239</v>
      </c>
      <c r="G93" s="30">
        <v>100</v>
      </c>
      <c r="H93" s="38">
        <v>400</v>
      </c>
      <c r="I93" s="30">
        <v>695</v>
      </c>
      <c r="J93" s="30">
        <v>50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5.75">
      <c r="A94" s="11">
        <v>43952</v>
      </c>
      <c r="B94" s="39">
        <v>31</v>
      </c>
      <c r="C94" s="30">
        <v>194.20500000000001</v>
      </c>
      <c r="D94" s="30">
        <v>267.46600000000001</v>
      </c>
      <c r="E94" s="36">
        <v>812.32899999999995</v>
      </c>
      <c r="F94" s="30">
        <v>1274</v>
      </c>
      <c r="G94" s="30">
        <v>75</v>
      </c>
      <c r="H94" s="38">
        <v>600</v>
      </c>
      <c r="I94" s="30">
        <v>695</v>
      </c>
      <c r="J94" s="30">
        <v>50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5.75">
      <c r="A95" s="11">
        <v>43983</v>
      </c>
      <c r="B95" s="39">
        <v>30</v>
      </c>
      <c r="C95" s="30">
        <v>194.20500000000001</v>
      </c>
      <c r="D95" s="30">
        <v>267.46600000000001</v>
      </c>
      <c r="E95" s="36">
        <v>812.32899999999995</v>
      </c>
      <c r="F95" s="30">
        <v>1274</v>
      </c>
      <c r="G95" s="30">
        <v>50</v>
      </c>
      <c r="H95" s="38">
        <v>600</v>
      </c>
      <c r="I95" s="30">
        <v>695</v>
      </c>
      <c r="J95" s="30">
        <v>50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5.75">
      <c r="A96" s="11">
        <v>44013</v>
      </c>
      <c r="B96" s="39">
        <v>31</v>
      </c>
      <c r="C96" s="30">
        <v>194.20500000000001</v>
      </c>
      <c r="D96" s="30">
        <v>267.46600000000001</v>
      </c>
      <c r="E96" s="36">
        <v>812.32899999999995</v>
      </c>
      <c r="F96" s="30">
        <v>1274</v>
      </c>
      <c r="G96" s="30">
        <v>50</v>
      </c>
      <c r="H96" s="38">
        <v>600</v>
      </c>
      <c r="I96" s="30">
        <v>695</v>
      </c>
      <c r="J96" s="30">
        <v>0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5.75">
      <c r="A97" s="11">
        <v>44044</v>
      </c>
      <c r="B97" s="39">
        <v>31</v>
      </c>
      <c r="C97" s="30">
        <v>194.20500000000001</v>
      </c>
      <c r="D97" s="30">
        <v>267.46600000000001</v>
      </c>
      <c r="E97" s="36">
        <v>812.32899999999995</v>
      </c>
      <c r="F97" s="30">
        <v>1274</v>
      </c>
      <c r="G97" s="30">
        <v>50</v>
      </c>
      <c r="H97" s="38">
        <v>600</v>
      </c>
      <c r="I97" s="30">
        <v>695</v>
      </c>
      <c r="J97" s="30">
        <v>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15.75">
      <c r="A98" s="11">
        <v>44075</v>
      </c>
      <c r="B98" s="39">
        <v>30</v>
      </c>
      <c r="C98" s="30">
        <v>194.20500000000001</v>
      </c>
      <c r="D98" s="30">
        <v>267.46600000000001</v>
      </c>
      <c r="E98" s="36">
        <v>812.32899999999995</v>
      </c>
      <c r="F98" s="30">
        <v>1274</v>
      </c>
      <c r="G98" s="30">
        <v>50</v>
      </c>
      <c r="H98" s="38">
        <v>600</v>
      </c>
      <c r="I98" s="30">
        <v>695</v>
      </c>
      <c r="J98" s="30">
        <v>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ht="15.75">
      <c r="A99" s="11">
        <v>44105</v>
      </c>
      <c r="B99" s="39">
        <v>31</v>
      </c>
      <c r="C99" s="30">
        <v>131.881</v>
      </c>
      <c r="D99" s="30">
        <v>277.16699999999997</v>
      </c>
      <c r="E99" s="36">
        <v>829.952</v>
      </c>
      <c r="F99" s="30">
        <v>1239</v>
      </c>
      <c r="G99" s="30">
        <v>75</v>
      </c>
      <c r="H99" s="38">
        <v>600</v>
      </c>
      <c r="I99" s="30">
        <v>695</v>
      </c>
      <c r="J99" s="30">
        <v>0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t="15.75">
      <c r="A100" s="11">
        <v>44136</v>
      </c>
      <c r="B100" s="39">
        <v>30</v>
      </c>
      <c r="C100" s="30">
        <v>122.58</v>
      </c>
      <c r="D100" s="30">
        <v>297.94099999999997</v>
      </c>
      <c r="E100" s="36">
        <v>729.47900000000004</v>
      </c>
      <c r="F100" s="30">
        <v>1150</v>
      </c>
      <c r="G100" s="30">
        <v>100</v>
      </c>
      <c r="H100" s="38">
        <v>600</v>
      </c>
      <c r="I100" s="30">
        <v>695</v>
      </c>
      <c r="J100" s="30">
        <v>50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t="15.75">
      <c r="A101" s="11">
        <v>44166</v>
      </c>
      <c r="B101" s="39">
        <v>31</v>
      </c>
      <c r="C101" s="30">
        <v>122.58</v>
      </c>
      <c r="D101" s="30">
        <v>297.94099999999997</v>
      </c>
      <c r="E101" s="36">
        <v>729.47900000000004</v>
      </c>
      <c r="F101" s="30">
        <v>1150</v>
      </c>
      <c r="G101" s="30">
        <v>100</v>
      </c>
      <c r="H101" s="38">
        <v>600</v>
      </c>
      <c r="I101" s="30">
        <v>695</v>
      </c>
      <c r="J101" s="30">
        <v>50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ht="15.75">
      <c r="A102" s="11">
        <v>44197</v>
      </c>
      <c r="B102" s="39">
        <v>31</v>
      </c>
      <c r="C102" s="30">
        <v>122.58</v>
      </c>
      <c r="D102" s="30">
        <v>297.94099999999997</v>
      </c>
      <c r="E102" s="36">
        <v>729.47900000000004</v>
      </c>
      <c r="F102" s="30">
        <v>1150</v>
      </c>
      <c r="G102" s="30">
        <v>100</v>
      </c>
      <c r="H102" s="38">
        <v>600</v>
      </c>
      <c r="I102" s="30">
        <v>695</v>
      </c>
      <c r="J102" s="30">
        <v>50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ht="15.75">
      <c r="A103" s="11">
        <v>44228</v>
      </c>
      <c r="B103" s="39">
        <v>28</v>
      </c>
      <c r="C103" s="30">
        <v>122.58</v>
      </c>
      <c r="D103" s="30">
        <v>297.94099999999997</v>
      </c>
      <c r="E103" s="36">
        <v>729.47900000000004</v>
      </c>
      <c r="F103" s="30">
        <v>1150</v>
      </c>
      <c r="G103" s="30">
        <v>100</v>
      </c>
      <c r="H103" s="38">
        <v>600</v>
      </c>
      <c r="I103" s="30">
        <v>695</v>
      </c>
      <c r="J103" s="30">
        <v>50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ht="15.75">
      <c r="A104" s="11">
        <v>44256</v>
      </c>
      <c r="B104" s="39">
        <v>31</v>
      </c>
      <c r="C104" s="30">
        <v>122.58</v>
      </c>
      <c r="D104" s="30">
        <v>297.94099999999997</v>
      </c>
      <c r="E104" s="36">
        <v>729.47900000000004</v>
      </c>
      <c r="F104" s="30">
        <v>1150</v>
      </c>
      <c r="G104" s="30">
        <v>100</v>
      </c>
      <c r="H104" s="38">
        <v>600</v>
      </c>
      <c r="I104" s="30">
        <v>695</v>
      </c>
      <c r="J104" s="30">
        <v>50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ht="15.75">
      <c r="A105" s="11">
        <v>44287</v>
      </c>
      <c r="B105" s="39">
        <v>30</v>
      </c>
      <c r="C105" s="30">
        <v>141.29300000000001</v>
      </c>
      <c r="D105" s="30">
        <v>267.99299999999999</v>
      </c>
      <c r="E105" s="36">
        <v>829.71400000000006</v>
      </c>
      <c r="F105" s="30">
        <v>1239</v>
      </c>
      <c r="G105" s="30">
        <v>100</v>
      </c>
      <c r="H105" s="38">
        <v>600</v>
      </c>
      <c r="I105" s="30">
        <v>695</v>
      </c>
      <c r="J105" s="30">
        <v>50</v>
      </c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5.75">
      <c r="A106" s="11">
        <v>44317</v>
      </c>
      <c r="B106" s="39">
        <v>31</v>
      </c>
      <c r="C106" s="30">
        <v>194.20500000000001</v>
      </c>
      <c r="D106" s="30">
        <v>267.46600000000001</v>
      </c>
      <c r="E106" s="36">
        <v>812.32899999999995</v>
      </c>
      <c r="F106" s="30">
        <v>1274</v>
      </c>
      <c r="G106" s="30">
        <v>75</v>
      </c>
      <c r="H106" s="38">
        <v>600</v>
      </c>
      <c r="I106" s="30">
        <v>695</v>
      </c>
      <c r="J106" s="30">
        <v>50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5.75">
      <c r="A107" s="11">
        <v>44348</v>
      </c>
      <c r="B107" s="39">
        <v>30</v>
      </c>
      <c r="C107" s="30">
        <v>194.20500000000001</v>
      </c>
      <c r="D107" s="30">
        <v>267.46600000000001</v>
      </c>
      <c r="E107" s="36">
        <v>812.32899999999995</v>
      </c>
      <c r="F107" s="30">
        <v>1274</v>
      </c>
      <c r="G107" s="30">
        <v>50</v>
      </c>
      <c r="H107" s="38">
        <v>600</v>
      </c>
      <c r="I107" s="30">
        <v>695</v>
      </c>
      <c r="J107" s="30">
        <v>50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5.75">
      <c r="A108" s="11">
        <v>44378</v>
      </c>
      <c r="B108" s="39">
        <v>31</v>
      </c>
      <c r="C108" s="30">
        <v>194.20500000000001</v>
      </c>
      <c r="D108" s="30">
        <v>267.46600000000001</v>
      </c>
      <c r="E108" s="36">
        <v>812.32899999999995</v>
      </c>
      <c r="F108" s="30">
        <v>1274</v>
      </c>
      <c r="G108" s="30">
        <v>50</v>
      </c>
      <c r="H108" s="38">
        <v>600</v>
      </c>
      <c r="I108" s="30">
        <v>695</v>
      </c>
      <c r="J108" s="30">
        <v>0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ht="15.75">
      <c r="A109" s="11">
        <v>44409</v>
      </c>
      <c r="B109" s="39">
        <v>31</v>
      </c>
      <c r="C109" s="30">
        <v>194.20500000000001</v>
      </c>
      <c r="D109" s="30">
        <v>267.46600000000001</v>
      </c>
      <c r="E109" s="36">
        <v>812.32899999999995</v>
      </c>
      <c r="F109" s="30">
        <v>1274</v>
      </c>
      <c r="G109" s="30">
        <v>50</v>
      </c>
      <c r="H109" s="38">
        <v>600</v>
      </c>
      <c r="I109" s="30">
        <v>695</v>
      </c>
      <c r="J109" s="30">
        <v>0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ht="15.75">
      <c r="A110" s="11">
        <v>44440</v>
      </c>
      <c r="B110" s="39">
        <v>30</v>
      </c>
      <c r="C110" s="30">
        <v>194.20500000000001</v>
      </c>
      <c r="D110" s="30">
        <v>267.46600000000001</v>
      </c>
      <c r="E110" s="36">
        <v>812.32899999999995</v>
      </c>
      <c r="F110" s="30">
        <v>1274</v>
      </c>
      <c r="G110" s="30">
        <v>50</v>
      </c>
      <c r="H110" s="38">
        <v>600</v>
      </c>
      <c r="I110" s="30">
        <v>695</v>
      </c>
      <c r="J110" s="30">
        <v>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ht="15.75">
      <c r="A111" s="11">
        <v>44470</v>
      </c>
      <c r="B111" s="39">
        <v>31</v>
      </c>
      <c r="C111" s="30">
        <v>131.881</v>
      </c>
      <c r="D111" s="30">
        <v>277.16699999999997</v>
      </c>
      <c r="E111" s="36">
        <v>829.952</v>
      </c>
      <c r="F111" s="30">
        <v>1239</v>
      </c>
      <c r="G111" s="30">
        <v>75</v>
      </c>
      <c r="H111" s="38">
        <v>600</v>
      </c>
      <c r="I111" s="30">
        <v>695</v>
      </c>
      <c r="J111" s="30">
        <v>0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ht="15.75">
      <c r="A112" s="11">
        <v>44501</v>
      </c>
      <c r="B112" s="39">
        <v>30</v>
      </c>
      <c r="C112" s="30">
        <v>122.58</v>
      </c>
      <c r="D112" s="30">
        <v>297.94099999999997</v>
      </c>
      <c r="E112" s="36">
        <v>729.47900000000004</v>
      </c>
      <c r="F112" s="30">
        <v>1150</v>
      </c>
      <c r="G112" s="30">
        <v>100</v>
      </c>
      <c r="H112" s="38">
        <v>600</v>
      </c>
      <c r="I112" s="30">
        <v>695</v>
      </c>
      <c r="J112" s="30">
        <v>50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5.75">
      <c r="A113" s="11">
        <v>44531</v>
      </c>
      <c r="B113" s="39">
        <v>31</v>
      </c>
      <c r="C113" s="30">
        <v>122.58</v>
      </c>
      <c r="D113" s="30">
        <v>297.94099999999997</v>
      </c>
      <c r="E113" s="36">
        <v>729.47900000000004</v>
      </c>
      <c r="F113" s="30">
        <v>1150</v>
      </c>
      <c r="G113" s="30">
        <v>100</v>
      </c>
      <c r="H113" s="38">
        <v>600</v>
      </c>
      <c r="I113" s="30">
        <v>695</v>
      </c>
      <c r="J113" s="30">
        <v>50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5.75">
      <c r="A114" s="11">
        <v>44562</v>
      </c>
      <c r="B114" s="39">
        <v>31</v>
      </c>
      <c r="C114" s="30">
        <v>122.58</v>
      </c>
      <c r="D114" s="30">
        <v>297.94099999999997</v>
      </c>
      <c r="E114" s="36">
        <v>729.47900000000004</v>
      </c>
      <c r="F114" s="30">
        <v>1150</v>
      </c>
      <c r="G114" s="30">
        <v>100</v>
      </c>
      <c r="H114" s="38">
        <v>600</v>
      </c>
      <c r="I114" s="30">
        <v>695</v>
      </c>
      <c r="J114" s="30">
        <v>50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ht="15.75">
      <c r="A115" s="11">
        <v>44593</v>
      </c>
      <c r="B115" s="39">
        <v>28</v>
      </c>
      <c r="C115" s="30">
        <v>122.58</v>
      </c>
      <c r="D115" s="30">
        <v>297.94099999999997</v>
      </c>
      <c r="E115" s="36">
        <v>729.47900000000004</v>
      </c>
      <c r="F115" s="30">
        <v>1150</v>
      </c>
      <c r="G115" s="30">
        <v>100</v>
      </c>
      <c r="H115" s="38">
        <v>600</v>
      </c>
      <c r="I115" s="30">
        <v>695</v>
      </c>
      <c r="J115" s="30">
        <v>50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ht="15.75">
      <c r="A116" s="11">
        <v>44621</v>
      </c>
      <c r="B116" s="39">
        <v>31</v>
      </c>
      <c r="C116" s="30">
        <v>122.58</v>
      </c>
      <c r="D116" s="30">
        <v>297.94099999999997</v>
      </c>
      <c r="E116" s="36">
        <v>729.47900000000004</v>
      </c>
      <c r="F116" s="30">
        <v>1150</v>
      </c>
      <c r="G116" s="30">
        <v>100</v>
      </c>
      <c r="H116" s="38">
        <v>600</v>
      </c>
      <c r="I116" s="30">
        <v>695</v>
      </c>
      <c r="J116" s="30">
        <v>50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ht="15.75">
      <c r="A117" s="11">
        <v>44652</v>
      </c>
      <c r="B117" s="39">
        <v>30</v>
      </c>
      <c r="C117" s="30">
        <v>141.29300000000001</v>
      </c>
      <c r="D117" s="30">
        <v>267.99299999999999</v>
      </c>
      <c r="E117" s="36">
        <v>829.71400000000006</v>
      </c>
      <c r="F117" s="30">
        <v>1239</v>
      </c>
      <c r="G117" s="30">
        <v>100</v>
      </c>
      <c r="H117" s="38">
        <v>600</v>
      </c>
      <c r="I117" s="30">
        <v>695</v>
      </c>
      <c r="J117" s="30">
        <v>50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.75">
      <c r="A118" s="11">
        <v>44682</v>
      </c>
      <c r="B118" s="39">
        <v>31</v>
      </c>
      <c r="C118" s="30">
        <v>194.20500000000001</v>
      </c>
      <c r="D118" s="30">
        <v>267.46600000000001</v>
      </c>
      <c r="E118" s="36">
        <v>812.32899999999995</v>
      </c>
      <c r="F118" s="30">
        <v>1274</v>
      </c>
      <c r="G118" s="30">
        <v>75</v>
      </c>
      <c r="H118" s="38">
        <v>600</v>
      </c>
      <c r="I118" s="30">
        <v>695</v>
      </c>
      <c r="J118" s="30">
        <v>50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ht="15.75">
      <c r="A119" s="11">
        <v>44713</v>
      </c>
      <c r="B119" s="39">
        <v>30</v>
      </c>
      <c r="C119" s="30">
        <v>194.20500000000001</v>
      </c>
      <c r="D119" s="30">
        <v>267.46600000000001</v>
      </c>
      <c r="E119" s="36">
        <v>812.32899999999995</v>
      </c>
      <c r="F119" s="30">
        <v>1274</v>
      </c>
      <c r="G119" s="30">
        <v>50</v>
      </c>
      <c r="H119" s="38">
        <v>600</v>
      </c>
      <c r="I119" s="30">
        <v>695</v>
      </c>
      <c r="J119" s="30">
        <v>50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ht="15.75">
      <c r="A120" s="11">
        <v>44743</v>
      </c>
      <c r="B120" s="39">
        <v>31</v>
      </c>
      <c r="C120" s="30">
        <v>194.20500000000001</v>
      </c>
      <c r="D120" s="30">
        <v>267.46600000000001</v>
      </c>
      <c r="E120" s="36">
        <v>812.32899999999995</v>
      </c>
      <c r="F120" s="30">
        <v>1274</v>
      </c>
      <c r="G120" s="30">
        <v>50</v>
      </c>
      <c r="H120" s="38">
        <v>600</v>
      </c>
      <c r="I120" s="30">
        <v>695</v>
      </c>
      <c r="J120" s="30">
        <v>0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15.75">
      <c r="A121" s="11">
        <v>44774</v>
      </c>
      <c r="B121" s="39">
        <v>31</v>
      </c>
      <c r="C121" s="30">
        <v>194.20500000000001</v>
      </c>
      <c r="D121" s="30">
        <v>267.46600000000001</v>
      </c>
      <c r="E121" s="36">
        <v>812.32899999999995</v>
      </c>
      <c r="F121" s="30">
        <v>1274</v>
      </c>
      <c r="G121" s="30">
        <v>50</v>
      </c>
      <c r="H121" s="38">
        <v>600</v>
      </c>
      <c r="I121" s="30">
        <v>695</v>
      </c>
      <c r="J121" s="30">
        <v>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ht="15.75">
      <c r="A122" s="11">
        <v>44805</v>
      </c>
      <c r="B122" s="39">
        <v>30</v>
      </c>
      <c r="C122" s="30">
        <v>194.20500000000001</v>
      </c>
      <c r="D122" s="30">
        <v>267.46600000000001</v>
      </c>
      <c r="E122" s="36">
        <v>812.32899999999995</v>
      </c>
      <c r="F122" s="30">
        <v>1274</v>
      </c>
      <c r="G122" s="30">
        <v>50</v>
      </c>
      <c r="H122" s="38">
        <v>600</v>
      </c>
      <c r="I122" s="30">
        <v>695</v>
      </c>
      <c r="J122" s="30">
        <v>0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ht="15.75">
      <c r="A123" s="11">
        <v>44835</v>
      </c>
      <c r="B123" s="39">
        <v>31</v>
      </c>
      <c r="C123" s="30">
        <v>131.881</v>
      </c>
      <c r="D123" s="30">
        <v>277.16699999999997</v>
      </c>
      <c r="E123" s="36">
        <v>829.952</v>
      </c>
      <c r="F123" s="30">
        <v>1239</v>
      </c>
      <c r="G123" s="30">
        <v>75</v>
      </c>
      <c r="H123" s="38">
        <v>600</v>
      </c>
      <c r="I123" s="30">
        <v>695</v>
      </c>
      <c r="J123" s="30">
        <v>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5.75">
      <c r="A124" s="11">
        <v>44866</v>
      </c>
      <c r="B124" s="39">
        <v>30</v>
      </c>
      <c r="C124" s="30">
        <v>122.58</v>
      </c>
      <c r="D124" s="30">
        <v>297.94099999999997</v>
      </c>
      <c r="E124" s="36">
        <v>729.47900000000004</v>
      </c>
      <c r="F124" s="30">
        <v>1150</v>
      </c>
      <c r="G124" s="30">
        <v>100</v>
      </c>
      <c r="H124" s="38">
        <v>600</v>
      </c>
      <c r="I124" s="30">
        <v>695</v>
      </c>
      <c r="J124" s="30">
        <v>50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ht="15.75">
      <c r="A125" s="11">
        <v>44896</v>
      </c>
      <c r="B125" s="39">
        <v>31</v>
      </c>
      <c r="C125" s="30">
        <v>122.58</v>
      </c>
      <c r="D125" s="30">
        <v>297.94099999999997</v>
      </c>
      <c r="E125" s="36">
        <v>729.47900000000004</v>
      </c>
      <c r="F125" s="30">
        <v>1150</v>
      </c>
      <c r="G125" s="30">
        <v>100</v>
      </c>
      <c r="H125" s="38">
        <v>600</v>
      </c>
      <c r="I125" s="30">
        <v>695</v>
      </c>
      <c r="J125" s="30">
        <v>50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ht="15.75">
      <c r="A126" s="11">
        <v>44927</v>
      </c>
      <c r="B126" s="39">
        <v>31</v>
      </c>
      <c r="C126" s="30">
        <v>122.58</v>
      </c>
      <c r="D126" s="30">
        <v>297.94099999999997</v>
      </c>
      <c r="E126" s="36">
        <v>729.47900000000004</v>
      </c>
      <c r="F126" s="30">
        <v>1150</v>
      </c>
      <c r="G126" s="30">
        <v>100</v>
      </c>
      <c r="H126" s="38">
        <v>600</v>
      </c>
      <c r="I126" s="30">
        <v>695</v>
      </c>
      <c r="J126" s="30">
        <v>50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ht="15.75">
      <c r="A127" s="11">
        <v>44958</v>
      </c>
      <c r="B127" s="39">
        <v>28</v>
      </c>
      <c r="C127" s="30">
        <v>122.58</v>
      </c>
      <c r="D127" s="30">
        <v>297.94099999999997</v>
      </c>
      <c r="E127" s="36">
        <v>729.47900000000004</v>
      </c>
      <c r="F127" s="30">
        <v>1150</v>
      </c>
      <c r="G127" s="30">
        <v>100</v>
      </c>
      <c r="H127" s="38">
        <v>600</v>
      </c>
      <c r="I127" s="30">
        <v>695</v>
      </c>
      <c r="J127" s="30">
        <v>50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ht="15.75">
      <c r="A128" s="11">
        <v>44986</v>
      </c>
      <c r="B128" s="39">
        <v>31</v>
      </c>
      <c r="C128" s="30">
        <v>122.58</v>
      </c>
      <c r="D128" s="30">
        <v>297.94099999999997</v>
      </c>
      <c r="E128" s="36">
        <v>729.47900000000004</v>
      </c>
      <c r="F128" s="30">
        <v>1150</v>
      </c>
      <c r="G128" s="30">
        <v>100</v>
      </c>
      <c r="H128" s="38">
        <v>600</v>
      </c>
      <c r="I128" s="30">
        <v>695</v>
      </c>
      <c r="J128" s="30">
        <v>50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ht="15.75">
      <c r="A129" s="11">
        <v>45017</v>
      </c>
      <c r="B129" s="39">
        <v>30</v>
      </c>
      <c r="C129" s="30">
        <v>141.29300000000001</v>
      </c>
      <c r="D129" s="30">
        <v>267.99299999999999</v>
      </c>
      <c r="E129" s="36">
        <v>829.71400000000006</v>
      </c>
      <c r="F129" s="30">
        <v>1239</v>
      </c>
      <c r="G129" s="30">
        <v>100</v>
      </c>
      <c r="H129" s="38">
        <v>600</v>
      </c>
      <c r="I129" s="30">
        <v>695</v>
      </c>
      <c r="J129" s="30">
        <v>50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ht="15.75">
      <c r="A130" s="11">
        <v>45047</v>
      </c>
      <c r="B130" s="39">
        <v>31</v>
      </c>
      <c r="C130" s="30">
        <v>194.20500000000001</v>
      </c>
      <c r="D130" s="30">
        <v>267.46600000000001</v>
      </c>
      <c r="E130" s="36">
        <v>812.32899999999995</v>
      </c>
      <c r="F130" s="30">
        <v>1274</v>
      </c>
      <c r="G130" s="30">
        <v>75</v>
      </c>
      <c r="H130" s="38">
        <v>600</v>
      </c>
      <c r="I130" s="30">
        <v>695</v>
      </c>
      <c r="J130" s="30">
        <v>50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15.75">
      <c r="A131" s="11">
        <v>45078</v>
      </c>
      <c r="B131" s="39">
        <v>30</v>
      </c>
      <c r="C131" s="30">
        <v>194.20500000000001</v>
      </c>
      <c r="D131" s="30">
        <v>267.46600000000001</v>
      </c>
      <c r="E131" s="36">
        <v>812.32899999999995</v>
      </c>
      <c r="F131" s="30">
        <v>1274</v>
      </c>
      <c r="G131" s="30">
        <v>50</v>
      </c>
      <c r="H131" s="38">
        <v>600</v>
      </c>
      <c r="I131" s="30">
        <v>695</v>
      </c>
      <c r="J131" s="30">
        <v>50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15.75">
      <c r="A132" s="11">
        <v>45108</v>
      </c>
      <c r="B132" s="39">
        <v>31</v>
      </c>
      <c r="C132" s="30">
        <v>194.20500000000001</v>
      </c>
      <c r="D132" s="30">
        <v>267.46600000000001</v>
      </c>
      <c r="E132" s="36">
        <v>812.32899999999995</v>
      </c>
      <c r="F132" s="30">
        <v>1274</v>
      </c>
      <c r="G132" s="30">
        <v>50</v>
      </c>
      <c r="H132" s="38">
        <v>600</v>
      </c>
      <c r="I132" s="30">
        <v>695</v>
      </c>
      <c r="J132" s="30">
        <v>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15.75">
      <c r="A133" s="11">
        <v>45139</v>
      </c>
      <c r="B133" s="39">
        <v>31</v>
      </c>
      <c r="C133" s="30">
        <v>194.20500000000001</v>
      </c>
      <c r="D133" s="30">
        <v>267.46600000000001</v>
      </c>
      <c r="E133" s="36">
        <v>812.32899999999995</v>
      </c>
      <c r="F133" s="30">
        <v>1274</v>
      </c>
      <c r="G133" s="30">
        <v>50</v>
      </c>
      <c r="H133" s="38">
        <v>600</v>
      </c>
      <c r="I133" s="30">
        <v>695</v>
      </c>
      <c r="J133" s="30">
        <v>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.75">
      <c r="A134" s="11">
        <v>45170</v>
      </c>
      <c r="B134" s="39">
        <v>30</v>
      </c>
      <c r="C134" s="30">
        <v>194.20500000000001</v>
      </c>
      <c r="D134" s="30">
        <v>267.46600000000001</v>
      </c>
      <c r="E134" s="36">
        <v>812.32899999999995</v>
      </c>
      <c r="F134" s="30">
        <v>1274</v>
      </c>
      <c r="G134" s="30">
        <v>50</v>
      </c>
      <c r="H134" s="38">
        <v>600</v>
      </c>
      <c r="I134" s="30">
        <v>695</v>
      </c>
      <c r="J134" s="30">
        <v>0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15.75">
      <c r="A135" s="11">
        <v>45200</v>
      </c>
      <c r="B135" s="39">
        <v>31</v>
      </c>
      <c r="C135" s="30">
        <v>131.881</v>
      </c>
      <c r="D135" s="30">
        <v>277.16699999999997</v>
      </c>
      <c r="E135" s="36">
        <v>829.952</v>
      </c>
      <c r="F135" s="30">
        <v>1239</v>
      </c>
      <c r="G135" s="30">
        <v>75</v>
      </c>
      <c r="H135" s="38">
        <v>600</v>
      </c>
      <c r="I135" s="30">
        <v>695</v>
      </c>
      <c r="J135" s="30">
        <v>0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15.75">
      <c r="A136" s="11">
        <v>45231</v>
      </c>
      <c r="B136" s="39">
        <v>30</v>
      </c>
      <c r="C136" s="30">
        <v>122.58</v>
      </c>
      <c r="D136" s="30">
        <v>297.94099999999997</v>
      </c>
      <c r="E136" s="36">
        <v>729.47900000000004</v>
      </c>
      <c r="F136" s="30">
        <v>1150</v>
      </c>
      <c r="G136" s="30">
        <v>100</v>
      </c>
      <c r="H136" s="38">
        <v>600</v>
      </c>
      <c r="I136" s="30">
        <v>695</v>
      </c>
      <c r="J136" s="30">
        <v>50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5.75">
      <c r="A137" s="11">
        <v>45261</v>
      </c>
      <c r="B137" s="39">
        <v>31</v>
      </c>
      <c r="C137" s="30">
        <v>122.58</v>
      </c>
      <c r="D137" s="30">
        <v>297.94099999999997</v>
      </c>
      <c r="E137" s="36">
        <v>729.47900000000004</v>
      </c>
      <c r="F137" s="30">
        <v>1150</v>
      </c>
      <c r="G137" s="30">
        <v>100</v>
      </c>
      <c r="H137" s="38">
        <v>600</v>
      </c>
      <c r="I137" s="30">
        <v>695</v>
      </c>
      <c r="J137" s="30">
        <v>50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ht="15.75">
      <c r="A138" s="11">
        <v>45292</v>
      </c>
      <c r="B138" s="39">
        <v>31</v>
      </c>
      <c r="C138" s="30">
        <v>122.58</v>
      </c>
      <c r="D138" s="30">
        <v>297.94099999999997</v>
      </c>
      <c r="E138" s="36">
        <v>729.47900000000004</v>
      </c>
      <c r="F138" s="30">
        <v>1150</v>
      </c>
      <c r="G138" s="30">
        <v>100</v>
      </c>
      <c r="H138" s="38">
        <v>600</v>
      </c>
      <c r="I138" s="30">
        <v>695</v>
      </c>
      <c r="J138" s="30">
        <v>50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ht="15.75">
      <c r="A139" s="11">
        <v>45323</v>
      </c>
      <c r="B139" s="39">
        <v>29</v>
      </c>
      <c r="C139" s="30">
        <v>122.58</v>
      </c>
      <c r="D139" s="30">
        <v>297.94099999999997</v>
      </c>
      <c r="E139" s="36">
        <v>729.47900000000004</v>
      </c>
      <c r="F139" s="30">
        <v>1150</v>
      </c>
      <c r="G139" s="30">
        <v>100</v>
      </c>
      <c r="H139" s="38">
        <v>600</v>
      </c>
      <c r="I139" s="30">
        <v>695</v>
      </c>
      <c r="J139" s="30">
        <v>50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ht="15.75">
      <c r="A140" s="11">
        <v>45352</v>
      </c>
      <c r="B140" s="39">
        <v>31</v>
      </c>
      <c r="C140" s="30">
        <v>122.58</v>
      </c>
      <c r="D140" s="30">
        <v>297.94099999999997</v>
      </c>
      <c r="E140" s="36">
        <v>729.47900000000004</v>
      </c>
      <c r="F140" s="30">
        <v>1150</v>
      </c>
      <c r="G140" s="30">
        <v>100</v>
      </c>
      <c r="H140" s="38">
        <v>600</v>
      </c>
      <c r="I140" s="30">
        <v>695</v>
      </c>
      <c r="J140" s="30">
        <v>50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ht="15.75">
      <c r="A141" s="11">
        <v>45383</v>
      </c>
      <c r="B141" s="39">
        <v>30</v>
      </c>
      <c r="C141" s="30">
        <v>141.29300000000001</v>
      </c>
      <c r="D141" s="30">
        <v>267.99299999999999</v>
      </c>
      <c r="E141" s="36">
        <v>829.71400000000006</v>
      </c>
      <c r="F141" s="30">
        <v>1239</v>
      </c>
      <c r="G141" s="30">
        <v>100</v>
      </c>
      <c r="H141" s="38">
        <v>600</v>
      </c>
      <c r="I141" s="30">
        <v>695</v>
      </c>
      <c r="J141" s="30">
        <v>50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ht="15.75">
      <c r="A142" s="11">
        <v>45413</v>
      </c>
      <c r="B142" s="39">
        <v>31</v>
      </c>
      <c r="C142" s="30">
        <v>194.20500000000001</v>
      </c>
      <c r="D142" s="30">
        <v>267.46600000000001</v>
      </c>
      <c r="E142" s="36">
        <v>812.32899999999995</v>
      </c>
      <c r="F142" s="30">
        <v>1274</v>
      </c>
      <c r="G142" s="30">
        <v>75</v>
      </c>
      <c r="H142" s="38">
        <v>600</v>
      </c>
      <c r="I142" s="30">
        <v>695</v>
      </c>
      <c r="J142" s="30">
        <v>50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ht="15.75">
      <c r="A143" s="11">
        <v>45444</v>
      </c>
      <c r="B143" s="39">
        <v>30</v>
      </c>
      <c r="C143" s="30">
        <v>194.20500000000001</v>
      </c>
      <c r="D143" s="30">
        <v>267.46600000000001</v>
      </c>
      <c r="E143" s="36">
        <v>812.32899999999995</v>
      </c>
      <c r="F143" s="30">
        <v>1274</v>
      </c>
      <c r="G143" s="30">
        <v>50</v>
      </c>
      <c r="H143" s="38">
        <v>600</v>
      </c>
      <c r="I143" s="30">
        <v>695</v>
      </c>
      <c r="J143" s="30">
        <v>50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ht="15.75">
      <c r="A144" s="11">
        <v>45474</v>
      </c>
      <c r="B144" s="39">
        <v>31</v>
      </c>
      <c r="C144" s="30">
        <v>194.20500000000001</v>
      </c>
      <c r="D144" s="30">
        <v>267.46600000000001</v>
      </c>
      <c r="E144" s="36">
        <v>812.32899999999995</v>
      </c>
      <c r="F144" s="30">
        <v>1274</v>
      </c>
      <c r="G144" s="30">
        <v>50</v>
      </c>
      <c r="H144" s="38">
        <v>600</v>
      </c>
      <c r="I144" s="30">
        <v>695</v>
      </c>
      <c r="J144" s="30">
        <v>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ht="15.75">
      <c r="A145" s="11">
        <v>45505</v>
      </c>
      <c r="B145" s="39">
        <v>31</v>
      </c>
      <c r="C145" s="30">
        <v>194.20500000000001</v>
      </c>
      <c r="D145" s="30">
        <v>267.46600000000001</v>
      </c>
      <c r="E145" s="36">
        <v>812.32899999999995</v>
      </c>
      <c r="F145" s="30">
        <v>1274</v>
      </c>
      <c r="G145" s="30">
        <v>50</v>
      </c>
      <c r="H145" s="38">
        <v>600</v>
      </c>
      <c r="I145" s="30">
        <v>695</v>
      </c>
      <c r="J145" s="30">
        <v>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ht="15.75">
      <c r="A146" s="11">
        <v>45536</v>
      </c>
      <c r="B146" s="39">
        <v>30</v>
      </c>
      <c r="C146" s="30">
        <v>194.20500000000001</v>
      </c>
      <c r="D146" s="30">
        <v>267.46600000000001</v>
      </c>
      <c r="E146" s="36">
        <v>812.32899999999995</v>
      </c>
      <c r="F146" s="30">
        <v>1274</v>
      </c>
      <c r="G146" s="30">
        <v>50</v>
      </c>
      <c r="H146" s="38">
        <v>600</v>
      </c>
      <c r="I146" s="30">
        <v>695</v>
      </c>
      <c r="J146" s="30">
        <v>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ht="15.75">
      <c r="A147" s="11">
        <v>45566</v>
      </c>
      <c r="B147" s="39">
        <v>31</v>
      </c>
      <c r="C147" s="30">
        <v>131.881</v>
      </c>
      <c r="D147" s="30">
        <v>277.16699999999997</v>
      </c>
      <c r="E147" s="36">
        <v>829.952</v>
      </c>
      <c r="F147" s="30">
        <v>1239</v>
      </c>
      <c r="G147" s="30">
        <v>75</v>
      </c>
      <c r="H147" s="38">
        <v>600</v>
      </c>
      <c r="I147" s="30">
        <v>695</v>
      </c>
      <c r="J147" s="30">
        <v>0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ht="15.75">
      <c r="A148" s="11">
        <v>45597</v>
      </c>
      <c r="B148" s="39">
        <v>30</v>
      </c>
      <c r="C148" s="30">
        <v>122.58</v>
      </c>
      <c r="D148" s="30">
        <v>297.94099999999997</v>
      </c>
      <c r="E148" s="36">
        <v>729.47900000000004</v>
      </c>
      <c r="F148" s="30">
        <v>1150</v>
      </c>
      <c r="G148" s="30">
        <v>100</v>
      </c>
      <c r="H148" s="38">
        <v>600</v>
      </c>
      <c r="I148" s="30">
        <v>695</v>
      </c>
      <c r="J148" s="30">
        <v>50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ht="15.75">
      <c r="A149" s="11">
        <v>45627</v>
      </c>
      <c r="B149" s="39">
        <v>31</v>
      </c>
      <c r="C149" s="30">
        <v>122.58</v>
      </c>
      <c r="D149" s="30">
        <v>297.94099999999997</v>
      </c>
      <c r="E149" s="36">
        <v>729.47900000000004</v>
      </c>
      <c r="F149" s="30">
        <v>1150</v>
      </c>
      <c r="G149" s="30">
        <v>100</v>
      </c>
      <c r="H149" s="38">
        <v>600</v>
      </c>
      <c r="I149" s="30">
        <v>695</v>
      </c>
      <c r="J149" s="30">
        <v>50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ht="15.75">
      <c r="A150" s="11">
        <v>45658</v>
      </c>
      <c r="B150" s="39">
        <v>31</v>
      </c>
      <c r="C150" s="30">
        <v>122.58</v>
      </c>
      <c r="D150" s="30">
        <v>297.94099999999997</v>
      </c>
      <c r="E150" s="36">
        <v>729.47900000000004</v>
      </c>
      <c r="F150" s="30">
        <v>1150</v>
      </c>
      <c r="G150" s="30">
        <v>100</v>
      </c>
      <c r="H150" s="38">
        <v>600</v>
      </c>
      <c r="I150" s="30">
        <v>695</v>
      </c>
      <c r="J150" s="30">
        <v>50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ht="15.75">
      <c r="A151" s="11">
        <v>45689</v>
      </c>
      <c r="B151" s="39">
        <v>28</v>
      </c>
      <c r="C151" s="30">
        <v>122.58</v>
      </c>
      <c r="D151" s="30">
        <v>297.94099999999997</v>
      </c>
      <c r="E151" s="36">
        <v>729.47900000000004</v>
      </c>
      <c r="F151" s="30">
        <v>1150</v>
      </c>
      <c r="G151" s="30">
        <v>100</v>
      </c>
      <c r="H151" s="38">
        <v>600</v>
      </c>
      <c r="I151" s="30">
        <v>695</v>
      </c>
      <c r="J151" s="30">
        <v>50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ht="15.75">
      <c r="A152" s="11">
        <v>45717</v>
      </c>
      <c r="B152" s="39">
        <v>31</v>
      </c>
      <c r="C152" s="30">
        <v>122.58</v>
      </c>
      <c r="D152" s="30">
        <v>297.94099999999997</v>
      </c>
      <c r="E152" s="36">
        <v>729.47900000000004</v>
      </c>
      <c r="F152" s="30">
        <v>1150</v>
      </c>
      <c r="G152" s="30">
        <v>100</v>
      </c>
      <c r="H152" s="38">
        <v>600</v>
      </c>
      <c r="I152" s="30">
        <v>695</v>
      </c>
      <c r="J152" s="30">
        <v>50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ht="15.75">
      <c r="A153" s="11">
        <v>45748</v>
      </c>
      <c r="B153" s="39">
        <v>30</v>
      </c>
      <c r="C153" s="30">
        <v>141.29300000000001</v>
      </c>
      <c r="D153" s="30">
        <v>267.99299999999999</v>
      </c>
      <c r="E153" s="36">
        <v>829.71400000000006</v>
      </c>
      <c r="F153" s="30">
        <v>1239</v>
      </c>
      <c r="G153" s="30">
        <v>100</v>
      </c>
      <c r="H153" s="38">
        <v>600</v>
      </c>
      <c r="I153" s="30">
        <v>695</v>
      </c>
      <c r="J153" s="30">
        <v>50</v>
      </c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ht="15.75">
      <c r="A154" s="11">
        <v>45778</v>
      </c>
      <c r="B154" s="39">
        <v>31</v>
      </c>
      <c r="C154" s="30">
        <v>194.20500000000001</v>
      </c>
      <c r="D154" s="30">
        <v>267.46600000000001</v>
      </c>
      <c r="E154" s="36">
        <v>812.32899999999995</v>
      </c>
      <c r="F154" s="30">
        <v>1274</v>
      </c>
      <c r="G154" s="30">
        <v>75</v>
      </c>
      <c r="H154" s="38">
        <v>600</v>
      </c>
      <c r="I154" s="30">
        <v>695</v>
      </c>
      <c r="J154" s="30">
        <v>50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ht="15.75">
      <c r="A155" s="11">
        <v>45809</v>
      </c>
      <c r="B155" s="39">
        <v>30</v>
      </c>
      <c r="C155" s="30">
        <v>194.20500000000001</v>
      </c>
      <c r="D155" s="30">
        <v>267.46600000000001</v>
      </c>
      <c r="E155" s="36">
        <v>812.32899999999995</v>
      </c>
      <c r="F155" s="30">
        <v>1274</v>
      </c>
      <c r="G155" s="30">
        <v>50</v>
      </c>
      <c r="H155" s="38">
        <v>600</v>
      </c>
      <c r="I155" s="30">
        <v>695</v>
      </c>
      <c r="J155" s="30">
        <v>50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ht="15.75">
      <c r="A156" s="11">
        <v>45839</v>
      </c>
      <c r="B156" s="39">
        <v>31</v>
      </c>
      <c r="C156" s="30">
        <v>194.20500000000001</v>
      </c>
      <c r="D156" s="30">
        <v>267.46600000000001</v>
      </c>
      <c r="E156" s="36">
        <v>812.32899999999995</v>
      </c>
      <c r="F156" s="30">
        <v>1274</v>
      </c>
      <c r="G156" s="30">
        <v>50</v>
      </c>
      <c r="H156" s="38">
        <v>600</v>
      </c>
      <c r="I156" s="30">
        <v>695</v>
      </c>
      <c r="J156" s="30">
        <v>0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ht="15.75">
      <c r="A157" s="11">
        <v>45870</v>
      </c>
      <c r="B157" s="39">
        <v>31</v>
      </c>
      <c r="C157" s="30">
        <v>194.20500000000001</v>
      </c>
      <c r="D157" s="30">
        <v>267.46600000000001</v>
      </c>
      <c r="E157" s="36">
        <v>812.32899999999995</v>
      </c>
      <c r="F157" s="30">
        <v>1274</v>
      </c>
      <c r="G157" s="30">
        <v>50</v>
      </c>
      <c r="H157" s="38">
        <v>600</v>
      </c>
      <c r="I157" s="30">
        <v>695</v>
      </c>
      <c r="J157" s="30">
        <v>0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ht="15.75">
      <c r="A158" s="11">
        <v>45901</v>
      </c>
      <c r="B158" s="39">
        <v>30</v>
      </c>
      <c r="C158" s="30">
        <v>194.20500000000001</v>
      </c>
      <c r="D158" s="30">
        <v>267.46600000000001</v>
      </c>
      <c r="E158" s="36">
        <v>812.32899999999995</v>
      </c>
      <c r="F158" s="30">
        <v>1274</v>
      </c>
      <c r="G158" s="30">
        <v>50</v>
      </c>
      <c r="H158" s="38">
        <v>600</v>
      </c>
      <c r="I158" s="30">
        <v>695</v>
      </c>
      <c r="J158" s="30">
        <v>0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ht="15.75">
      <c r="A159" s="11">
        <v>45931</v>
      </c>
      <c r="B159" s="39">
        <v>31</v>
      </c>
      <c r="C159" s="30">
        <v>131.881</v>
      </c>
      <c r="D159" s="30">
        <v>277.16699999999997</v>
      </c>
      <c r="E159" s="36">
        <v>829.952</v>
      </c>
      <c r="F159" s="30">
        <v>1239</v>
      </c>
      <c r="G159" s="30">
        <v>75</v>
      </c>
      <c r="H159" s="38">
        <v>600</v>
      </c>
      <c r="I159" s="30">
        <v>695</v>
      </c>
      <c r="J159" s="30">
        <v>0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ht="15.75">
      <c r="A160" s="11">
        <v>45962</v>
      </c>
      <c r="B160" s="39">
        <v>30</v>
      </c>
      <c r="C160" s="30">
        <v>122.58</v>
      </c>
      <c r="D160" s="30">
        <v>297.94099999999997</v>
      </c>
      <c r="E160" s="36">
        <v>729.47900000000004</v>
      </c>
      <c r="F160" s="30">
        <v>1150</v>
      </c>
      <c r="G160" s="30">
        <v>100</v>
      </c>
      <c r="H160" s="38">
        <v>600</v>
      </c>
      <c r="I160" s="30">
        <v>695</v>
      </c>
      <c r="J160" s="30">
        <v>50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ht="15.75">
      <c r="A161" s="11">
        <v>45992</v>
      </c>
      <c r="B161" s="39">
        <v>31</v>
      </c>
      <c r="C161" s="30">
        <v>122.58</v>
      </c>
      <c r="D161" s="30">
        <v>297.94099999999997</v>
      </c>
      <c r="E161" s="36">
        <v>729.47900000000004</v>
      </c>
      <c r="F161" s="30">
        <v>1150</v>
      </c>
      <c r="G161" s="30">
        <v>100</v>
      </c>
      <c r="H161" s="38">
        <v>600</v>
      </c>
      <c r="I161" s="30">
        <v>695</v>
      </c>
      <c r="J161" s="30">
        <v>50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ht="15.75">
      <c r="A162" s="11">
        <v>46023</v>
      </c>
      <c r="B162" s="39">
        <v>31</v>
      </c>
      <c r="C162" s="30">
        <v>122.58</v>
      </c>
      <c r="D162" s="30">
        <v>297.94099999999997</v>
      </c>
      <c r="E162" s="36">
        <v>729.47900000000004</v>
      </c>
      <c r="F162" s="30">
        <v>1150</v>
      </c>
      <c r="G162" s="30">
        <v>100</v>
      </c>
      <c r="H162" s="38">
        <v>600</v>
      </c>
      <c r="I162" s="30">
        <v>695</v>
      </c>
      <c r="J162" s="30">
        <v>50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ht="15.75">
      <c r="A163" s="11">
        <v>46054</v>
      </c>
      <c r="B163" s="39">
        <v>28</v>
      </c>
      <c r="C163" s="30">
        <v>122.58</v>
      </c>
      <c r="D163" s="30">
        <v>297.94099999999997</v>
      </c>
      <c r="E163" s="36">
        <v>729.47900000000004</v>
      </c>
      <c r="F163" s="30">
        <v>1150</v>
      </c>
      <c r="G163" s="30">
        <v>100</v>
      </c>
      <c r="H163" s="38">
        <v>600</v>
      </c>
      <c r="I163" s="30">
        <v>695</v>
      </c>
      <c r="J163" s="30">
        <v>50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ht="15.75">
      <c r="A164" s="11">
        <v>46082</v>
      </c>
      <c r="B164" s="39">
        <v>31</v>
      </c>
      <c r="C164" s="30">
        <v>122.58</v>
      </c>
      <c r="D164" s="30">
        <v>297.94099999999997</v>
      </c>
      <c r="E164" s="36">
        <v>729.47900000000004</v>
      </c>
      <c r="F164" s="30">
        <v>1150</v>
      </c>
      <c r="G164" s="30">
        <v>100</v>
      </c>
      <c r="H164" s="38">
        <v>600</v>
      </c>
      <c r="I164" s="30">
        <v>695</v>
      </c>
      <c r="J164" s="30">
        <v>50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5.75">
      <c r="A165" s="11">
        <v>46113</v>
      </c>
      <c r="B165" s="39">
        <v>30</v>
      </c>
      <c r="C165" s="30">
        <v>141.29300000000001</v>
      </c>
      <c r="D165" s="30">
        <v>267.99299999999999</v>
      </c>
      <c r="E165" s="36">
        <v>829.71400000000006</v>
      </c>
      <c r="F165" s="30">
        <v>1239</v>
      </c>
      <c r="G165" s="30">
        <v>100</v>
      </c>
      <c r="H165" s="38">
        <v>600</v>
      </c>
      <c r="I165" s="30">
        <v>695</v>
      </c>
      <c r="J165" s="30">
        <v>50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ht="15.75">
      <c r="A166" s="11">
        <v>46143</v>
      </c>
      <c r="B166" s="39">
        <v>31</v>
      </c>
      <c r="C166" s="30">
        <v>194.20500000000001</v>
      </c>
      <c r="D166" s="30">
        <v>267.46600000000001</v>
      </c>
      <c r="E166" s="36">
        <v>812.32899999999995</v>
      </c>
      <c r="F166" s="30">
        <v>1274</v>
      </c>
      <c r="G166" s="30">
        <v>75</v>
      </c>
      <c r="H166" s="38">
        <v>600</v>
      </c>
      <c r="I166" s="30">
        <v>695</v>
      </c>
      <c r="J166" s="30">
        <v>50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ht="15.75">
      <c r="A167" s="11">
        <v>46174</v>
      </c>
      <c r="B167" s="39">
        <v>30</v>
      </c>
      <c r="C167" s="30">
        <v>194.20500000000001</v>
      </c>
      <c r="D167" s="30">
        <v>267.46600000000001</v>
      </c>
      <c r="E167" s="36">
        <v>812.32899999999995</v>
      </c>
      <c r="F167" s="30">
        <v>1274</v>
      </c>
      <c r="G167" s="30">
        <v>50</v>
      </c>
      <c r="H167" s="38">
        <v>600</v>
      </c>
      <c r="I167" s="30">
        <v>695</v>
      </c>
      <c r="J167" s="30">
        <v>50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ht="15.75">
      <c r="A168" s="11">
        <v>46204</v>
      </c>
      <c r="B168" s="39">
        <v>31</v>
      </c>
      <c r="C168" s="30">
        <v>194.20500000000001</v>
      </c>
      <c r="D168" s="30">
        <v>267.46600000000001</v>
      </c>
      <c r="E168" s="36">
        <v>812.32899999999995</v>
      </c>
      <c r="F168" s="30">
        <v>1274</v>
      </c>
      <c r="G168" s="30">
        <v>50</v>
      </c>
      <c r="H168" s="38">
        <v>600</v>
      </c>
      <c r="I168" s="30">
        <v>695</v>
      </c>
      <c r="J168" s="30">
        <v>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ht="15.75">
      <c r="A169" s="11">
        <v>46235</v>
      </c>
      <c r="B169" s="39">
        <v>31</v>
      </c>
      <c r="C169" s="30">
        <v>194.20500000000001</v>
      </c>
      <c r="D169" s="30">
        <v>267.46600000000001</v>
      </c>
      <c r="E169" s="36">
        <v>812.32899999999995</v>
      </c>
      <c r="F169" s="30">
        <v>1274</v>
      </c>
      <c r="G169" s="30">
        <v>50</v>
      </c>
      <c r="H169" s="38">
        <v>600</v>
      </c>
      <c r="I169" s="30">
        <v>695</v>
      </c>
      <c r="J169" s="30">
        <v>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ht="15.75">
      <c r="A170" s="11">
        <v>46266</v>
      </c>
      <c r="B170" s="39">
        <v>30</v>
      </c>
      <c r="C170" s="30">
        <v>194.20500000000001</v>
      </c>
      <c r="D170" s="30">
        <v>267.46600000000001</v>
      </c>
      <c r="E170" s="36">
        <v>812.32899999999995</v>
      </c>
      <c r="F170" s="30">
        <v>1274</v>
      </c>
      <c r="G170" s="30">
        <v>50</v>
      </c>
      <c r="H170" s="38">
        <v>600</v>
      </c>
      <c r="I170" s="30">
        <v>695</v>
      </c>
      <c r="J170" s="30">
        <v>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ht="15.75">
      <c r="A171" s="11">
        <v>46296</v>
      </c>
      <c r="B171" s="39">
        <v>31</v>
      </c>
      <c r="C171" s="30">
        <v>131.881</v>
      </c>
      <c r="D171" s="30">
        <v>277.16699999999997</v>
      </c>
      <c r="E171" s="36">
        <v>829.952</v>
      </c>
      <c r="F171" s="30">
        <v>1239</v>
      </c>
      <c r="G171" s="30">
        <v>75</v>
      </c>
      <c r="H171" s="38">
        <v>600</v>
      </c>
      <c r="I171" s="30">
        <v>695</v>
      </c>
      <c r="J171" s="30">
        <v>0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ht="15.75">
      <c r="A172" s="11">
        <v>46327</v>
      </c>
      <c r="B172" s="39">
        <v>30</v>
      </c>
      <c r="C172" s="30">
        <v>122.58</v>
      </c>
      <c r="D172" s="30">
        <v>297.94099999999997</v>
      </c>
      <c r="E172" s="36">
        <v>729.47900000000004</v>
      </c>
      <c r="F172" s="30">
        <v>1150</v>
      </c>
      <c r="G172" s="30">
        <v>100</v>
      </c>
      <c r="H172" s="38">
        <v>600</v>
      </c>
      <c r="I172" s="30">
        <v>695</v>
      </c>
      <c r="J172" s="30">
        <v>50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ht="15.75">
      <c r="A173" s="11">
        <v>46357</v>
      </c>
      <c r="B173" s="39">
        <v>31</v>
      </c>
      <c r="C173" s="30">
        <v>122.58</v>
      </c>
      <c r="D173" s="30">
        <v>297.94099999999997</v>
      </c>
      <c r="E173" s="36">
        <v>729.47900000000004</v>
      </c>
      <c r="F173" s="30">
        <v>1150</v>
      </c>
      <c r="G173" s="30">
        <v>100</v>
      </c>
      <c r="H173" s="38">
        <v>600</v>
      </c>
      <c r="I173" s="30">
        <v>695</v>
      </c>
      <c r="J173" s="30">
        <v>50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ht="15.75">
      <c r="A174" s="11">
        <v>46388</v>
      </c>
      <c r="B174" s="39">
        <v>31</v>
      </c>
      <c r="C174" s="30">
        <v>122.58</v>
      </c>
      <c r="D174" s="30">
        <v>297.94099999999997</v>
      </c>
      <c r="E174" s="36">
        <v>729.47900000000004</v>
      </c>
      <c r="F174" s="30">
        <v>1150</v>
      </c>
      <c r="G174" s="30">
        <v>100</v>
      </c>
      <c r="H174" s="38">
        <v>600</v>
      </c>
      <c r="I174" s="30">
        <v>695</v>
      </c>
      <c r="J174" s="30">
        <v>50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ht="15.75">
      <c r="A175" s="11">
        <v>46419</v>
      </c>
      <c r="B175" s="39">
        <v>28</v>
      </c>
      <c r="C175" s="30">
        <v>122.58</v>
      </c>
      <c r="D175" s="30">
        <v>297.94099999999997</v>
      </c>
      <c r="E175" s="36">
        <v>729.47900000000004</v>
      </c>
      <c r="F175" s="30">
        <v>1150</v>
      </c>
      <c r="G175" s="30">
        <v>100</v>
      </c>
      <c r="H175" s="38">
        <v>600</v>
      </c>
      <c r="I175" s="30">
        <v>695</v>
      </c>
      <c r="J175" s="30">
        <v>50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ht="15.75">
      <c r="A176" s="11">
        <v>46447</v>
      </c>
      <c r="B176" s="39">
        <v>31</v>
      </c>
      <c r="C176" s="30">
        <v>122.58</v>
      </c>
      <c r="D176" s="30">
        <v>297.94099999999997</v>
      </c>
      <c r="E176" s="36">
        <v>729.47900000000004</v>
      </c>
      <c r="F176" s="30">
        <v>1150</v>
      </c>
      <c r="G176" s="30">
        <v>100</v>
      </c>
      <c r="H176" s="38">
        <v>600</v>
      </c>
      <c r="I176" s="30">
        <v>695</v>
      </c>
      <c r="J176" s="30">
        <v>50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ht="15.75">
      <c r="A177" s="11">
        <v>46478</v>
      </c>
      <c r="B177" s="39">
        <v>30</v>
      </c>
      <c r="C177" s="30">
        <v>141.29300000000001</v>
      </c>
      <c r="D177" s="30">
        <v>267.99299999999999</v>
      </c>
      <c r="E177" s="36">
        <v>829.71400000000006</v>
      </c>
      <c r="F177" s="30">
        <v>1239</v>
      </c>
      <c r="G177" s="30">
        <v>100</v>
      </c>
      <c r="H177" s="38">
        <v>600</v>
      </c>
      <c r="I177" s="30">
        <v>695</v>
      </c>
      <c r="J177" s="30">
        <v>50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ht="15.75">
      <c r="A178" s="11">
        <v>46508</v>
      </c>
      <c r="B178" s="39">
        <v>31</v>
      </c>
      <c r="C178" s="30">
        <v>194.20500000000001</v>
      </c>
      <c r="D178" s="30">
        <v>267.46600000000001</v>
      </c>
      <c r="E178" s="36">
        <v>812.32899999999995</v>
      </c>
      <c r="F178" s="30">
        <v>1274</v>
      </c>
      <c r="G178" s="30">
        <v>75</v>
      </c>
      <c r="H178" s="38">
        <v>600</v>
      </c>
      <c r="I178" s="30">
        <v>695</v>
      </c>
      <c r="J178" s="30">
        <v>50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ht="15.75">
      <c r="A179" s="11">
        <v>46539</v>
      </c>
      <c r="B179" s="39">
        <v>30</v>
      </c>
      <c r="C179" s="30">
        <v>194.20500000000001</v>
      </c>
      <c r="D179" s="30">
        <v>267.46600000000001</v>
      </c>
      <c r="E179" s="36">
        <v>812.32899999999995</v>
      </c>
      <c r="F179" s="30">
        <v>1274</v>
      </c>
      <c r="G179" s="30">
        <v>50</v>
      </c>
      <c r="H179" s="38">
        <v>600</v>
      </c>
      <c r="I179" s="30">
        <v>695</v>
      </c>
      <c r="J179" s="30">
        <v>50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ht="15.75">
      <c r="A180" s="11">
        <v>46569</v>
      </c>
      <c r="B180" s="39">
        <v>31</v>
      </c>
      <c r="C180" s="30">
        <v>194.20500000000001</v>
      </c>
      <c r="D180" s="30">
        <v>267.46600000000001</v>
      </c>
      <c r="E180" s="36">
        <v>812.32899999999995</v>
      </c>
      <c r="F180" s="30">
        <v>1274</v>
      </c>
      <c r="G180" s="30">
        <v>50</v>
      </c>
      <c r="H180" s="38">
        <v>600</v>
      </c>
      <c r="I180" s="30">
        <v>695</v>
      </c>
      <c r="J180" s="30">
        <v>0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ht="15.75">
      <c r="A181" s="11">
        <v>46600</v>
      </c>
      <c r="B181" s="39">
        <v>31</v>
      </c>
      <c r="C181" s="30">
        <v>194.20500000000001</v>
      </c>
      <c r="D181" s="30">
        <v>267.46600000000001</v>
      </c>
      <c r="E181" s="36">
        <v>812.32899999999995</v>
      </c>
      <c r="F181" s="30">
        <v>1274</v>
      </c>
      <c r="G181" s="30">
        <v>50</v>
      </c>
      <c r="H181" s="38">
        <v>600</v>
      </c>
      <c r="I181" s="30">
        <v>695</v>
      </c>
      <c r="J181" s="30">
        <v>0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ht="15.75">
      <c r="A182" s="11">
        <v>46631</v>
      </c>
      <c r="B182" s="39">
        <v>30</v>
      </c>
      <c r="C182" s="30">
        <v>194.20500000000001</v>
      </c>
      <c r="D182" s="30">
        <v>267.46600000000001</v>
      </c>
      <c r="E182" s="36">
        <v>812.32899999999995</v>
      </c>
      <c r="F182" s="30">
        <v>1274</v>
      </c>
      <c r="G182" s="30">
        <v>50</v>
      </c>
      <c r="H182" s="38">
        <v>600</v>
      </c>
      <c r="I182" s="30">
        <v>695</v>
      </c>
      <c r="J182" s="30">
        <v>0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ht="15.75">
      <c r="A183" s="11">
        <v>46661</v>
      </c>
      <c r="B183" s="39">
        <v>31</v>
      </c>
      <c r="C183" s="30">
        <v>131.881</v>
      </c>
      <c r="D183" s="30">
        <v>277.16699999999997</v>
      </c>
      <c r="E183" s="36">
        <v>829.952</v>
      </c>
      <c r="F183" s="30">
        <v>1239</v>
      </c>
      <c r="G183" s="30">
        <v>75</v>
      </c>
      <c r="H183" s="38">
        <v>600</v>
      </c>
      <c r="I183" s="30">
        <v>695</v>
      </c>
      <c r="J183" s="30">
        <v>0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ht="15.75">
      <c r="A184" s="11">
        <v>46692</v>
      </c>
      <c r="B184" s="39">
        <v>30</v>
      </c>
      <c r="C184" s="30">
        <v>122.58</v>
      </c>
      <c r="D184" s="30">
        <v>297.94099999999997</v>
      </c>
      <c r="E184" s="36">
        <v>729.47900000000004</v>
      </c>
      <c r="F184" s="30">
        <v>1150</v>
      </c>
      <c r="G184" s="30">
        <v>100</v>
      </c>
      <c r="H184" s="38">
        <v>600</v>
      </c>
      <c r="I184" s="30">
        <v>695</v>
      </c>
      <c r="J184" s="30">
        <v>50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ht="15.75">
      <c r="A185" s="11">
        <v>46722</v>
      </c>
      <c r="B185" s="39">
        <v>31</v>
      </c>
      <c r="C185" s="30">
        <v>122.58</v>
      </c>
      <c r="D185" s="30">
        <v>297.94099999999997</v>
      </c>
      <c r="E185" s="36">
        <v>729.47900000000004</v>
      </c>
      <c r="F185" s="30">
        <v>1150</v>
      </c>
      <c r="G185" s="30">
        <v>100</v>
      </c>
      <c r="H185" s="38">
        <v>600</v>
      </c>
      <c r="I185" s="30">
        <v>695</v>
      </c>
      <c r="J185" s="30">
        <v>50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ht="15.75">
      <c r="A186" s="11">
        <v>46753</v>
      </c>
      <c r="B186" s="39">
        <v>31</v>
      </c>
      <c r="C186" s="30">
        <v>122.58</v>
      </c>
      <c r="D186" s="30">
        <v>297.94099999999997</v>
      </c>
      <c r="E186" s="36">
        <v>729.47900000000004</v>
      </c>
      <c r="F186" s="30">
        <v>1150</v>
      </c>
      <c r="G186" s="30">
        <v>100</v>
      </c>
      <c r="H186" s="38">
        <v>600</v>
      </c>
      <c r="I186" s="30">
        <v>695</v>
      </c>
      <c r="J186" s="30">
        <v>50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.75">
      <c r="A187" s="11">
        <v>46784</v>
      </c>
      <c r="B187" s="39">
        <v>29</v>
      </c>
      <c r="C187" s="30">
        <v>122.58</v>
      </c>
      <c r="D187" s="30">
        <v>297.94099999999997</v>
      </c>
      <c r="E187" s="36">
        <v>729.47900000000004</v>
      </c>
      <c r="F187" s="30">
        <v>1150</v>
      </c>
      <c r="G187" s="30">
        <v>100</v>
      </c>
      <c r="H187" s="38">
        <v>600</v>
      </c>
      <c r="I187" s="30">
        <v>695</v>
      </c>
      <c r="J187" s="30">
        <v>50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ht="15.75">
      <c r="A188" s="11">
        <v>46813</v>
      </c>
      <c r="B188" s="39">
        <v>31</v>
      </c>
      <c r="C188" s="30">
        <v>122.58</v>
      </c>
      <c r="D188" s="30">
        <v>297.94099999999997</v>
      </c>
      <c r="E188" s="36">
        <v>729.47900000000004</v>
      </c>
      <c r="F188" s="30">
        <v>1150</v>
      </c>
      <c r="G188" s="30">
        <v>100</v>
      </c>
      <c r="H188" s="38">
        <v>600</v>
      </c>
      <c r="I188" s="30">
        <v>695</v>
      </c>
      <c r="J188" s="30">
        <v>50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ht="15.75">
      <c r="A189" s="11">
        <v>46844</v>
      </c>
      <c r="B189" s="39">
        <v>30</v>
      </c>
      <c r="C189" s="30">
        <v>141.29300000000001</v>
      </c>
      <c r="D189" s="30">
        <v>267.99299999999999</v>
      </c>
      <c r="E189" s="36">
        <v>829.71400000000006</v>
      </c>
      <c r="F189" s="30">
        <v>1239</v>
      </c>
      <c r="G189" s="30">
        <v>100</v>
      </c>
      <c r="H189" s="38">
        <v>600</v>
      </c>
      <c r="I189" s="30">
        <v>695</v>
      </c>
      <c r="J189" s="30">
        <v>50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ht="15.75">
      <c r="A190" s="11">
        <v>46874</v>
      </c>
      <c r="B190" s="39">
        <v>31</v>
      </c>
      <c r="C190" s="30">
        <v>194.20500000000001</v>
      </c>
      <c r="D190" s="30">
        <v>267.46600000000001</v>
      </c>
      <c r="E190" s="36">
        <v>812.32899999999995</v>
      </c>
      <c r="F190" s="30">
        <v>1274</v>
      </c>
      <c r="G190" s="30">
        <v>75</v>
      </c>
      <c r="H190" s="38">
        <v>600</v>
      </c>
      <c r="I190" s="30">
        <v>695</v>
      </c>
      <c r="J190" s="30">
        <v>50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ht="15.75">
      <c r="A191" s="11">
        <v>46905</v>
      </c>
      <c r="B191" s="39">
        <v>30</v>
      </c>
      <c r="C191" s="30">
        <v>194.20500000000001</v>
      </c>
      <c r="D191" s="30">
        <v>267.46600000000001</v>
      </c>
      <c r="E191" s="36">
        <v>812.32899999999995</v>
      </c>
      <c r="F191" s="30">
        <v>1274</v>
      </c>
      <c r="G191" s="30">
        <v>50</v>
      </c>
      <c r="H191" s="38">
        <v>600</v>
      </c>
      <c r="I191" s="30">
        <v>695</v>
      </c>
      <c r="J191" s="30">
        <v>50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ht="15.75">
      <c r="A192" s="11">
        <v>46935</v>
      </c>
      <c r="B192" s="39">
        <v>31</v>
      </c>
      <c r="C192" s="30">
        <v>194.20500000000001</v>
      </c>
      <c r="D192" s="30">
        <v>267.46600000000001</v>
      </c>
      <c r="E192" s="36">
        <v>812.32899999999995</v>
      </c>
      <c r="F192" s="30">
        <v>1274</v>
      </c>
      <c r="G192" s="30">
        <v>50</v>
      </c>
      <c r="H192" s="38">
        <v>600</v>
      </c>
      <c r="I192" s="30">
        <v>695</v>
      </c>
      <c r="J192" s="30">
        <v>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ht="15.75">
      <c r="A193" s="11">
        <v>46966</v>
      </c>
      <c r="B193" s="39">
        <v>31</v>
      </c>
      <c r="C193" s="30">
        <v>194.20500000000001</v>
      </c>
      <c r="D193" s="30">
        <v>267.46600000000001</v>
      </c>
      <c r="E193" s="36">
        <v>812.32899999999995</v>
      </c>
      <c r="F193" s="30">
        <v>1274</v>
      </c>
      <c r="G193" s="30">
        <v>50</v>
      </c>
      <c r="H193" s="38">
        <v>600</v>
      </c>
      <c r="I193" s="30">
        <v>695</v>
      </c>
      <c r="J193" s="30">
        <v>0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ht="15.75">
      <c r="A194" s="11">
        <v>46997</v>
      </c>
      <c r="B194" s="39">
        <v>30</v>
      </c>
      <c r="C194" s="30">
        <v>194.20500000000001</v>
      </c>
      <c r="D194" s="30">
        <v>267.46600000000001</v>
      </c>
      <c r="E194" s="36">
        <v>812.32899999999995</v>
      </c>
      <c r="F194" s="30">
        <v>1274</v>
      </c>
      <c r="G194" s="30">
        <v>50</v>
      </c>
      <c r="H194" s="38">
        <v>600</v>
      </c>
      <c r="I194" s="30">
        <v>695</v>
      </c>
      <c r="J194" s="30">
        <v>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ht="15.75">
      <c r="A195" s="11">
        <v>47027</v>
      </c>
      <c r="B195" s="39">
        <v>31</v>
      </c>
      <c r="C195" s="30">
        <v>131.881</v>
      </c>
      <c r="D195" s="30">
        <v>277.16699999999997</v>
      </c>
      <c r="E195" s="36">
        <v>829.952</v>
      </c>
      <c r="F195" s="30">
        <v>1239</v>
      </c>
      <c r="G195" s="30">
        <v>75</v>
      </c>
      <c r="H195" s="38">
        <v>600</v>
      </c>
      <c r="I195" s="30">
        <v>695</v>
      </c>
      <c r="J195" s="30">
        <v>0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ht="15.75">
      <c r="A196" s="11">
        <v>47058</v>
      </c>
      <c r="B196" s="39">
        <v>30</v>
      </c>
      <c r="C196" s="30">
        <v>122.58</v>
      </c>
      <c r="D196" s="30">
        <v>297.94099999999997</v>
      </c>
      <c r="E196" s="36">
        <v>729.47900000000004</v>
      </c>
      <c r="F196" s="30">
        <v>1150</v>
      </c>
      <c r="G196" s="30">
        <v>100</v>
      </c>
      <c r="H196" s="38">
        <v>600</v>
      </c>
      <c r="I196" s="30">
        <v>695</v>
      </c>
      <c r="J196" s="30">
        <v>50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ht="15.75">
      <c r="A197" s="11">
        <v>47088</v>
      </c>
      <c r="B197" s="39">
        <v>31</v>
      </c>
      <c r="C197" s="30">
        <v>122.58</v>
      </c>
      <c r="D197" s="30">
        <v>297.94099999999997</v>
      </c>
      <c r="E197" s="36">
        <v>729.47900000000004</v>
      </c>
      <c r="F197" s="30">
        <v>1150</v>
      </c>
      <c r="G197" s="30">
        <v>100</v>
      </c>
      <c r="H197" s="38">
        <v>600</v>
      </c>
      <c r="I197" s="30">
        <v>695</v>
      </c>
      <c r="J197" s="30">
        <v>50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ht="15.75">
      <c r="A198" s="11">
        <v>47119</v>
      </c>
      <c r="B198" s="39">
        <v>31</v>
      </c>
      <c r="C198" s="30">
        <v>122.58</v>
      </c>
      <c r="D198" s="30">
        <v>297.94099999999997</v>
      </c>
      <c r="E198" s="36">
        <v>729.47900000000004</v>
      </c>
      <c r="F198" s="30">
        <v>1150</v>
      </c>
      <c r="G198" s="30">
        <v>100</v>
      </c>
      <c r="H198" s="38">
        <v>600</v>
      </c>
      <c r="I198" s="30">
        <v>695</v>
      </c>
      <c r="J198" s="30">
        <v>50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ht="15.75">
      <c r="A199" s="11">
        <v>47150</v>
      </c>
      <c r="B199" s="39">
        <v>28</v>
      </c>
      <c r="C199" s="30">
        <v>122.58</v>
      </c>
      <c r="D199" s="30">
        <v>297.94099999999997</v>
      </c>
      <c r="E199" s="36">
        <v>729.47900000000004</v>
      </c>
      <c r="F199" s="30">
        <v>1150</v>
      </c>
      <c r="G199" s="30">
        <v>100</v>
      </c>
      <c r="H199" s="38">
        <v>600</v>
      </c>
      <c r="I199" s="30">
        <v>695</v>
      </c>
      <c r="J199" s="30">
        <v>50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ht="15.75">
      <c r="A200" s="11">
        <v>47178</v>
      </c>
      <c r="B200" s="39">
        <v>31</v>
      </c>
      <c r="C200" s="30">
        <v>122.58</v>
      </c>
      <c r="D200" s="30">
        <v>297.94099999999997</v>
      </c>
      <c r="E200" s="36">
        <v>729.47900000000004</v>
      </c>
      <c r="F200" s="30">
        <v>1150</v>
      </c>
      <c r="G200" s="30">
        <v>100</v>
      </c>
      <c r="H200" s="38">
        <v>600</v>
      </c>
      <c r="I200" s="30">
        <v>695</v>
      </c>
      <c r="J200" s="30">
        <v>50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ht="15.75">
      <c r="A201" s="11">
        <v>47209</v>
      </c>
      <c r="B201" s="39">
        <v>30</v>
      </c>
      <c r="C201" s="30">
        <v>141.29300000000001</v>
      </c>
      <c r="D201" s="30">
        <v>267.99299999999999</v>
      </c>
      <c r="E201" s="36">
        <v>829.71400000000006</v>
      </c>
      <c r="F201" s="30">
        <v>1239</v>
      </c>
      <c r="G201" s="30">
        <v>100</v>
      </c>
      <c r="H201" s="38">
        <v>600</v>
      </c>
      <c r="I201" s="30">
        <v>695</v>
      </c>
      <c r="J201" s="30">
        <v>50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5.75">
      <c r="A202" s="11">
        <v>47239</v>
      </c>
      <c r="B202" s="39">
        <v>31</v>
      </c>
      <c r="C202" s="30">
        <v>194.20500000000001</v>
      </c>
      <c r="D202" s="30">
        <v>267.46600000000001</v>
      </c>
      <c r="E202" s="36">
        <v>812.32899999999995</v>
      </c>
      <c r="F202" s="30">
        <v>1274</v>
      </c>
      <c r="G202" s="30">
        <v>75</v>
      </c>
      <c r="H202" s="38">
        <v>600</v>
      </c>
      <c r="I202" s="30">
        <v>695</v>
      </c>
      <c r="J202" s="30">
        <v>50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ht="15.75">
      <c r="A203" s="11">
        <v>47270</v>
      </c>
      <c r="B203" s="39">
        <v>30</v>
      </c>
      <c r="C203" s="30">
        <v>194.20500000000001</v>
      </c>
      <c r="D203" s="30">
        <v>267.46600000000001</v>
      </c>
      <c r="E203" s="36">
        <v>812.32899999999995</v>
      </c>
      <c r="F203" s="30">
        <v>1274</v>
      </c>
      <c r="G203" s="30">
        <v>50</v>
      </c>
      <c r="H203" s="38">
        <v>600</v>
      </c>
      <c r="I203" s="30">
        <v>695</v>
      </c>
      <c r="J203" s="30">
        <v>50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ht="15.75">
      <c r="A204" s="11">
        <v>47300</v>
      </c>
      <c r="B204" s="39">
        <v>31</v>
      </c>
      <c r="C204" s="30">
        <v>194.20500000000001</v>
      </c>
      <c r="D204" s="30">
        <v>267.46600000000001</v>
      </c>
      <c r="E204" s="36">
        <v>812.32899999999995</v>
      </c>
      <c r="F204" s="30">
        <v>1274</v>
      </c>
      <c r="G204" s="30">
        <v>50</v>
      </c>
      <c r="H204" s="38">
        <v>600</v>
      </c>
      <c r="I204" s="30">
        <v>695</v>
      </c>
      <c r="J204" s="30">
        <v>0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5.75">
      <c r="A205" s="11">
        <v>47331</v>
      </c>
      <c r="B205" s="39">
        <v>31</v>
      </c>
      <c r="C205" s="30">
        <v>194.20500000000001</v>
      </c>
      <c r="D205" s="30">
        <v>267.46600000000001</v>
      </c>
      <c r="E205" s="36">
        <v>812.32899999999995</v>
      </c>
      <c r="F205" s="30">
        <v>1274</v>
      </c>
      <c r="G205" s="30">
        <v>50</v>
      </c>
      <c r="H205" s="38">
        <v>600</v>
      </c>
      <c r="I205" s="30">
        <v>695</v>
      </c>
      <c r="J205" s="30">
        <v>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ht="15.75">
      <c r="A206" s="11">
        <v>47362</v>
      </c>
      <c r="B206" s="39">
        <v>30</v>
      </c>
      <c r="C206" s="30">
        <v>194.20500000000001</v>
      </c>
      <c r="D206" s="30">
        <v>267.46600000000001</v>
      </c>
      <c r="E206" s="36">
        <v>812.32899999999995</v>
      </c>
      <c r="F206" s="30">
        <v>1274</v>
      </c>
      <c r="G206" s="30">
        <v>50</v>
      </c>
      <c r="H206" s="38">
        <v>600</v>
      </c>
      <c r="I206" s="30">
        <v>695</v>
      </c>
      <c r="J206" s="30">
        <v>0</v>
      </c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ht="15.75">
      <c r="A207" s="11">
        <v>47392</v>
      </c>
      <c r="B207" s="39">
        <v>31</v>
      </c>
      <c r="C207" s="30">
        <v>131.881</v>
      </c>
      <c r="D207" s="30">
        <v>277.16699999999997</v>
      </c>
      <c r="E207" s="36">
        <v>829.952</v>
      </c>
      <c r="F207" s="30">
        <v>1239</v>
      </c>
      <c r="G207" s="30">
        <v>75</v>
      </c>
      <c r="H207" s="38">
        <v>600</v>
      </c>
      <c r="I207" s="30">
        <v>695</v>
      </c>
      <c r="J207" s="30">
        <v>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ht="15.75">
      <c r="A208" s="11">
        <v>47423</v>
      </c>
      <c r="B208" s="39">
        <v>30</v>
      </c>
      <c r="C208" s="30">
        <v>122.58</v>
      </c>
      <c r="D208" s="30">
        <v>297.94099999999997</v>
      </c>
      <c r="E208" s="36">
        <v>729.47900000000004</v>
      </c>
      <c r="F208" s="30">
        <v>1150</v>
      </c>
      <c r="G208" s="30">
        <v>100</v>
      </c>
      <c r="H208" s="38">
        <v>600</v>
      </c>
      <c r="I208" s="30">
        <v>695</v>
      </c>
      <c r="J208" s="30">
        <v>50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ht="15.75">
      <c r="A209" s="11">
        <v>47453</v>
      </c>
      <c r="B209" s="39">
        <v>31</v>
      </c>
      <c r="C209" s="30">
        <v>122.58</v>
      </c>
      <c r="D209" s="30">
        <v>297.94099999999997</v>
      </c>
      <c r="E209" s="36">
        <v>729.47900000000004</v>
      </c>
      <c r="F209" s="30">
        <v>1150</v>
      </c>
      <c r="G209" s="30">
        <v>100</v>
      </c>
      <c r="H209" s="38">
        <v>600</v>
      </c>
      <c r="I209" s="30">
        <v>695</v>
      </c>
      <c r="J209" s="30">
        <v>50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ht="15.75">
      <c r="A210" s="11">
        <v>47484</v>
      </c>
      <c r="B210" s="39">
        <v>31</v>
      </c>
      <c r="C210" s="30">
        <v>122.58</v>
      </c>
      <c r="D210" s="30">
        <v>297.94099999999997</v>
      </c>
      <c r="E210" s="36">
        <v>729.47900000000004</v>
      </c>
      <c r="F210" s="30">
        <v>1150</v>
      </c>
      <c r="G210" s="30">
        <v>100</v>
      </c>
      <c r="H210" s="38">
        <v>600</v>
      </c>
      <c r="I210" s="30">
        <v>695</v>
      </c>
      <c r="J210" s="30">
        <v>50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ht="15.75">
      <c r="A211" s="11">
        <v>47515</v>
      </c>
      <c r="B211" s="39">
        <v>28</v>
      </c>
      <c r="C211" s="30">
        <v>122.58</v>
      </c>
      <c r="D211" s="30">
        <v>297.94099999999997</v>
      </c>
      <c r="E211" s="36">
        <v>729.47900000000004</v>
      </c>
      <c r="F211" s="30">
        <v>1150</v>
      </c>
      <c r="G211" s="30">
        <v>100</v>
      </c>
      <c r="H211" s="38">
        <v>600</v>
      </c>
      <c r="I211" s="30">
        <v>695</v>
      </c>
      <c r="J211" s="30">
        <v>50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ht="15.75">
      <c r="A212" s="11">
        <v>47543</v>
      </c>
      <c r="B212" s="39">
        <v>31</v>
      </c>
      <c r="C212" s="30">
        <v>122.58</v>
      </c>
      <c r="D212" s="30">
        <v>297.94099999999997</v>
      </c>
      <c r="E212" s="36">
        <v>729.47900000000004</v>
      </c>
      <c r="F212" s="30">
        <v>1150</v>
      </c>
      <c r="G212" s="30">
        <v>100</v>
      </c>
      <c r="H212" s="38">
        <v>600</v>
      </c>
      <c r="I212" s="30">
        <v>695</v>
      </c>
      <c r="J212" s="30">
        <v>50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ht="15.75">
      <c r="A213" s="11">
        <v>47574</v>
      </c>
      <c r="B213" s="39">
        <v>30</v>
      </c>
      <c r="C213" s="30">
        <v>141.29300000000001</v>
      </c>
      <c r="D213" s="30">
        <v>267.99299999999999</v>
      </c>
      <c r="E213" s="36">
        <v>829.71400000000006</v>
      </c>
      <c r="F213" s="30">
        <v>1239</v>
      </c>
      <c r="G213" s="30">
        <v>100</v>
      </c>
      <c r="H213" s="38">
        <v>600</v>
      </c>
      <c r="I213" s="30">
        <v>695</v>
      </c>
      <c r="J213" s="30">
        <v>50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ht="15.75">
      <c r="A214" s="11">
        <v>47604</v>
      </c>
      <c r="B214" s="39">
        <v>31</v>
      </c>
      <c r="C214" s="30">
        <v>194.20500000000001</v>
      </c>
      <c r="D214" s="30">
        <v>267.46600000000001</v>
      </c>
      <c r="E214" s="36">
        <v>812.32899999999995</v>
      </c>
      <c r="F214" s="30">
        <v>1274</v>
      </c>
      <c r="G214" s="30">
        <v>75</v>
      </c>
      <c r="H214" s="38">
        <v>600</v>
      </c>
      <c r="I214" s="30">
        <v>695</v>
      </c>
      <c r="J214" s="30">
        <v>50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ht="15.75">
      <c r="A215" s="11">
        <v>47635</v>
      </c>
      <c r="B215" s="39">
        <v>30</v>
      </c>
      <c r="C215" s="30">
        <v>194.20500000000001</v>
      </c>
      <c r="D215" s="30">
        <v>267.46600000000001</v>
      </c>
      <c r="E215" s="36">
        <v>812.32899999999995</v>
      </c>
      <c r="F215" s="30">
        <v>1274</v>
      </c>
      <c r="G215" s="30">
        <v>50</v>
      </c>
      <c r="H215" s="38">
        <v>600</v>
      </c>
      <c r="I215" s="30">
        <v>695</v>
      </c>
      <c r="J215" s="30">
        <v>50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ht="15.75">
      <c r="A216" s="11">
        <v>47665</v>
      </c>
      <c r="B216" s="39">
        <v>31</v>
      </c>
      <c r="C216" s="30">
        <v>194.20500000000001</v>
      </c>
      <c r="D216" s="30">
        <v>267.46600000000001</v>
      </c>
      <c r="E216" s="36">
        <v>812.32899999999995</v>
      </c>
      <c r="F216" s="30">
        <v>1274</v>
      </c>
      <c r="G216" s="30">
        <v>50</v>
      </c>
      <c r="H216" s="38">
        <v>600</v>
      </c>
      <c r="I216" s="30">
        <v>695</v>
      </c>
      <c r="J216" s="30">
        <v>0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ht="15.75">
      <c r="A217" s="11">
        <v>47696</v>
      </c>
      <c r="B217" s="39">
        <v>31</v>
      </c>
      <c r="C217" s="30">
        <v>194.20500000000001</v>
      </c>
      <c r="D217" s="30">
        <v>267.46600000000001</v>
      </c>
      <c r="E217" s="36">
        <v>812.32899999999995</v>
      </c>
      <c r="F217" s="30">
        <v>1274</v>
      </c>
      <c r="G217" s="30">
        <v>50</v>
      </c>
      <c r="H217" s="38">
        <v>600</v>
      </c>
      <c r="I217" s="30">
        <v>695</v>
      </c>
      <c r="J217" s="30">
        <v>0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ht="15.75">
      <c r="A218" s="11">
        <v>47727</v>
      </c>
      <c r="B218" s="39">
        <v>30</v>
      </c>
      <c r="C218" s="30">
        <v>194.20500000000001</v>
      </c>
      <c r="D218" s="30">
        <v>267.46600000000001</v>
      </c>
      <c r="E218" s="36">
        <v>812.32899999999995</v>
      </c>
      <c r="F218" s="30">
        <v>1274</v>
      </c>
      <c r="G218" s="30">
        <v>50</v>
      </c>
      <c r="H218" s="38">
        <v>600</v>
      </c>
      <c r="I218" s="30">
        <v>695</v>
      </c>
      <c r="J218" s="30">
        <v>0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ht="15.75">
      <c r="A219" s="11">
        <v>47757</v>
      </c>
      <c r="B219" s="39">
        <v>31</v>
      </c>
      <c r="C219" s="30">
        <v>131.881</v>
      </c>
      <c r="D219" s="30">
        <v>277.16699999999997</v>
      </c>
      <c r="E219" s="36">
        <v>829.952</v>
      </c>
      <c r="F219" s="30">
        <v>1239</v>
      </c>
      <c r="G219" s="30">
        <v>75</v>
      </c>
      <c r="H219" s="38">
        <v>600</v>
      </c>
      <c r="I219" s="30">
        <v>695</v>
      </c>
      <c r="J219" s="30">
        <v>0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ht="15.75">
      <c r="A220" s="11">
        <v>47788</v>
      </c>
      <c r="B220" s="39">
        <v>30</v>
      </c>
      <c r="C220" s="30">
        <v>122.58</v>
      </c>
      <c r="D220" s="30">
        <v>297.94099999999997</v>
      </c>
      <c r="E220" s="36">
        <v>729.47900000000004</v>
      </c>
      <c r="F220" s="30">
        <v>1150</v>
      </c>
      <c r="G220" s="30">
        <v>100</v>
      </c>
      <c r="H220" s="38">
        <v>600</v>
      </c>
      <c r="I220" s="30">
        <v>695</v>
      </c>
      <c r="J220" s="30">
        <v>50</v>
      </c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ht="15.75">
      <c r="A221" s="11">
        <v>47818</v>
      </c>
      <c r="B221" s="39">
        <v>31</v>
      </c>
      <c r="C221" s="30">
        <v>122.58</v>
      </c>
      <c r="D221" s="30">
        <v>297.94099999999997</v>
      </c>
      <c r="E221" s="36">
        <v>729.47900000000004</v>
      </c>
      <c r="F221" s="30">
        <v>1150</v>
      </c>
      <c r="G221" s="30">
        <v>100</v>
      </c>
      <c r="H221" s="38">
        <v>600</v>
      </c>
      <c r="I221" s="30">
        <v>695</v>
      </c>
      <c r="J221" s="30">
        <v>50</v>
      </c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15.75">
      <c r="A222" s="11">
        <v>47849</v>
      </c>
      <c r="B222" s="39">
        <v>31</v>
      </c>
      <c r="C222" s="30">
        <v>122.58</v>
      </c>
      <c r="D222" s="30">
        <v>297.94099999999997</v>
      </c>
      <c r="E222" s="36">
        <v>729.47900000000004</v>
      </c>
      <c r="F222" s="30">
        <v>1150</v>
      </c>
      <c r="G222" s="30">
        <v>100</v>
      </c>
      <c r="H222" s="38">
        <v>600</v>
      </c>
      <c r="I222" s="30">
        <v>695</v>
      </c>
      <c r="J222" s="30">
        <v>50</v>
      </c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ht="15.75">
      <c r="A223" s="11">
        <v>47880</v>
      </c>
      <c r="B223" s="39">
        <v>28</v>
      </c>
      <c r="C223" s="30">
        <v>122.58</v>
      </c>
      <c r="D223" s="30">
        <v>297.94099999999997</v>
      </c>
      <c r="E223" s="36">
        <v>729.47900000000004</v>
      </c>
      <c r="F223" s="30">
        <v>1150</v>
      </c>
      <c r="G223" s="30">
        <v>100</v>
      </c>
      <c r="H223" s="38">
        <v>600</v>
      </c>
      <c r="I223" s="30">
        <v>695</v>
      </c>
      <c r="J223" s="30">
        <v>50</v>
      </c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ht="15.75">
      <c r="A224" s="11">
        <v>47908</v>
      </c>
      <c r="B224" s="39">
        <v>31</v>
      </c>
      <c r="C224" s="30">
        <v>122.58</v>
      </c>
      <c r="D224" s="30">
        <v>297.94099999999997</v>
      </c>
      <c r="E224" s="36">
        <v>729.47900000000004</v>
      </c>
      <c r="F224" s="30">
        <v>1150</v>
      </c>
      <c r="G224" s="30">
        <v>100</v>
      </c>
      <c r="H224" s="38">
        <v>600</v>
      </c>
      <c r="I224" s="30">
        <v>695</v>
      </c>
      <c r="J224" s="30">
        <v>50</v>
      </c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ht="15.75">
      <c r="A225" s="11">
        <v>47939</v>
      </c>
      <c r="B225" s="39">
        <v>30</v>
      </c>
      <c r="C225" s="30">
        <v>141.29300000000001</v>
      </c>
      <c r="D225" s="30">
        <v>267.99299999999999</v>
      </c>
      <c r="E225" s="36">
        <v>829.71400000000006</v>
      </c>
      <c r="F225" s="30">
        <v>1239</v>
      </c>
      <c r="G225" s="30">
        <v>100</v>
      </c>
      <c r="H225" s="38">
        <v>600</v>
      </c>
      <c r="I225" s="30">
        <v>695</v>
      </c>
      <c r="J225" s="30">
        <v>50</v>
      </c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ht="15.75">
      <c r="A226" s="11">
        <v>47969</v>
      </c>
      <c r="B226" s="39">
        <v>31</v>
      </c>
      <c r="C226" s="30">
        <v>194.20500000000001</v>
      </c>
      <c r="D226" s="30">
        <v>267.46600000000001</v>
      </c>
      <c r="E226" s="36">
        <v>812.32899999999995</v>
      </c>
      <c r="F226" s="30">
        <v>1274</v>
      </c>
      <c r="G226" s="30">
        <v>75</v>
      </c>
      <c r="H226" s="38">
        <v>600</v>
      </c>
      <c r="I226" s="30">
        <v>695</v>
      </c>
      <c r="J226" s="30">
        <v>50</v>
      </c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ht="15.75">
      <c r="A227" s="11">
        <v>48000</v>
      </c>
      <c r="B227" s="39">
        <v>30</v>
      </c>
      <c r="C227" s="30">
        <v>194.20500000000001</v>
      </c>
      <c r="D227" s="30">
        <v>267.46600000000001</v>
      </c>
      <c r="E227" s="36">
        <v>812.32899999999995</v>
      </c>
      <c r="F227" s="30">
        <v>1274</v>
      </c>
      <c r="G227" s="30">
        <v>50</v>
      </c>
      <c r="H227" s="38">
        <v>600</v>
      </c>
      <c r="I227" s="30">
        <v>695</v>
      </c>
      <c r="J227" s="30">
        <v>50</v>
      </c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.75">
      <c r="A228" s="11">
        <v>48030</v>
      </c>
      <c r="B228" s="39">
        <v>31</v>
      </c>
      <c r="C228" s="30">
        <v>194.20500000000001</v>
      </c>
      <c r="D228" s="30">
        <v>267.46600000000001</v>
      </c>
      <c r="E228" s="36">
        <v>812.32899999999995</v>
      </c>
      <c r="F228" s="30">
        <v>1274</v>
      </c>
      <c r="G228" s="30">
        <v>50</v>
      </c>
      <c r="H228" s="38">
        <v>600</v>
      </c>
      <c r="I228" s="30">
        <v>695</v>
      </c>
      <c r="J228" s="30">
        <v>0</v>
      </c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ht="15.75">
      <c r="A229" s="11">
        <v>48061</v>
      </c>
      <c r="B229" s="39">
        <v>31</v>
      </c>
      <c r="C229" s="30">
        <v>194.20500000000001</v>
      </c>
      <c r="D229" s="30">
        <v>267.46600000000001</v>
      </c>
      <c r="E229" s="36">
        <v>812.32899999999995</v>
      </c>
      <c r="F229" s="30">
        <v>1274</v>
      </c>
      <c r="G229" s="30">
        <v>50</v>
      </c>
      <c r="H229" s="38">
        <v>600</v>
      </c>
      <c r="I229" s="30">
        <v>695</v>
      </c>
      <c r="J229" s="30">
        <v>0</v>
      </c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ht="15.75">
      <c r="A230" s="11">
        <v>48092</v>
      </c>
      <c r="B230" s="39">
        <v>30</v>
      </c>
      <c r="C230" s="30">
        <v>194.20500000000001</v>
      </c>
      <c r="D230" s="30">
        <v>267.46600000000001</v>
      </c>
      <c r="E230" s="36">
        <v>812.32899999999995</v>
      </c>
      <c r="F230" s="30">
        <v>1274</v>
      </c>
      <c r="G230" s="30">
        <v>50</v>
      </c>
      <c r="H230" s="38">
        <v>600</v>
      </c>
      <c r="I230" s="30">
        <v>695</v>
      </c>
      <c r="J230" s="30">
        <v>0</v>
      </c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ht="15.75">
      <c r="A231" s="11">
        <v>48122</v>
      </c>
      <c r="B231" s="39">
        <v>31</v>
      </c>
      <c r="C231" s="30">
        <v>131.881</v>
      </c>
      <c r="D231" s="30">
        <v>277.16699999999997</v>
      </c>
      <c r="E231" s="36">
        <v>829.952</v>
      </c>
      <c r="F231" s="30">
        <v>1239</v>
      </c>
      <c r="G231" s="30">
        <v>75</v>
      </c>
      <c r="H231" s="38">
        <v>600</v>
      </c>
      <c r="I231" s="30">
        <v>695</v>
      </c>
      <c r="J231" s="30">
        <v>0</v>
      </c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ht="15.75">
      <c r="A232" s="11">
        <v>48153</v>
      </c>
      <c r="B232" s="39">
        <v>30</v>
      </c>
      <c r="C232" s="30">
        <v>122.58</v>
      </c>
      <c r="D232" s="30">
        <v>297.94099999999997</v>
      </c>
      <c r="E232" s="36">
        <v>729.47900000000004</v>
      </c>
      <c r="F232" s="30">
        <v>1150</v>
      </c>
      <c r="G232" s="30">
        <v>100</v>
      </c>
      <c r="H232" s="38">
        <v>600</v>
      </c>
      <c r="I232" s="30">
        <v>695</v>
      </c>
      <c r="J232" s="30">
        <v>50</v>
      </c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ht="15.75">
      <c r="A233" s="11">
        <v>48183</v>
      </c>
      <c r="B233" s="39">
        <v>31</v>
      </c>
      <c r="C233" s="30">
        <v>122.58</v>
      </c>
      <c r="D233" s="30">
        <v>297.94099999999997</v>
      </c>
      <c r="E233" s="36">
        <v>729.47900000000004</v>
      </c>
      <c r="F233" s="30">
        <v>1150</v>
      </c>
      <c r="G233" s="30">
        <v>100</v>
      </c>
      <c r="H233" s="38">
        <v>600</v>
      </c>
      <c r="I233" s="30">
        <v>695</v>
      </c>
      <c r="J233" s="30">
        <v>50</v>
      </c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ht="15.75">
      <c r="A234" s="11">
        <v>48214</v>
      </c>
      <c r="B234" s="39">
        <v>31</v>
      </c>
      <c r="C234" s="30">
        <v>122.58</v>
      </c>
      <c r="D234" s="30">
        <v>297.94099999999997</v>
      </c>
      <c r="E234" s="36">
        <v>729.47900000000004</v>
      </c>
      <c r="F234" s="30">
        <v>1150</v>
      </c>
      <c r="G234" s="30">
        <v>100</v>
      </c>
      <c r="H234" s="38">
        <v>600</v>
      </c>
      <c r="I234" s="30">
        <v>695</v>
      </c>
      <c r="J234" s="30">
        <v>50</v>
      </c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ht="15.75">
      <c r="A235" s="11">
        <v>48245</v>
      </c>
      <c r="B235" s="39">
        <v>29</v>
      </c>
      <c r="C235" s="30">
        <v>122.58</v>
      </c>
      <c r="D235" s="30">
        <v>297.94099999999997</v>
      </c>
      <c r="E235" s="36">
        <v>729.47900000000004</v>
      </c>
      <c r="F235" s="30">
        <v>1150</v>
      </c>
      <c r="G235" s="30">
        <v>100</v>
      </c>
      <c r="H235" s="38">
        <v>600</v>
      </c>
      <c r="I235" s="30">
        <v>695</v>
      </c>
      <c r="J235" s="30">
        <v>50</v>
      </c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ht="15.75">
      <c r="A236" s="11">
        <v>48274</v>
      </c>
      <c r="B236" s="39">
        <v>31</v>
      </c>
      <c r="C236" s="30">
        <v>122.58</v>
      </c>
      <c r="D236" s="30">
        <v>297.94099999999997</v>
      </c>
      <c r="E236" s="36">
        <v>729.47900000000004</v>
      </c>
      <c r="F236" s="30">
        <v>1150</v>
      </c>
      <c r="G236" s="30">
        <v>100</v>
      </c>
      <c r="H236" s="38">
        <v>600</v>
      </c>
      <c r="I236" s="30">
        <v>695</v>
      </c>
      <c r="J236" s="30">
        <v>50</v>
      </c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.75">
      <c r="A237" s="11">
        <v>48305</v>
      </c>
      <c r="B237" s="39">
        <v>30</v>
      </c>
      <c r="C237" s="30">
        <v>141.29300000000001</v>
      </c>
      <c r="D237" s="30">
        <v>267.99299999999999</v>
      </c>
      <c r="E237" s="36">
        <v>829.71400000000006</v>
      </c>
      <c r="F237" s="30">
        <v>1239</v>
      </c>
      <c r="G237" s="30">
        <v>100</v>
      </c>
      <c r="H237" s="38">
        <v>600</v>
      </c>
      <c r="I237" s="30">
        <v>695</v>
      </c>
      <c r="J237" s="30">
        <v>50</v>
      </c>
      <c r="K237" s="31"/>
      <c r="L237" s="31"/>
      <c r="M237" s="31"/>
      <c r="N237" s="31"/>
      <c r="O237" s="31"/>
      <c r="P237" s="31"/>
      <c r="Q237" s="31"/>
      <c r="R237" s="31"/>
      <c r="S237" s="31"/>
      <c r="T237" s="31"/>
    </row>
    <row r="238" spans="1:20" ht="15.75">
      <c r="A238" s="11">
        <v>48335</v>
      </c>
      <c r="B238" s="39">
        <v>31</v>
      </c>
      <c r="C238" s="30">
        <v>194.20500000000001</v>
      </c>
      <c r="D238" s="30">
        <v>267.46600000000001</v>
      </c>
      <c r="E238" s="36">
        <v>812.32899999999995</v>
      </c>
      <c r="F238" s="30">
        <v>1274</v>
      </c>
      <c r="G238" s="30">
        <v>75</v>
      </c>
      <c r="H238" s="38">
        <v>600</v>
      </c>
      <c r="I238" s="30">
        <v>695</v>
      </c>
      <c r="J238" s="30">
        <v>50</v>
      </c>
      <c r="K238" s="31"/>
      <c r="L238" s="31"/>
      <c r="M238" s="31"/>
      <c r="N238" s="31"/>
      <c r="O238" s="31"/>
      <c r="P238" s="31"/>
      <c r="Q238" s="31"/>
      <c r="R238" s="31"/>
      <c r="S238" s="31"/>
      <c r="T238" s="31"/>
    </row>
    <row r="239" spans="1:20" ht="15.75">
      <c r="A239" s="11">
        <v>48366</v>
      </c>
      <c r="B239" s="39">
        <v>30</v>
      </c>
      <c r="C239" s="30">
        <v>194.20500000000001</v>
      </c>
      <c r="D239" s="30">
        <v>267.46600000000001</v>
      </c>
      <c r="E239" s="36">
        <v>812.32899999999995</v>
      </c>
      <c r="F239" s="30">
        <v>1274</v>
      </c>
      <c r="G239" s="30">
        <v>50</v>
      </c>
      <c r="H239" s="38">
        <v>600</v>
      </c>
      <c r="I239" s="30">
        <v>695</v>
      </c>
      <c r="J239" s="30">
        <v>50</v>
      </c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ht="15.75">
      <c r="A240" s="11">
        <v>48396</v>
      </c>
      <c r="B240" s="39">
        <v>31</v>
      </c>
      <c r="C240" s="30">
        <v>194.20500000000001</v>
      </c>
      <c r="D240" s="30">
        <v>267.46600000000001</v>
      </c>
      <c r="E240" s="36">
        <v>812.32899999999995</v>
      </c>
      <c r="F240" s="30">
        <v>1274</v>
      </c>
      <c r="G240" s="30">
        <v>50</v>
      </c>
      <c r="H240" s="38">
        <v>600</v>
      </c>
      <c r="I240" s="30">
        <v>695</v>
      </c>
      <c r="J240" s="30">
        <v>0</v>
      </c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ht="15.75">
      <c r="A241" s="11">
        <v>48427</v>
      </c>
      <c r="B241" s="39">
        <v>31</v>
      </c>
      <c r="C241" s="30">
        <v>194.20500000000001</v>
      </c>
      <c r="D241" s="30">
        <v>267.46600000000001</v>
      </c>
      <c r="E241" s="36">
        <v>812.32899999999995</v>
      </c>
      <c r="F241" s="30">
        <v>1274</v>
      </c>
      <c r="G241" s="30">
        <v>50</v>
      </c>
      <c r="H241" s="38">
        <v>600</v>
      </c>
      <c r="I241" s="30">
        <v>695</v>
      </c>
      <c r="J241" s="30">
        <v>0</v>
      </c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ht="15.75">
      <c r="A242" s="11">
        <v>48458</v>
      </c>
      <c r="B242" s="39">
        <v>30</v>
      </c>
      <c r="C242" s="30">
        <v>194.20500000000001</v>
      </c>
      <c r="D242" s="30">
        <v>267.46600000000001</v>
      </c>
      <c r="E242" s="36">
        <v>812.32899999999995</v>
      </c>
      <c r="F242" s="30">
        <v>1274</v>
      </c>
      <c r="G242" s="30">
        <v>50</v>
      </c>
      <c r="H242" s="38">
        <v>600</v>
      </c>
      <c r="I242" s="30">
        <v>695</v>
      </c>
      <c r="J242" s="30">
        <v>0</v>
      </c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ht="15.75">
      <c r="A243" s="11">
        <v>48488</v>
      </c>
      <c r="B243" s="39">
        <v>31</v>
      </c>
      <c r="C243" s="30">
        <v>131.881</v>
      </c>
      <c r="D243" s="30">
        <v>277.16699999999997</v>
      </c>
      <c r="E243" s="36">
        <v>829.952</v>
      </c>
      <c r="F243" s="30">
        <v>1239</v>
      </c>
      <c r="G243" s="30">
        <v>75</v>
      </c>
      <c r="H243" s="38">
        <v>600</v>
      </c>
      <c r="I243" s="30">
        <v>695</v>
      </c>
      <c r="J243" s="30">
        <v>0</v>
      </c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5.75">
      <c r="A244" s="11">
        <v>48519</v>
      </c>
      <c r="B244" s="39">
        <v>30</v>
      </c>
      <c r="C244" s="30">
        <v>122.58</v>
      </c>
      <c r="D244" s="30">
        <v>297.94099999999997</v>
      </c>
      <c r="E244" s="36">
        <v>729.47900000000004</v>
      </c>
      <c r="F244" s="30">
        <v>1150</v>
      </c>
      <c r="G244" s="30">
        <v>100</v>
      </c>
      <c r="H244" s="38">
        <v>600</v>
      </c>
      <c r="I244" s="30">
        <v>695</v>
      </c>
      <c r="J244" s="30">
        <v>50</v>
      </c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ht="15.75">
      <c r="A245" s="11">
        <v>48549</v>
      </c>
      <c r="B245" s="39">
        <v>31</v>
      </c>
      <c r="C245" s="30">
        <v>122.58</v>
      </c>
      <c r="D245" s="30">
        <v>297.94099999999997</v>
      </c>
      <c r="E245" s="36">
        <v>729.47900000000004</v>
      </c>
      <c r="F245" s="30">
        <v>1150</v>
      </c>
      <c r="G245" s="30">
        <v>100</v>
      </c>
      <c r="H245" s="38">
        <v>600</v>
      </c>
      <c r="I245" s="30">
        <v>695</v>
      </c>
      <c r="J245" s="30">
        <v>50</v>
      </c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5.75">
      <c r="A246" s="11">
        <v>48580</v>
      </c>
      <c r="B246" s="39">
        <v>31</v>
      </c>
      <c r="C246" s="30">
        <v>122.58</v>
      </c>
      <c r="D246" s="30">
        <v>297.94099999999997</v>
      </c>
      <c r="E246" s="36">
        <v>729.47900000000004</v>
      </c>
      <c r="F246" s="30">
        <v>1150</v>
      </c>
      <c r="G246" s="30">
        <v>100</v>
      </c>
      <c r="H246" s="38">
        <v>600</v>
      </c>
      <c r="I246" s="30">
        <v>695</v>
      </c>
      <c r="J246" s="30">
        <v>50</v>
      </c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ht="15.75">
      <c r="A247" s="11">
        <v>48611</v>
      </c>
      <c r="B247" s="39">
        <v>28</v>
      </c>
      <c r="C247" s="30">
        <v>122.58</v>
      </c>
      <c r="D247" s="30">
        <v>297.94099999999997</v>
      </c>
      <c r="E247" s="36">
        <v>729.47900000000004</v>
      </c>
      <c r="F247" s="30">
        <v>1150</v>
      </c>
      <c r="G247" s="30">
        <v>100</v>
      </c>
      <c r="H247" s="38">
        <v>600</v>
      </c>
      <c r="I247" s="30">
        <v>695</v>
      </c>
      <c r="J247" s="30">
        <v>50</v>
      </c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ht="15.75">
      <c r="A248" s="11">
        <v>48639</v>
      </c>
      <c r="B248" s="39">
        <v>31</v>
      </c>
      <c r="C248" s="30">
        <v>122.58</v>
      </c>
      <c r="D248" s="30">
        <v>297.94099999999997</v>
      </c>
      <c r="E248" s="36">
        <v>729.47900000000004</v>
      </c>
      <c r="F248" s="30">
        <v>1150</v>
      </c>
      <c r="G248" s="30">
        <v>100</v>
      </c>
      <c r="H248" s="38">
        <v>600</v>
      </c>
      <c r="I248" s="30">
        <v>695</v>
      </c>
      <c r="J248" s="30">
        <v>50</v>
      </c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ht="15.75">
      <c r="A249" s="11">
        <v>48670</v>
      </c>
      <c r="B249" s="39">
        <v>30</v>
      </c>
      <c r="C249" s="30">
        <v>141.29300000000001</v>
      </c>
      <c r="D249" s="30">
        <v>267.99299999999999</v>
      </c>
      <c r="E249" s="36">
        <v>829.71400000000006</v>
      </c>
      <c r="F249" s="30">
        <v>1239</v>
      </c>
      <c r="G249" s="30">
        <v>100</v>
      </c>
      <c r="H249" s="38">
        <v>600</v>
      </c>
      <c r="I249" s="30">
        <v>695</v>
      </c>
      <c r="J249" s="30">
        <v>50</v>
      </c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ht="15.75">
      <c r="A250" s="11">
        <v>48700</v>
      </c>
      <c r="B250" s="39">
        <v>31</v>
      </c>
      <c r="C250" s="30">
        <v>194.20500000000001</v>
      </c>
      <c r="D250" s="30">
        <v>267.46600000000001</v>
      </c>
      <c r="E250" s="36">
        <v>812.32899999999995</v>
      </c>
      <c r="F250" s="30">
        <v>1274</v>
      </c>
      <c r="G250" s="30">
        <v>75</v>
      </c>
      <c r="H250" s="38">
        <v>600</v>
      </c>
      <c r="I250" s="30">
        <v>695</v>
      </c>
      <c r="J250" s="30">
        <v>50</v>
      </c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ht="15.75">
      <c r="A251" s="11">
        <v>48731</v>
      </c>
      <c r="B251" s="39">
        <v>30</v>
      </c>
      <c r="C251" s="30">
        <v>194.20500000000001</v>
      </c>
      <c r="D251" s="30">
        <v>267.46600000000001</v>
      </c>
      <c r="E251" s="36">
        <v>812.32899999999995</v>
      </c>
      <c r="F251" s="30">
        <v>1274</v>
      </c>
      <c r="G251" s="30">
        <v>50</v>
      </c>
      <c r="H251" s="38">
        <v>600</v>
      </c>
      <c r="I251" s="30">
        <v>695</v>
      </c>
      <c r="J251" s="30">
        <v>50</v>
      </c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ht="15.75">
      <c r="A252" s="11">
        <v>48761</v>
      </c>
      <c r="B252" s="39">
        <v>31</v>
      </c>
      <c r="C252" s="30">
        <v>194.20500000000001</v>
      </c>
      <c r="D252" s="30">
        <v>267.46600000000001</v>
      </c>
      <c r="E252" s="36">
        <v>812.32899999999995</v>
      </c>
      <c r="F252" s="30">
        <v>1274</v>
      </c>
      <c r="G252" s="30">
        <v>50</v>
      </c>
      <c r="H252" s="38">
        <v>600</v>
      </c>
      <c r="I252" s="30">
        <v>695</v>
      </c>
      <c r="J252" s="30">
        <v>0</v>
      </c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5.75">
      <c r="A253" s="11">
        <v>48792</v>
      </c>
      <c r="B253" s="39">
        <v>31</v>
      </c>
      <c r="C253" s="30">
        <v>194.20500000000001</v>
      </c>
      <c r="D253" s="30">
        <v>267.46600000000001</v>
      </c>
      <c r="E253" s="36">
        <v>812.32899999999995</v>
      </c>
      <c r="F253" s="30">
        <v>1274</v>
      </c>
      <c r="G253" s="30">
        <v>50</v>
      </c>
      <c r="H253" s="38">
        <v>600</v>
      </c>
      <c r="I253" s="30">
        <v>695</v>
      </c>
      <c r="J253" s="30">
        <v>0</v>
      </c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ht="15.75">
      <c r="A254" s="11">
        <v>48823</v>
      </c>
      <c r="B254" s="39">
        <v>30</v>
      </c>
      <c r="C254" s="30">
        <v>194.20500000000001</v>
      </c>
      <c r="D254" s="30">
        <v>267.46600000000001</v>
      </c>
      <c r="E254" s="36">
        <v>812.32899999999995</v>
      </c>
      <c r="F254" s="30">
        <v>1274</v>
      </c>
      <c r="G254" s="30">
        <v>50</v>
      </c>
      <c r="H254" s="38">
        <v>600</v>
      </c>
      <c r="I254" s="30">
        <v>695</v>
      </c>
      <c r="J254" s="30">
        <v>0</v>
      </c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ht="15.75">
      <c r="A255" s="11">
        <v>48853</v>
      </c>
      <c r="B255" s="39">
        <v>31</v>
      </c>
      <c r="C255" s="30">
        <v>131.881</v>
      </c>
      <c r="D255" s="30">
        <v>277.16699999999997</v>
      </c>
      <c r="E255" s="36">
        <v>829.952</v>
      </c>
      <c r="F255" s="30">
        <v>1239</v>
      </c>
      <c r="G255" s="30">
        <v>75</v>
      </c>
      <c r="H255" s="38">
        <v>600</v>
      </c>
      <c r="I255" s="30">
        <v>695</v>
      </c>
      <c r="J255" s="30">
        <v>0</v>
      </c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ht="15.75">
      <c r="A256" s="11">
        <v>48884</v>
      </c>
      <c r="B256" s="39">
        <v>30</v>
      </c>
      <c r="C256" s="30">
        <v>122.58</v>
      </c>
      <c r="D256" s="30">
        <v>297.94099999999997</v>
      </c>
      <c r="E256" s="36">
        <v>729.47900000000004</v>
      </c>
      <c r="F256" s="30">
        <v>1150</v>
      </c>
      <c r="G256" s="30">
        <v>100</v>
      </c>
      <c r="H256" s="38">
        <v>600</v>
      </c>
      <c r="I256" s="30">
        <v>695</v>
      </c>
      <c r="J256" s="30">
        <v>50</v>
      </c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0" ht="15.75">
      <c r="A257" s="11">
        <v>48914</v>
      </c>
      <c r="B257" s="39">
        <v>31</v>
      </c>
      <c r="C257" s="30">
        <v>122.58</v>
      </c>
      <c r="D257" s="30">
        <v>297.94099999999997</v>
      </c>
      <c r="E257" s="36">
        <v>729.47900000000004</v>
      </c>
      <c r="F257" s="30">
        <v>1150</v>
      </c>
      <c r="G257" s="30">
        <v>100</v>
      </c>
      <c r="H257" s="38">
        <v>600</v>
      </c>
      <c r="I257" s="30">
        <v>695</v>
      </c>
      <c r="J257" s="30">
        <v>50</v>
      </c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0" ht="15.75">
      <c r="A258" s="11">
        <v>48945</v>
      </c>
      <c r="B258" s="39">
        <v>31</v>
      </c>
      <c r="C258" s="30">
        <v>122.58</v>
      </c>
      <c r="D258" s="30">
        <v>297.94099999999997</v>
      </c>
      <c r="E258" s="36">
        <v>729.47900000000004</v>
      </c>
      <c r="F258" s="30">
        <v>1150</v>
      </c>
      <c r="G258" s="30">
        <v>100</v>
      </c>
      <c r="H258" s="38">
        <v>600</v>
      </c>
      <c r="I258" s="30">
        <v>695</v>
      </c>
      <c r="J258" s="30">
        <v>50</v>
      </c>
      <c r="K258" s="31"/>
      <c r="L258" s="31"/>
      <c r="M258" s="31"/>
      <c r="N258" s="31"/>
      <c r="O258" s="31"/>
      <c r="P258" s="31"/>
      <c r="Q258" s="31"/>
      <c r="R258" s="31"/>
      <c r="S258" s="31"/>
      <c r="T258" s="31"/>
    </row>
    <row r="259" spans="1:20" ht="15.75">
      <c r="A259" s="11">
        <v>48976</v>
      </c>
      <c r="B259" s="39">
        <v>28</v>
      </c>
      <c r="C259" s="30">
        <v>122.58</v>
      </c>
      <c r="D259" s="30">
        <v>297.94099999999997</v>
      </c>
      <c r="E259" s="36">
        <v>729.47900000000004</v>
      </c>
      <c r="F259" s="30">
        <v>1150</v>
      </c>
      <c r="G259" s="30">
        <v>100</v>
      </c>
      <c r="H259" s="38">
        <v>600</v>
      </c>
      <c r="I259" s="30">
        <v>695</v>
      </c>
      <c r="J259" s="30">
        <v>50</v>
      </c>
      <c r="K259" s="31"/>
      <c r="L259" s="31"/>
      <c r="M259" s="31"/>
      <c r="N259" s="31"/>
      <c r="O259" s="31"/>
      <c r="P259" s="31"/>
      <c r="Q259" s="31"/>
      <c r="R259" s="31"/>
      <c r="S259" s="31"/>
      <c r="T259" s="31"/>
    </row>
    <row r="260" spans="1:20" ht="15.75">
      <c r="A260" s="11">
        <v>49004</v>
      </c>
      <c r="B260" s="39">
        <v>31</v>
      </c>
      <c r="C260" s="30">
        <v>122.58</v>
      </c>
      <c r="D260" s="30">
        <v>297.94099999999997</v>
      </c>
      <c r="E260" s="36">
        <v>729.47900000000004</v>
      </c>
      <c r="F260" s="30">
        <v>1150</v>
      </c>
      <c r="G260" s="30">
        <v>100</v>
      </c>
      <c r="H260" s="38">
        <v>600</v>
      </c>
      <c r="I260" s="30">
        <v>695</v>
      </c>
      <c r="J260" s="30">
        <v>50</v>
      </c>
      <c r="K260" s="31"/>
      <c r="L260" s="31"/>
      <c r="M260" s="31"/>
      <c r="N260" s="31"/>
      <c r="O260" s="31"/>
      <c r="P260" s="31"/>
      <c r="Q260" s="31"/>
      <c r="R260" s="31"/>
      <c r="S260" s="31"/>
      <c r="T260" s="31"/>
    </row>
    <row r="261" spans="1:20" ht="15.75">
      <c r="A261" s="11">
        <v>49035</v>
      </c>
      <c r="B261" s="39">
        <v>30</v>
      </c>
      <c r="C261" s="30">
        <v>141.29300000000001</v>
      </c>
      <c r="D261" s="30">
        <v>267.99299999999999</v>
      </c>
      <c r="E261" s="36">
        <v>829.71400000000006</v>
      </c>
      <c r="F261" s="30">
        <v>1239</v>
      </c>
      <c r="G261" s="30">
        <v>100</v>
      </c>
      <c r="H261" s="38">
        <v>600</v>
      </c>
      <c r="I261" s="30">
        <v>695</v>
      </c>
      <c r="J261" s="30">
        <v>50</v>
      </c>
      <c r="K261" s="31"/>
      <c r="L261" s="31"/>
      <c r="M261" s="31"/>
      <c r="N261" s="31"/>
      <c r="O261" s="31"/>
      <c r="P261" s="31"/>
      <c r="Q261" s="31"/>
      <c r="R261" s="31"/>
      <c r="S261" s="31"/>
      <c r="T261" s="31"/>
    </row>
    <row r="262" spans="1:20" ht="15.75">
      <c r="A262" s="11">
        <v>49065</v>
      </c>
      <c r="B262" s="39">
        <v>31</v>
      </c>
      <c r="C262" s="30">
        <v>194.20500000000001</v>
      </c>
      <c r="D262" s="30">
        <v>267.46600000000001</v>
      </c>
      <c r="E262" s="36">
        <v>812.32899999999995</v>
      </c>
      <c r="F262" s="30">
        <v>1274</v>
      </c>
      <c r="G262" s="30">
        <v>75</v>
      </c>
      <c r="H262" s="38">
        <v>600</v>
      </c>
      <c r="I262" s="30">
        <v>695</v>
      </c>
      <c r="J262" s="30">
        <v>50</v>
      </c>
      <c r="K262" s="31"/>
      <c r="L262" s="31"/>
      <c r="M262" s="31"/>
      <c r="N262" s="31"/>
      <c r="O262" s="31"/>
      <c r="P262" s="31"/>
      <c r="Q262" s="31"/>
      <c r="R262" s="31"/>
      <c r="S262" s="31"/>
      <c r="T262" s="31"/>
    </row>
    <row r="263" spans="1:20" ht="15.75">
      <c r="A263" s="11">
        <v>49096</v>
      </c>
      <c r="B263" s="39">
        <v>30</v>
      </c>
      <c r="C263" s="30">
        <v>194.20500000000001</v>
      </c>
      <c r="D263" s="30">
        <v>267.46600000000001</v>
      </c>
      <c r="E263" s="36">
        <v>812.32899999999995</v>
      </c>
      <c r="F263" s="30">
        <v>1274</v>
      </c>
      <c r="G263" s="30">
        <v>50</v>
      </c>
      <c r="H263" s="38">
        <v>600</v>
      </c>
      <c r="I263" s="30">
        <v>695</v>
      </c>
      <c r="J263" s="30">
        <v>50</v>
      </c>
      <c r="K263" s="31"/>
      <c r="L263" s="31"/>
      <c r="M263" s="31"/>
      <c r="N263" s="31"/>
      <c r="O263" s="31"/>
      <c r="P263" s="31"/>
      <c r="Q263" s="31"/>
      <c r="R263" s="31"/>
      <c r="S263" s="31"/>
      <c r="T263" s="31"/>
    </row>
    <row r="264" spans="1:20" ht="15.75">
      <c r="A264" s="11">
        <v>49126</v>
      </c>
      <c r="B264" s="39">
        <v>31</v>
      </c>
      <c r="C264" s="30">
        <v>194.20500000000001</v>
      </c>
      <c r="D264" s="30">
        <v>267.46600000000001</v>
      </c>
      <c r="E264" s="36">
        <v>812.32899999999995</v>
      </c>
      <c r="F264" s="30">
        <v>1274</v>
      </c>
      <c r="G264" s="30">
        <v>50</v>
      </c>
      <c r="H264" s="38">
        <v>600</v>
      </c>
      <c r="I264" s="30">
        <v>695</v>
      </c>
      <c r="J264" s="30">
        <v>0</v>
      </c>
      <c r="K264" s="31"/>
      <c r="L264" s="31"/>
      <c r="M264" s="31"/>
      <c r="N264" s="31"/>
      <c r="O264" s="31"/>
      <c r="P264" s="31"/>
      <c r="Q264" s="31"/>
      <c r="R264" s="31"/>
      <c r="S264" s="31"/>
      <c r="T264" s="31"/>
    </row>
    <row r="265" spans="1:20" ht="15.75">
      <c r="A265" s="11">
        <v>49157</v>
      </c>
      <c r="B265" s="39">
        <v>31</v>
      </c>
      <c r="C265" s="30">
        <v>194.20500000000001</v>
      </c>
      <c r="D265" s="30">
        <v>267.46600000000001</v>
      </c>
      <c r="E265" s="36">
        <v>812.32899999999995</v>
      </c>
      <c r="F265" s="30">
        <v>1274</v>
      </c>
      <c r="G265" s="30">
        <v>50</v>
      </c>
      <c r="H265" s="38">
        <v>600</v>
      </c>
      <c r="I265" s="30">
        <v>695</v>
      </c>
      <c r="J265" s="30">
        <v>0</v>
      </c>
      <c r="K265" s="31"/>
      <c r="L265" s="31"/>
      <c r="M265" s="31"/>
      <c r="N265" s="31"/>
      <c r="O265" s="31"/>
      <c r="P265" s="31"/>
      <c r="Q265" s="31"/>
      <c r="R265" s="31"/>
      <c r="S265" s="31"/>
      <c r="T265" s="31"/>
    </row>
    <row r="266" spans="1:20" ht="15.75">
      <c r="A266" s="11">
        <v>49188</v>
      </c>
      <c r="B266" s="39">
        <v>30</v>
      </c>
      <c r="C266" s="30">
        <v>194.20500000000001</v>
      </c>
      <c r="D266" s="30">
        <v>267.46600000000001</v>
      </c>
      <c r="E266" s="36">
        <v>812.32899999999995</v>
      </c>
      <c r="F266" s="30">
        <v>1274</v>
      </c>
      <c r="G266" s="30">
        <v>50</v>
      </c>
      <c r="H266" s="38">
        <v>600</v>
      </c>
      <c r="I266" s="30">
        <v>695</v>
      </c>
      <c r="J266" s="30">
        <v>0</v>
      </c>
      <c r="K266" s="31"/>
      <c r="L266" s="31"/>
      <c r="M266" s="31"/>
      <c r="N266" s="31"/>
      <c r="O266" s="31"/>
      <c r="P266" s="31"/>
      <c r="Q266" s="31"/>
      <c r="R266" s="31"/>
      <c r="S266" s="31"/>
      <c r="T266" s="31"/>
    </row>
    <row r="267" spans="1:20" ht="15.75">
      <c r="A267" s="11">
        <v>49218</v>
      </c>
      <c r="B267" s="39">
        <v>31</v>
      </c>
      <c r="C267" s="30">
        <v>131.881</v>
      </c>
      <c r="D267" s="30">
        <v>277.16699999999997</v>
      </c>
      <c r="E267" s="36">
        <v>829.952</v>
      </c>
      <c r="F267" s="30">
        <v>1239</v>
      </c>
      <c r="G267" s="30">
        <v>75</v>
      </c>
      <c r="H267" s="38">
        <v>600</v>
      </c>
      <c r="I267" s="30">
        <v>695</v>
      </c>
      <c r="J267" s="30">
        <v>0</v>
      </c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ht="15.75">
      <c r="A268" s="11">
        <v>49249</v>
      </c>
      <c r="B268" s="39">
        <v>30</v>
      </c>
      <c r="C268" s="30">
        <v>122.58</v>
      </c>
      <c r="D268" s="30">
        <v>297.94099999999997</v>
      </c>
      <c r="E268" s="36">
        <v>729.47900000000004</v>
      </c>
      <c r="F268" s="30">
        <v>1150</v>
      </c>
      <c r="G268" s="30">
        <v>100</v>
      </c>
      <c r="H268" s="38">
        <v>600</v>
      </c>
      <c r="I268" s="30">
        <v>695</v>
      </c>
      <c r="J268" s="30">
        <v>50</v>
      </c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ht="15.75">
      <c r="A269" s="11">
        <v>49279</v>
      </c>
      <c r="B269" s="39">
        <v>31</v>
      </c>
      <c r="C269" s="30">
        <v>122.58</v>
      </c>
      <c r="D269" s="30">
        <v>297.94099999999997</v>
      </c>
      <c r="E269" s="36">
        <v>729.47900000000004</v>
      </c>
      <c r="F269" s="30">
        <v>1150</v>
      </c>
      <c r="G269" s="30">
        <v>100</v>
      </c>
      <c r="H269" s="38">
        <v>600</v>
      </c>
      <c r="I269" s="30">
        <v>695</v>
      </c>
      <c r="J269" s="30">
        <v>50</v>
      </c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ht="15.75">
      <c r="A270" s="11">
        <v>49310</v>
      </c>
      <c r="B270" s="39">
        <v>31</v>
      </c>
      <c r="C270" s="30">
        <v>122.58</v>
      </c>
      <c r="D270" s="30">
        <v>297.94099999999997</v>
      </c>
      <c r="E270" s="36">
        <v>729.47900000000004</v>
      </c>
      <c r="F270" s="30">
        <v>1150</v>
      </c>
      <c r="G270" s="30">
        <v>100</v>
      </c>
      <c r="H270" s="38">
        <v>600</v>
      </c>
      <c r="I270" s="30">
        <v>695</v>
      </c>
      <c r="J270" s="30">
        <v>50</v>
      </c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ht="15.75">
      <c r="A271" s="11">
        <v>49341</v>
      </c>
      <c r="B271" s="39">
        <v>28</v>
      </c>
      <c r="C271" s="30">
        <v>122.58</v>
      </c>
      <c r="D271" s="30">
        <v>297.94099999999997</v>
      </c>
      <c r="E271" s="36">
        <v>729.47900000000004</v>
      </c>
      <c r="F271" s="30">
        <v>1150</v>
      </c>
      <c r="G271" s="30">
        <v>100</v>
      </c>
      <c r="H271" s="38">
        <v>600</v>
      </c>
      <c r="I271" s="30">
        <v>695</v>
      </c>
      <c r="J271" s="30">
        <v>50</v>
      </c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.75">
      <c r="A272" s="11">
        <v>49369</v>
      </c>
      <c r="B272" s="39">
        <v>31</v>
      </c>
      <c r="C272" s="30">
        <v>122.58</v>
      </c>
      <c r="D272" s="30">
        <v>297.94099999999997</v>
      </c>
      <c r="E272" s="36">
        <v>729.47900000000004</v>
      </c>
      <c r="F272" s="30">
        <v>1150</v>
      </c>
      <c r="G272" s="30">
        <v>100</v>
      </c>
      <c r="H272" s="38">
        <v>600</v>
      </c>
      <c r="I272" s="30">
        <v>695</v>
      </c>
      <c r="J272" s="30">
        <v>50</v>
      </c>
      <c r="K272" s="31"/>
      <c r="L272" s="31"/>
      <c r="M272" s="31"/>
      <c r="N272" s="31"/>
      <c r="O272" s="31"/>
      <c r="P272" s="31"/>
      <c r="Q272" s="31"/>
      <c r="R272" s="31"/>
      <c r="S272" s="31"/>
      <c r="T272" s="31"/>
    </row>
    <row r="273" spans="1:20" ht="15.75">
      <c r="A273" s="11">
        <v>49400</v>
      </c>
      <c r="B273" s="39">
        <v>30</v>
      </c>
      <c r="C273" s="30">
        <v>141.29300000000001</v>
      </c>
      <c r="D273" s="30">
        <v>267.99299999999999</v>
      </c>
      <c r="E273" s="36">
        <v>829.71400000000006</v>
      </c>
      <c r="F273" s="30">
        <v>1239</v>
      </c>
      <c r="G273" s="30">
        <v>100</v>
      </c>
      <c r="H273" s="38">
        <v>600</v>
      </c>
      <c r="I273" s="30">
        <v>695</v>
      </c>
      <c r="J273" s="30">
        <v>50</v>
      </c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0" ht="15.75">
      <c r="A274" s="11">
        <v>49430</v>
      </c>
      <c r="B274" s="39">
        <v>31</v>
      </c>
      <c r="C274" s="30">
        <v>194.20500000000001</v>
      </c>
      <c r="D274" s="30">
        <v>267.46600000000001</v>
      </c>
      <c r="E274" s="36">
        <v>812.32899999999995</v>
      </c>
      <c r="F274" s="30">
        <v>1274</v>
      </c>
      <c r="G274" s="30">
        <v>75</v>
      </c>
      <c r="H274" s="38">
        <v>600</v>
      </c>
      <c r="I274" s="30">
        <v>695</v>
      </c>
      <c r="J274" s="30">
        <v>50</v>
      </c>
      <c r="K274" s="31"/>
      <c r="L274" s="31"/>
      <c r="M274" s="31"/>
      <c r="N274" s="31"/>
      <c r="O274" s="31"/>
      <c r="P274" s="31"/>
      <c r="Q274" s="31"/>
      <c r="R274" s="31"/>
      <c r="S274" s="31"/>
      <c r="T274" s="31"/>
    </row>
    <row r="275" spans="1:20" ht="15.75">
      <c r="A275" s="12">
        <v>49461</v>
      </c>
      <c r="B275" s="39">
        <v>30</v>
      </c>
      <c r="C275" s="30">
        <v>194.20500000000001</v>
      </c>
      <c r="D275" s="30">
        <v>267.46600000000001</v>
      </c>
      <c r="E275" s="36">
        <v>812.32899999999995</v>
      </c>
      <c r="F275" s="30">
        <v>1274</v>
      </c>
      <c r="G275" s="30">
        <v>50</v>
      </c>
      <c r="H275" s="38">
        <v>600</v>
      </c>
      <c r="I275" s="30">
        <v>695</v>
      </c>
      <c r="J275" s="30">
        <v>50</v>
      </c>
      <c r="K275" s="31"/>
      <c r="L275" s="31"/>
      <c r="M275" s="31"/>
      <c r="N275" s="31"/>
      <c r="O275" s="31"/>
      <c r="P275" s="31"/>
      <c r="Q275" s="31"/>
      <c r="R275" s="31"/>
      <c r="S275" s="31"/>
      <c r="T275" s="31"/>
    </row>
    <row r="276" spans="1:20" ht="15.75">
      <c r="A276" s="12">
        <v>49491</v>
      </c>
      <c r="B276" s="39">
        <v>31</v>
      </c>
      <c r="C276" s="30">
        <v>194.20500000000001</v>
      </c>
      <c r="D276" s="30">
        <v>267.46600000000001</v>
      </c>
      <c r="E276" s="36">
        <v>812.32899999999995</v>
      </c>
      <c r="F276" s="30">
        <v>1274</v>
      </c>
      <c r="G276" s="30">
        <v>50</v>
      </c>
      <c r="H276" s="38">
        <v>600</v>
      </c>
      <c r="I276" s="30">
        <v>695</v>
      </c>
      <c r="J276" s="30">
        <v>0</v>
      </c>
      <c r="K276" s="31"/>
      <c r="L276" s="31"/>
      <c r="M276" s="31"/>
      <c r="N276" s="31"/>
      <c r="O276" s="31"/>
      <c r="P276" s="31"/>
      <c r="Q276" s="31"/>
      <c r="R276" s="31"/>
      <c r="S276" s="31"/>
      <c r="T276" s="31"/>
    </row>
    <row r="277" spans="1:20" ht="15.75">
      <c r="A277" s="12">
        <v>49522</v>
      </c>
      <c r="B277" s="39">
        <v>31</v>
      </c>
      <c r="C277" s="30">
        <v>194.20500000000001</v>
      </c>
      <c r="D277" s="30">
        <v>267.46600000000001</v>
      </c>
      <c r="E277" s="36">
        <v>812.32899999999995</v>
      </c>
      <c r="F277" s="30">
        <v>1274</v>
      </c>
      <c r="G277" s="30">
        <v>50</v>
      </c>
      <c r="H277" s="38">
        <v>600</v>
      </c>
      <c r="I277" s="30">
        <v>695</v>
      </c>
      <c r="J277" s="30">
        <v>0</v>
      </c>
      <c r="K277" s="31"/>
      <c r="L277" s="31"/>
      <c r="M277" s="31"/>
      <c r="N277" s="31"/>
      <c r="O277" s="31"/>
      <c r="P277" s="31"/>
      <c r="Q277" s="31"/>
      <c r="R277" s="31"/>
      <c r="S277" s="31"/>
      <c r="T277" s="31"/>
    </row>
    <row r="278" spans="1:20" ht="15.75">
      <c r="A278" s="12">
        <v>49553</v>
      </c>
      <c r="B278" s="39">
        <v>30</v>
      </c>
      <c r="C278" s="30">
        <v>194.20500000000001</v>
      </c>
      <c r="D278" s="30">
        <v>267.46600000000001</v>
      </c>
      <c r="E278" s="36">
        <v>812.32899999999995</v>
      </c>
      <c r="F278" s="30">
        <v>1274</v>
      </c>
      <c r="G278" s="30">
        <v>50</v>
      </c>
      <c r="H278" s="38">
        <v>600</v>
      </c>
      <c r="I278" s="30">
        <v>695</v>
      </c>
      <c r="J278" s="30">
        <v>0</v>
      </c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0" ht="15.75">
      <c r="A279" s="12">
        <v>49583</v>
      </c>
      <c r="B279" s="39">
        <v>31</v>
      </c>
      <c r="C279" s="30">
        <v>131.881</v>
      </c>
      <c r="D279" s="30">
        <v>277.16699999999997</v>
      </c>
      <c r="E279" s="36">
        <v>829.952</v>
      </c>
      <c r="F279" s="30">
        <v>1239</v>
      </c>
      <c r="G279" s="30">
        <v>75</v>
      </c>
      <c r="H279" s="38">
        <v>600</v>
      </c>
      <c r="I279" s="30">
        <v>695</v>
      </c>
      <c r="J279" s="30">
        <v>0</v>
      </c>
      <c r="K279" s="31"/>
      <c r="L279" s="31"/>
      <c r="M279" s="31"/>
      <c r="N279" s="31"/>
      <c r="O279" s="31"/>
      <c r="P279" s="31"/>
      <c r="Q279" s="31"/>
      <c r="R279" s="31"/>
      <c r="S279" s="31"/>
      <c r="T279" s="31"/>
    </row>
    <row r="280" spans="1:20" ht="15.75">
      <c r="A280" s="12">
        <v>49614</v>
      </c>
      <c r="B280" s="39">
        <v>30</v>
      </c>
      <c r="C280" s="30">
        <v>122.58</v>
      </c>
      <c r="D280" s="30">
        <v>297.94099999999997</v>
      </c>
      <c r="E280" s="36">
        <v>729.47900000000004</v>
      </c>
      <c r="F280" s="30">
        <v>1150</v>
      </c>
      <c r="G280" s="30">
        <v>100</v>
      </c>
      <c r="H280" s="38">
        <v>600</v>
      </c>
      <c r="I280" s="30">
        <v>695</v>
      </c>
      <c r="J280" s="30">
        <v>50</v>
      </c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0" ht="15.75">
      <c r="A281" s="12">
        <v>49644</v>
      </c>
      <c r="B281" s="39">
        <v>31</v>
      </c>
      <c r="C281" s="30">
        <v>122.58</v>
      </c>
      <c r="D281" s="30">
        <v>297.94099999999997</v>
      </c>
      <c r="E281" s="36">
        <v>729.47900000000004</v>
      </c>
      <c r="F281" s="30">
        <v>1150</v>
      </c>
      <c r="G281" s="30">
        <v>100</v>
      </c>
      <c r="H281" s="38">
        <v>600</v>
      </c>
      <c r="I281" s="30">
        <v>695</v>
      </c>
      <c r="J281" s="30">
        <v>50</v>
      </c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0" ht="15.75">
      <c r="A282" s="12">
        <v>49675</v>
      </c>
      <c r="B282" s="39">
        <v>31</v>
      </c>
      <c r="C282" s="30">
        <v>122.58</v>
      </c>
      <c r="D282" s="30">
        <v>297.94099999999997</v>
      </c>
      <c r="E282" s="36">
        <v>729.47900000000004</v>
      </c>
      <c r="F282" s="30">
        <v>1150</v>
      </c>
      <c r="G282" s="30">
        <v>100</v>
      </c>
      <c r="H282" s="38">
        <v>600</v>
      </c>
      <c r="I282" s="30">
        <v>695</v>
      </c>
      <c r="J282" s="30">
        <v>50</v>
      </c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0" ht="15.75">
      <c r="A283" s="12">
        <v>49706</v>
      </c>
      <c r="B283" s="39">
        <v>29</v>
      </c>
      <c r="C283" s="30">
        <v>122.58</v>
      </c>
      <c r="D283" s="30">
        <v>297.94099999999997</v>
      </c>
      <c r="E283" s="36">
        <v>729.47900000000004</v>
      </c>
      <c r="F283" s="30">
        <v>1150</v>
      </c>
      <c r="G283" s="30">
        <v>100</v>
      </c>
      <c r="H283" s="38">
        <v>600</v>
      </c>
      <c r="I283" s="30">
        <v>695</v>
      </c>
      <c r="J283" s="30">
        <v>50</v>
      </c>
      <c r="K283" s="31"/>
      <c r="L283" s="31"/>
      <c r="M283" s="31"/>
      <c r="N283" s="31"/>
      <c r="O283" s="31"/>
      <c r="P283" s="31"/>
      <c r="Q283" s="31"/>
      <c r="R283" s="31"/>
      <c r="S283" s="31"/>
      <c r="T283" s="31"/>
    </row>
    <row r="284" spans="1:20" ht="15.75">
      <c r="A284" s="12">
        <v>49735</v>
      </c>
      <c r="B284" s="39">
        <v>31</v>
      </c>
      <c r="C284" s="30">
        <v>122.58</v>
      </c>
      <c r="D284" s="30">
        <v>297.94099999999997</v>
      </c>
      <c r="E284" s="36">
        <v>729.47900000000004</v>
      </c>
      <c r="F284" s="30">
        <v>1150</v>
      </c>
      <c r="G284" s="30">
        <v>100</v>
      </c>
      <c r="H284" s="38">
        <v>600</v>
      </c>
      <c r="I284" s="30">
        <v>695</v>
      </c>
      <c r="J284" s="30">
        <v>50</v>
      </c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0" ht="15.75">
      <c r="A285" s="12">
        <v>49766</v>
      </c>
      <c r="B285" s="39">
        <v>30</v>
      </c>
      <c r="C285" s="30">
        <v>141.29300000000001</v>
      </c>
      <c r="D285" s="30">
        <v>267.99299999999999</v>
      </c>
      <c r="E285" s="36">
        <v>829.71400000000006</v>
      </c>
      <c r="F285" s="30">
        <v>1239</v>
      </c>
      <c r="G285" s="30">
        <v>100</v>
      </c>
      <c r="H285" s="38">
        <v>600</v>
      </c>
      <c r="I285" s="30">
        <v>695</v>
      </c>
      <c r="J285" s="30">
        <v>50</v>
      </c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0" ht="15.75">
      <c r="A286" s="12">
        <v>49796</v>
      </c>
      <c r="B286" s="39">
        <v>31</v>
      </c>
      <c r="C286" s="30">
        <v>194.20500000000001</v>
      </c>
      <c r="D286" s="30">
        <v>267.46600000000001</v>
      </c>
      <c r="E286" s="36">
        <v>812.32899999999995</v>
      </c>
      <c r="F286" s="30">
        <v>1274</v>
      </c>
      <c r="G286" s="30">
        <v>75</v>
      </c>
      <c r="H286" s="38">
        <v>600</v>
      </c>
      <c r="I286" s="30">
        <v>695</v>
      </c>
      <c r="J286" s="30">
        <v>50</v>
      </c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ht="15.75">
      <c r="A287" s="12">
        <v>49827</v>
      </c>
      <c r="B287" s="39">
        <v>30</v>
      </c>
      <c r="C287" s="30">
        <v>194.20500000000001</v>
      </c>
      <c r="D287" s="30">
        <v>267.46600000000001</v>
      </c>
      <c r="E287" s="36">
        <v>812.32899999999995</v>
      </c>
      <c r="F287" s="30">
        <v>1274</v>
      </c>
      <c r="G287" s="30">
        <v>50</v>
      </c>
      <c r="H287" s="38">
        <v>600</v>
      </c>
      <c r="I287" s="30">
        <v>695</v>
      </c>
      <c r="J287" s="30">
        <v>50</v>
      </c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ht="15.75">
      <c r="A288" s="12">
        <v>49857</v>
      </c>
      <c r="B288" s="39">
        <v>31</v>
      </c>
      <c r="C288" s="30">
        <v>194.20500000000001</v>
      </c>
      <c r="D288" s="30">
        <v>267.46600000000001</v>
      </c>
      <c r="E288" s="36">
        <v>812.32899999999995</v>
      </c>
      <c r="F288" s="30">
        <v>1274</v>
      </c>
      <c r="G288" s="30">
        <v>50</v>
      </c>
      <c r="H288" s="38">
        <v>600</v>
      </c>
      <c r="I288" s="30">
        <v>695</v>
      </c>
      <c r="J288" s="30">
        <v>0</v>
      </c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.75">
      <c r="A289" s="12">
        <v>49888</v>
      </c>
      <c r="B289" s="39">
        <v>31</v>
      </c>
      <c r="C289" s="30">
        <v>194.20500000000001</v>
      </c>
      <c r="D289" s="30">
        <v>267.46600000000001</v>
      </c>
      <c r="E289" s="36">
        <v>812.32899999999995</v>
      </c>
      <c r="F289" s="30">
        <v>1274</v>
      </c>
      <c r="G289" s="30">
        <v>50</v>
      </c>
      <c r="H289" s="38">
        <v>600</v>
      </c>
      <c r="I289" s="30">
        <v>695</v>
      </c>
      <c r="J289" s="30">
        <v>0</v>
      </c>
      <c r="K289" s="31"/>
      <c r="L289" s="31"/>
      <c r="M289" s="31"/>
      <c r="N289" s="31"/>
      <c r="O289" s="31"/>
      <c r="P289" s="31"/>
      <c r="Q289" s="31"/>
      <c r="R289" s="31"/>
      <c r="S289" s="31"/>
      <c r="T289" s="31"/>
    </row>
    <row r="290" spans="1:20" ht="15.75">
      <c r="A290" s="12">
        <v>49919</v>
      </c>
      <c r="B290" s="39">
        <v>30</v>
      </c>
      <c r="C290" s="30">
        <v>194.20500000000001</v>
      </c>
      <c r="D290" s="30">
        <v>267.46600000000001</v>
      </c>
      <c r="E290" s="36">
        <v>812.32899999999995</v>
      </c>
      <c r="F290" s="30">
        <v>1274</v>
      </c>
      <c r="G290" s="30">
        <v>50</v>
      </c>
      <c r="H290" s="38">
        <v>600</v>
      </c>
      <c r="I290" s="30">
        <v>695</v>
      </c>
      <c r="J290" s="30">
        <v>0</v>
      </c>
      <c r="K290" s="31"/>
      <c r="L290" s="31"/>
      <c r="M290" s="31"/>
      <c r="N290" s="31"/>
      <c r="O290" s="31"/>
      <c r="P290" s="31"/>
      <c r="Q290" s="31"/>
      <c r="R290" s="31"/>
      <c r="S290" s="31"/>
      <c r="T290" s="31"/>
    </row>
    <row r="291" spans="1:20" ht="15.75">
      <c r="A291" s="12">
        <v>49949</v>
      </c>
      <c r="B291" s="39">
        <v>31</v>
      </c>
      <c r="C291" s="30">
        <v>131.881</v>
      </c>
      <c r="D291" s="30">
        <v>277.16699999999997</v>
      </c>
      <c r="E291" s="36">
        <v>829.952</v>
      </c>
      <c r="F291" s="30">
        <v>1239</v>
      </c>
      <c r="G291" s="30">
        <v>75</v>
      </c>
      <c r="H291" s="38">
        <v>600</v>
      </c>
      <c r="I291" s="30">
        <v>695</v>
      </c>
      <c r="J291" s="30">
        <v>0</v>
      </c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ht="15.75">
      <c r="A292" s="12">
        <v>49980</v>
      </c>
      <c r="B292" s="39">
        <v>30</v>
      </c>
      <c r="C292" s="30">
        <v>122.58</v>
      </c>
      <c r="D292" s="30">
        <v>297.94099999999997</v>
      </c>
      <c r="E292" s="36">
        <v>729.47900000000004</v>
      </c>
      <c r="F292" s="30">
        <v>1150</v>
      </c>
      <c r="G292" s="30">
        <v>100</v>
      </c>
      <c r="H292" s="38">
        <v>600</v>
      </c>
      <c r="I292" s="30">
        <v>695</v>
      </c>
      <c r="J292" s="30">
        <v>50</v>
      </c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ht="15.75">
      <c r="A293" s="12">
        <v>50010</v>
      </c>
      <c r="B293" s="39">
        <v>31</v>
      </c>
      <c r="C293" s="30">
        <v>122.58</v>
      </c>
      <c r="D293" s="30">
        <v>297.94099999999997</v>
      </c>
      <c r="E293" s="36">
        <v>729.47900000000004</v>
      </c>
      <c r="F293" s="30">
        <v>1150</v>
      </c>
      <c r="G293" s="30">
        <v>100</v>
      </c>
      <c r="H293" s="38">
        <v>600</v>
      </c>
      <c r="I293" s="30">
        <v>695</v>
      </c>
      <c r="J293" s="30">
        <v>50</v>
      </c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ht="15.75">
      <c r="A294" s="12">
        <v>50041</v>
      </c>
      <c r="B294" s="39">
        <v>31</v>
      </c>
      <c r="C294" s="30">
        <v>122.58</v>
      </c>
      <c r="D294" s="30">
        <v>297.94099999999997</v>
      </c>
      <c r="E294" s="36">
        <v>729.47900000000004</v>
      </c>
      <c r="F294" s="30">
        <v>1150</v>
      </c>
      <c r="G294" s="30">
        <v>100</v>
      </c>
      <c r="H294" s="38">
        <v>600</v>
      </c>
      <c r="I294" s="30">
        <v>695</v>
      </c>
      <c r="J294" s="30">
        <v>50</v>
      </c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ht="15.75">
      <c r="A295" s="12">
        <v>50072</v>
      </c>
      <c r="B295" s="39">
        <v>28</v>
      </c>
      <c r="C295" s="30">
        <v>122.58</v>
      </c>
      <c r="D295" s="30">
        <v>297.94099999999997</v>
      </c>
      <c r="E295" s="36">
        <v>729.47900000000004</v>
      </c>
      <c r="F295" s="30">
        <v>1150</v>
      </c>
      <c r="G295" s="30">
        <v>100</v>
      </c>
      <c r="H295" s="38">
        <v>600</v>
      </c>
      <c r="I295" s="30">
        <v>695</v>
      </c>
      <c r="J295" s="30">
        <v>50</v>
      </c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ht="15.75">
      <c r="A296" s="12">
        <v>50100</v>
      </c>
      <c r="B296" s="39">
        <v>31</v>
      </c>
      <c r="C296" s="30">
        <v>122.58</v>
      </c>
      <c r="D296" s="30">
        <v>297.94099999999997</v>
      </c>
      <c r="E296" s="36">
        <v>729.47900000000004</v>
      </c>
      <c r="F296" s="30">
        <v>1150</v>
      </c>
      <c r="G296" s="30">
        <v>100</v>
      </c>
      <c r="H296" s="38">
        <v>600</v>
      </c>
      <c r="I296" s="30">
        <v>695</v>
      </c>
      <c r="J296" s="30">
        <v>50</v>
      </c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ht="15.75">
      <c r="A297" s="12">
        <v>50131</v>
      </c>
      <c r="B297" s="39">
        <v>30</v>
      </c>
      <c r="C297" s="30">
        <v>141.29300000000001</v>
      </c>
      <c r="D297" s="30">
        <v>267.99299999999999</v>
      </c>
      <c r="E297" s="36">
        <v>829.71400000000006</v>
      </c>
      <c r="F297" s="30">
        <v>1239</v>
      </c>
      <c r="G297" s="30">
        <v>100</v>
      </c>
      <c r="H297" s="38">
        <v>600</v>
      </c>
      <c r="I297" s="30">
        <v>695</v>
      </c>
      <c r="J297" s="30">
        <v>50</v>
      </c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ht="15.75">
      <c r="A298" s="12">
        <v>50161</v>
      </c>
      <c r="B298" s="39">
        <v>31</v>
      </c>
      <c r="C298" s="30">
        <v>194.20500000000001</v>
      </c>
      <c r="D298" s="30">
        <v>267.46600000000001</v>
      </c>
      <c r="E298" s="36">
        <v>812.32899999999995</v>
      </c>
      <c r="F298" s="30">
        <v>1274</v>
      </c>
      <c r="G298" s="30">
        <v>75</v>
      </c>
      <c r="H298" s="38">
        <v>600</v>
      </c>
      <c r="I298" s="30">
        <v>695</v>
      </c>
      <c r="J298" s="30">
        <v>50</v>
      </c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ht="15.75">
      <c r="A299" s="12">
        <v>50192</v>
      </c>
      <c r="B299" s="39">
        <v>30</v>
      </c>
      <c r="C299" s="30">
        <v>194.20500000000001</v>
      </c>
      <c r="D299" s="30">
        <v>267.46600000000001</v>
      </c>
      <c r="E299" s="36">
        <v>812.32899999999995</v>
      </c>
      <c r="F299" s="30">
        <v>1274</v>
      </c>
      <c r="G299" s="30">
        <v>50</v>
      </c>
      <c r="H299" s="38">
        <v>600</v>
      </c>
      <c r="I299" s="30">
        <v>695</v>
      </c>
      <c r="J299" s="30">
        <v>50</v>
      </c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ht="15.75">
      <c r="A300" s="12">
        <v>50222</v>
      </c>
      <c r="B300" s="39">
        <v>31</v>
      </c>
      <c r="C300" s="30">
        <v>194.20500000000001</v>
      </c>
      <c r="D300" s="30">
        <v>267.46600000000001</v>
      </c>
      <c r="E300" s="36">
        <v>812.32899999999995</v>
      </c>
      <c r="F300" s="30">
        <v>1274</v>
      </c>
      <c r="G300" s="30">
        <v>50</v>
      </c>
      <c r="H300" s="38">
        <v>600</v>
      </c>
      <c r="I300" s="30">
        <v>695</v>
      </c>
      <c r="J300" s="30">
        <v>0</v>
      </c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ht="15.75">
      <c r="A301" s="12">
        <v>50253</v>
      </c>
      <c r="B301" s="39">
        <v>31</v>
      </c>
      <c r="C301" s="30">
        <v>194.20500000000001</v>
      </c>
      <c r="D301" s="30">
        <v>267.46600000000001</v>
      </c>
      <c r="E301" s="36">
        <v>812.32899999999995</v>
      </c>
      <c r="F301" s="30">
        <v>1274</v>
      </c>
      <c r="G301" s="30">
        <v>50</v>
      </c>
      <c r="H301" s="38">
        <v>600</v>
      </c>
      <c r="I301" s="30">
        <v>695</v>
      </c>
      <c r="J301" s="30">
        <v>0</v>
      </c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ht="15.75">
      <c r="A302" s="12">
        <v>50284</v>
      </c>
      <c r="B302" s="39">
        <v>30</v>
      </c>
      <c r="C302" s="30">
        <v>194.20500000000001</v>
      </c>
      <c r="D302" s="30">
        <v>267.46600000000001</v>
      </c>
      <c r="E302" s="36">
        <v>812.32899999999995</v>
      </c>
      <c r="F302" s="30">
        <v>1274</v>
      </c>
      <c r="G302" s="30">
        <v>50</v>
      </c>
      <c r="H302" s="38">
        <v>600</v>
      </c>
      <c r="I302" s="30">
        <v>695</v>
      </c>
      <c r="J302" s="30">
        <v>0</v>
      </c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ht="15.75">
      <c r="A303" s="12">
        <v>50314</v>
      </c>
      <c r="B303" s="39">
        <v>31</v>
      </c>
      <c r="C303" s="30">
        <v>131.881</v>
      </c>
      <c r="D303" s="30">
        <v>277.16699999999997</v>
      </c>
      <c r="E303" s="36">
        <v>829.952</v>
      </c>
      <c r="F303" s="30">
        <v>1239</v>
      </c>
      <c r="G303" s="30">
        <v>75</v>
      </c>
      <c r="H303" s="38">
        <v>600</v>
      </c>
      <c r="I303" s="30">
        <v>695</v>
      </c>
      <c r="J303" s="30">
        <v>0</v>
      </c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ht="15.75">
      <c r="A304" s="12">
        <v>50345</v>
      </c>
      <c r="B304" s="39">
        <v>30</v>
      </c>
      <c r="C304" s="30">
        <v>122.58</v>
      </c>
      <c r="D304" s="30">
        <v>297.94099999999997</v>
      </c>
      <c r="E304" s="36">
        <v>729.47900000000004</v>
      </c>
      <c r="F304" s="30">
        <v>1150</v>
      </c>
      <c r="G304" s="30">
        <v>100</v>
      </c>
      <c r="H304" s="38">
        <v>600</v>
      </c>
      <c r="I304" s="30">
        <v>695</v>
      </c>
      <c r="J304" s="30">
        <v>50</v>
      </c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5.75">
      <c r="A305" s="12">
        <v>50375</v>
      </c>
      <c r="B305" s="39">
        <v>31</v>
      </c>
      <c r="C305" s="30">
        <v>122.58</v>
      </c>
      <c r="D305" s="30">
        <v>297.94099999999997</v>
      </c>
      <c r="E305" s="36">
        <v>729.47900000000004</v>
      </c>
      <c r="F305" s="30">
        <v>1150</v>
      </c>
      <c r="G305" s="30">
        <v>100</v>
      </c>
      <c r="H305" s="38">
        <v>600</v>
      </c>
      <c r="I305" s="30">
        <v>695</v>
      </c>
      <c r="J305" s="30">
        <v>50</v>
      </c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0" ht="15.75">
      <c r="A306" s="11">
        <v>50436</v>
      </c>
      <c r="B306" s="39">
        <v>31</v>
      </c>
      <c r="C306" s="30">
        <v>122.58</v>
      </c>
      <c r="D306" s="30">
        <v>297.94099999999997</v>
      </c>
      <c r="E306" s="36">
        <v>729.47900000000004</v>
      </c>
      <c r="F306" s="30">
        <v>1150</v>
      </c>
      <c r="G306" s="30">
        <v>100</v>
      </c>
      <c r="H306" s="38">
        <v>600</v>
      </c>
      <c r="I306" s="30">
        <v>695</v>
      </c>
      <c r="J306" s="30">
        <v>50</v>
      </c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0" ht="15.75">
      <c r="A307" s="11">
        <v>50464</v>
      </c>
      <c r="B307" s="39">
        <v>28</v>
      </c>
      <c r="C307" s="30">
        <v>122.58</v>
      </c>
      <c r="D307" s="30">
        <v>297.94099999999997</v>
      </c>
      <c r="E307" s="36">
        <v>729.47900000000004</v>
      </c>
      <c r="F307" s="30">
        <v>1150</v>
      </c>
      <c r="G307" s="30">
        <v>100</v>
      </c>
      <c r="H307" s="38">
        <v>600</v>
      </c>
      <c r="I307" s="30">
        <v>695</v>
      </c>
      <c r="J307" s="30">
        <v>50</v>
      </c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0" ht="15.75">
      <c r="A308" s="11">
        <v>50495</v>
      </c>
      <c r="B308" s="39">
        <v>31</v>
      </c>
      <c r="C308" s="30">
        <v>122.58</v>
      </c>
      <c r="D308" s="30">
        <v>297.94099999999997</v>
      </c>
      <c r="E308" s="36">
        <v>729.47900000000004</v>
      </c>
      <c r="F308" s="30">
        <v>1150</v>
      </c>
      <c r="G308" s="30">
        <v>100</v>
      </c>
      <c r="H308" s="38">
        <v>600</v>
      </c>
      <c r="I308" s="30">
        <v>695</v>
      </c>
      <c r="J308" s="30">
        <v>50</v>
      </c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1:20" ht="15.75">
      <c r="A309" s="11">
        <v>50525</v>
      </c>
      <c r="B309" s="39">
        <v>30</v>
      </c>
      <c r="C309" s="30">
        <v>141.29300000000001</v>
      </c>
      <c r="D309" s="30">
        <v>267.99299999999999</v>
      </c>
      <c r="E309" s="36">
        <v>829.71400000000006</v>
      </c>
      <c r="F309" s="30">
        <v>1239</v>
      </c>
      <c r="G309" s="30">
        <v>100</v>
      </c>
      <c r="H309" s="38">
        <v>600</v>
      </c>
      <c r="I309" s="30">
        <v>695</v>
      </c>
      <c r="J309" s="30">
        <v>50</v>
      </c>
      <c r="K309" s="31"/>
      <c r="L309" s="31"/>
      <c r="M309" s="31"/>
      <c r="N309" s="31"/>
      <c r="O309" s="31"/>
      <c r="P309" s="31"/>
      <c r="Q309" s="31"/>
      <c r="R309" s="31"/>
      <c r="S309" s="31"/>
      <c r="T309" s="31"/>
    </row>
    <row r="310" spans="1:20" ht="15.75">
      <c r="A310" s="11">
        <v>50556</v>
      </c>
      <c r="B310" s="39">
        <v>31</v>
      </c>
      <c r="C310" s="30">
        <v>194.20500000000001</v>
      </c>
      <c r="D310" s="30">
        <v>267.46600000000001</v>
      </c>
      <c r="E310" s="36">
        <v>812.32899999999995</v>
      </c>
      <c r="F310" s="30">
        <v>1274</v>
      </c>
      <c r="G310" s="30">
        <v>75</v>
      </c>
      <c r="H310" s="38">
        <v>600</v>
      </c>
      <c r="I310" s="30">
        <v>695</v>
      </c>
      <c r="J310" s="30">
        <v>50</v>
      </c>
      <c r="K310" s="31"/>
      <c r="L310" s="31"/>
      <c r="M310" s="31"/>
      <c r="N310" s="31"/>
      <c r="O310" s="31"/>
      <c r="P310" s="31"/>
      <c r="Q310" s="31"/>
      <c r="R310" s="31"/>
      <c r="S310" s="31"/>
      <c r="T310" s="31"/>
    </row>
    <row r="311" spans="1:20" ht="15.75">
      <c r="A311" s="11">
        <v>50586</v>
      </c>
      <c r="B311" s="39">
        <v>30</v>
      </c>
      <c r="C311" s="30">
        <v>194.20500000000001</v>
      </c>
      <c r="D311" s="30">
        <v>267.46600000000001</v>
      </c>
      <c r="E311" s="36">
        <v>812.32899999999995</v>
      </c>
      <c r="F311" s="30">
        <v>1274</v>
      </c>
      <c r="G311" s="30">
        <v>50</v>
      </c>
      <c r="H311" s="38">
        <v>600</v>
      </c>
      <c r="I311" s="30">
        <v>695</v>
      </c>
      <c r="J311" s="30">
        <v>50</v>
      </c>
      <c r="K311" s="31"/>
      <c r="L311" s="31"/>
      <c r="M311" s="31"/>
      <c r="N311" s="31"/>
      <c r="O311" s="31"/>
      <c r="P311" s="31"/>
      <c r="Q311" s="31"/>
      <c r="R311" s="31"/>
      <c r="S311" s="31"/>
      <c r="T311" s="31"/>
    </row>
    <row r="312" spans="1:20" ht="15.75">
      <c r="A312" s="11">
        <v>50617</v>
      </c>
      <c r="B312" s="39">
        <v>31</v>
      </c>
      <c r="C312" s="30">
        <v>194.20500000000001</v>
      </c>
      <c r="D312" s="30">
        <v>267.46600000000001</v>
      </c>
      <c r="E312" s="36">
        <v>812.32899999999995</v>
      </c>
      <c r="F312" s="30">
        <v>1274</v>
      </c>
      <c r="G312" s="30">
        <v>50</v>
      </c>
      <c r="H312" s="38">
        <v>600</v>
      </c>
      <c r="I312" s="30">
        <v>695</v>
      </c>
      <c r="J312" s="30">
        <v>0</v>
      </c>
      <c r="K312" s="31"/>
      <c r="L312" s="31"/>
      <c r="M312" s="31"/>
      <c r="N312" s="31"/>
      <c r="O312" s="31"/>
      <c r="P312" s="31"/>
      <c r="Q312" s="31"/>
      <c r="R312" s="31"/>
      <c r="S312" s="31"/>
      <c r="T312" s="31"/>
    </row>
    <row r="313" spans="1:20" ht="15.75">
      <c r="A313" s="11">
        <v>50648</v>
      </c>
      <c r="B313" s="39">
        <v>31</v>
      </c>
      <c r="C313" s="30">
        <v>194.20500000000001</v>
      </c>
      <c r="D313" s="30">
        <v>267.46600000000001</v>
      </c>
      <c r="E313" s="36">
        <v>812.32899999999995</v>
      </c>
      <c r="F313" s="30">
        <v>1274</v>
      </c>
      <c r="G313" s="30">
        <v>50</v>
      </c>
      <c r="H313" s="38">
        <v>600</v>
      </c>
      <c r="I313" s="30">
        <v>695</v>
      </c>
      <c r="J313" s="30">
        <v>0</v>
      </c>
      <c r="K313" s="31"/>
      <c r="L313" s="31"/>
      <c r="M313" s="31"/>
      <c r="N313" s="31"/>
      <c r="O313" s="31"/>
      <c r="P313" s="31"/>
      <c r="Q313" s="31"/>
      <c r="R313" s="31"/>
      <c r="S313" s="31"/>
      <c r="T313" s="31"/>
    </row>
    <row r="314" spans="1:20" ht="15.75">
      <c r="A314" s="11">
        <v>50678</v>
      </c>
      <c r="B314" s="39">
        <v>30</v>
      </c>
      <c r="C314" s="30">
        <v>194.20500000000001</v>
      </c>
      <c r="D314" s="30">
        <v>267.46600000000001</v>
      </c>
      <c r="E314" s="36">
        <v>812.32899999999995</v>
      </c>
      <c r="F314" s="30">
        <v>1274</v>
      </c>
      <c r="G314" s="30">
        <v>50</v>
      </c>
      <c r="H314" s="38">
        <v>600</v>
      </c>
      <c r="I314" s="30">
        <v>695</v>
      </c>
      <c r="J314" s="30">
        <v>0</v>
      </c>
      <c r="K314" s="31"/>
      <c r="L314" s="31"/>
      <c r="M314" s="31"/>
      <c r="N314" s="31"/>
      <c r="O314" s="31"/>
      <c r="P314" s="31"/>
      <c r="Q314" s="31"/>
      <c r="R314" s="31"/>
      <c r="S314" s="31"/>
      <c r="T314" s="31"/>
    </row>
    <row r="315" spans="1:20" ht="15.75">
      <c r="A315" s="11">
        <v>50709</v>
      </c>
      <c r="B315" s="39">
        <v>31</v>
      </c>
      <c r="C315" s="30">
        <v>131.881</v>
      </c>
      <c r="D315" s="30">
        <v>277.16699999999997</v>
      </c>
      <c r="E315" s="36">
        <v>829.952</v>
      </c>
      <c r="F315" s="30">
        <v>1239</v>
      </c>
      <c r="G315" s="30">
        <v>75</v>
      </c>
      <c r="H315" s="38">
        <v>600</v>
      </c>
      <c r="I315" s="30">
        <v>695</v>
      </c>
      <c r="J315" s="30">
        <v>0</v>
      </c>
      <c r="K315" s="31"/>
      <c r="L315" s="31"/>
      <c r="M315" s="31"/>
      <c r="N315" s="31"/>
      <c r="O315" s="31"/>
      <c r="P315" s="31"/>
      <c r="Q315" s="31"/>
      <c r="R315" s="31"/>
      <c r="S315" s="31"/>
      <c r="T315" s="31"/>
    </row>
    <row r="316" spans="1:20" ht="15.75">
      <c r="A316" s="11">
        <v>50739</v>
      </c>
      <c r="B316" s="39">
        <v>30</v>
      </c>
      <c r="C316" s="30">
        <v>122.58</v>
      </c>
      <c r="D316" s="30">
        <v>297.94099999999997</v>
      </c>
      <c r="E316" s="36">
        <v>729.47900000000004</v>
      </c>
      <c r="F316" s="30">
        <v>1150</v>
      </c>
      <c r="G316" s="30">
        <v>100</v>
      </c>
      <c r="H316" s="38">
        <v>600</v>
      </c>
      <c r="I316" s="30">
        <v>695</v>
      </c>
      <c r="J316" s="30">
        <v>50</v>
      </c>
      <c r="K316" s="31"/>
      <c r="L316" s="31"/>
      <c r="M316" s="31"/>
      <c r="N316" s="31"/>
      <c r="O316" s="31"/>
      <c r="P316" s="31"/>
      <c r="Q316" s="31"/>
      <c r="R316" s="31"/>
      <c r="S316" s="31"/>
      <c r="T316" s="31"/>
    </row>
    <row r="317" spans="1:20" ht="15.75">
      <c r="A317" s="11">
        <v>50770</v>
      </c>
      <c r="B317" s="39">
        <v>31</v>
      </c>
      <c r="C317" s="30">
        <v>122.58</v>
      </c>
      <c r="D317" s="30">
        <v>297.94099999999997</v>
      </c>
      <c r="E317" s="36">
        <v>729.47900000000004</v>
      </c>
      <c r="F317" s="30">
        <v>1150</v>
      </c>
      <c r="G317" s="30">
        <v>100</v>
      </c>
      <c r="H317" s="38">
        <v>600</v>
      </c>
      <c r="I317" s="30">
        <v>695</v>
      </c>
      <c r="J317" s="30">
        <v>50</v>
      </c>
      <c r="K317" s="31"/>
      <c r="L317" s="31"/>
      <c r="M317" s="31"/>
      <c r="N317" s="31"/>
      <c r="O317" s="31"/>
      <c r="P317" s="31"/>
      <c r="Q317" s="31"/>
      <c r="R317" s="31"/>
      <c r="S317" s="31"/>
      <c r="T317" s="31"/>
    </row>
    <row r="318" spans="1:20" ht="15.75">
      <c r="A318" s="11">
        <v>50801</v>
      </c>
      <c r="B318" s="39">
        <v>31</v>
      </c>
      <c r="C318" s="30">
        <v>122.58</v>
      </c>
      <c r="D318" s="30">
        <v>297.94099999999997</v>
      </c>
      <c r="E318" s="36">
        <v>729.47900000000004</v>
      </c>
      <c r="F318" s="30">
        <v>1150</v>
      </c>
      <c r="G318" s="30">
        <v>100</v>
      </c>
      <c r="H318" s="38">
        <v>600</v>
      </c>
      <c r="I318" s="30">
        <v>695</v>
      </c>
      <c r="J318" s="30">
        <v>50</v>
      </c>
      <c r="K318" s="31"/>
      <c r="L318" s="31"/>
      <c r="M318" s="31"/>
      <c r="N318" s="31"/>
      <c r="O318" s="31"/>
      <c r="P318" s="31"/>
      <c r="Q318" s="31"/>
      <c r="R318" s="31"/>
      <c r="S318" s="31"/>
      <c r="T318" s="31"/>
    </row>
    <row r="319" spans="1:20" ht="15.75">
      <c r="A319" s="11">
        <v>50829</v>
      </c>
      <c r="B319" s="39">
        <v>28</v>
      </c>
      <c r="C319" s="30">
        <v>122.58</v>
      </c>
      <c r="D319" s="30">
        <v>297.94099999999997</v>
      </c>
      <c r="E319" s="36">
        <v>729.47900000000004</v>
      </c>
      <c r="F319" s="30">
        <v>1150</v>
      </c>
      <c r="G319" s="30">
        <v>100</v>
      </c>
      <c r="H319" s="38">
        <v>600</v>
      </c>
      <c r="I319" s="30">
        <v>695</v>
      </c>
      <c r="J319" s="30">
        <v>50</v>
      </c>
      <c r="K319" s="31"/>
      <c r="L319" s="31"/>
      <c r="M319" s="31"/>
      <c r="N319" s="31"/>
      <c r="O319" s="31"/>
      <c r="P319" s="31"/>
      <c r="Q319" s="31"/>
      <c r="R319" s="31"/>
      <c r="S319" s="31"/>
      <c r="T319" s="31"/>
    </row>
    <row r="320" spans="1:20" ht="15.75">
      <c r="A320" s="11">
        <v>50860</v>
      </c>
      <c r="B320" s="39">
        <v>31</v>
      </c>
      <c r="C320" s="30">
        <v>122.58</v>
      </c>
      <c r="D320" s="30">
        <v>297.94099999999997</v>
      </c>
      <c r="E320" s="36">
        <v>729.47900000000004</v>
      </c>
      <c r="F320" s="30">
        <v>1150</v>
      </c>
      <c r="G320" s="30">
        <v>100</v>
      </c>
      <c r="H320" s="38">
        <v>600</v>
      </c>
      <c r="I320" s="30">
        <v>695</v>
      </c>
      <c r="J320" s="30">
        <v>50</v>
      </c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ht="15.75">
      <c r="A321" s="11">
        <v>50890</v>
      </c>
      <c r="B321" s="39">
        <v>30</v>
      </c>
      <c r="C321" s="30">
        <v>141.29300000000001</v>
      </c>
      <c r="D321" s="30">
        <v>267.99299999999999</v>
      </c>
      <c r="E321" s="36">
        <v>829.71400000000006</v>
      </c>
      <c r="F321" s="30">
        <v>1239</v>
      </c>
      <c r="G321" s="30">
        <v>100</v>
      </c>
      <c r="H321" s="38">
        <v>600</v>
      </c>
      <c r="I321" s="30">
        <v>695</v>
      </c>
      <c r="J321" s="30">
        <v>50</v>
      </c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ht="15.75">
      <c r="A322" s="11">
        <v>50921</v>
      </c>
      <c r="B322" s="39">
        <v>31</v>
      </c>
      <c r="C322" s="30">
        <v>194.20500000000001</v>
      </c>
      <c r="D322" s="30">
        <v>267.46600000000001</v>
      </c>
      <c r="E322" s="36">
        <v>812.32899999999995</v>
      </c>
      <c r="F322" s="30">
        <v>1274</v>
      </c>
      <c r="G322" s="30">
        <v>75</v>
      </c>
      <c r="H322" s="38">
        <v>600</v>
      </c>
      <c r="I322" s="30">
        <v>695</v>
      </c>
      <c r="J322" s="30">
        <v>50</v>
      </c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ht="15.75">
      <c r="A323" s="11">
        <v>50951</v>
      </c>
      <c r="B323" s="39">
        <v>30</v>
      </c>
      <c r="C323" s="30">
        <v>194.20500000000001</v>
      </c>
      <c r="D323" s="30">
        <v>267.46600000000001</v>
      </c>
      <c r="E323" s="36">
        <v>812.32899999999995</v>
      </c>
      <c r="F323" s="30">
        <v>1274</v>
      </c>
      <c r="G323" s="30">
        <v>50</v>
      </c>
      <c r="H323" s="38">
        <v>600</v>
      </c>
      <c r="I323" s="30">
        <v>695</v>
      </c>
      <c r="J323" s="30">
        <v>50</v>
      </c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ht="15.75">
      <c r="A324" s="11">
        <v>50982</v>
      </c>
      <c r="B324" s="39">
        <v>31</v>
      </c>
      <c r="C324" s="30">
        <v>194.20500000000001</v>
      </c>
      <c r="D324" s="30">
        <v>267.46600000000001</v>
      </c>
      <c r="E324" s="36">
        <v>812.32899999999995</v>
      </c>
      <c r="F324" s="30">
        <v>1274</v>
      </c>
      <c r="G324" s="30">
        <v>50</v>
      </c>
      <c r="H324" s="38">
        <v>600</v>
      </c>
      <c r="I324" s="30">
        <v>695</v>
      </c>
      <c r="J324" s="30">
        <v>0</v>
      </c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.75">
      <c r="A325" s="11">
        <v>51013</v>
      </c>
      <c r="B325" s="39">
        <v>31</v>
      </c>
      <c r="C325" s="30">
        <v>194.20500000000001</v>
      </c>
      <c r="D325" s="30">
        <v>267.46600000000001</v>
      </c>
      <c r="E325" s="36">
        <v>812.32899999999995</v>
      </c>
      <c r="F325" s="30">
        <v>1274</v>
      </c>
      <c r="G325" s="30">
        <v>50</v>
      </c>
      <c r="H325" s="38">
        <v>600</v>
      </c>
      <c r="I325" s="30">
        <v>695</v>
      </c>
      <c r="J325" s="30">
        <v>0</v>
      </c>
      <c r="K325" s="31"/>
      <c r="L325" s="31"/>
      <c r="M325" s="31"/>
      <c r="N325" s="31"/>
      <c r="O325" s="31"/>
      <c r="P325" s="31"/>
      <c r="Q325" s="31"/>
      <c r="R325" s="31"/>
      <c r="S325" s="31"/>
      <c r="T325" s="31"/>
    </row>
    <row r="326" spans="1:20" ht="15.75">
      <c r="A326" s="11">
        <v>51043</v>
      </c>
      <c r="B326" s="39">
        <v>30</v>
      </c>
      <c r="C326" s="30">
        <v>194.20500000000001</v>
      </c>
      <c r="D326" s="30">
        <v>267.46600000000001</v>
      </c>
      <c r="E326" s="36">
        <v>812.32899999999995</v>
      </c>
      <c r="F326" s="30">
        <v>1274</v>
      </c>
      <c r="G326" s="30">
        <v>50</v>
      </c>
      <c r="H326" s="38">
        <v>600</v>
      </c>
      <c r="I326" s="30">
        <v>695</v>
      </c>
      <c r="J326" s="30">
        <v>0</v>
      </c>
      <c r="K326" s="31"/>
      <c r="L326" s="31"/>
      <c r="M326" s="31"/>
      <c r="N326" s="31"/>
      <c r="O326" s="31"/>
      <c r="P326" s="31"/>
      <c r="Q326" s="31"/>
      <c r="R326" s="31"/>
      <c r="S326" s="31"/>
      <c r="T326" s="31"/>
    </row>
    <row r="327" spans="1:20" ht="15.75">
      <c r="A327" s="11">
        <v>51074</v>
      </c>
      <c r="B327" s="39">
        <v>31</v>
      </c>
      <c r="C327" s="30">
        <v>131.881</v>
      </c>
      <c r="D327" s="30">
        <v>277.16699999999997</v>
      </c>
      <c r="E327" s="36">
        <v>829.952</v>
      </c>
      <c r="F327" s="30">
        <v>1239</v>
      </c>
      <c r="G327" s="30">
        <v>75</v>
      </c>
      <c r="H327" s="38">
        <v>600</v>
      </c>
      <c r="I327" s="30">
        <v>695</v>
      </c>
      <c r="J327" s="30">
        <v>0</v>
      </c>
      <c r="K327" s="31"/>
      <c r="L327" s="31"/>
      <c r="M327" s="31"/>
      <c r="N327" s="31"/>
      <c r="O327" s="31"/>
      <c r="P327" s="31"/>
      <c r="Q327" s="31"/>
      <c r="R327" s="31"/>
      <c r="S327" s="31"/>
      <c r="T327" s="31"/>
    </row>
    <row r="328" spans="1:20" ht="15.75">
      <c r="A328" s="11">
        <v>51104</v>
      </c>
      <c r="B328" s="39">
        <v>30</v>
      </c>
      <c r="C328" s="30">
        <v>122.58</v>
      </c>
      <c r="D328" s="30">
        <v>297.94099999999997</v>
      </c>
      <c r="E328" s="36">
        <v>729.47900000000004</v>
      </c>
      <c r="F328" s="30">
        <v>1150</v>
      </c>
      <c r="G328" s="30">
        <v>100</v>
      </c>
      <c r="H328" s="38">
        <v>600</v>
      </c>
      <c r="I328" s="30">
        <v>695</v>
      </c>
      <c r="J328" s="30">
        <v>50</v>
      </c>
      <c r="K328" s="31"/>
      <c r="L328" s="31"/>
      <c r="M328" s="31"/>
      <c r="N328" s="31"/>
      <c r="O328" s="31"/>
      <c r="P328" s="31"/>
      <c r="Q328" s="31"/>
      <c r="R328" s="31"/>
      <c r="S328" s="31"/>
      <c r="T328" s="31"/>
    </row>
    <row r="329" spans="1:20" ht="15.75">
      <c r="A329" s="11">
        <v>51135</v>
      </c>
      <c r="B329" s="39">
        <v>31</v>
      </c>
      <c r="C329" s="30">
        <v>122.58</v>
      </c>
      <c r="D329" s="30">
        <v>297.94099999999997</v>
      </c>
      <c r="E329" s="36">
        <v>729.47900000000004</v>
      </c>
      <c r="F329" s="30">
        <v>1150</v>
      </c>
      <c r="G329" s="30">
        <v>100</v>
      </c>
      <c r="H329" s="38">
        <v>600</v>
      </c>
      <c r="I329" s="30">
        <v>695</v>
      </c>
      <c r="J329" s="30">
        <v>50</v>
      </c>
      <c r="K329" s="31"/>
      <c r="L329" s="31"/>
      <c r="M329" s="31"/>
      <c r="N329" s="31"/>
      <c r="O329" s="31"/>
      <c r="P329" s="31"/>
      <c r="Q329" s="31"/>
      <c r="R329" s="31"/>
      <c r="S329" s="31"/>
      <c r="T329" s="31"/>
    </row>
    <row r="330" spans="1:20" ht="15.75">
      <c r="A330" s="11">
        <v>51166</v>
      </c>
      <c r="B330" s="39">
        <v>31</v>
      </c>
      <c r="C330" s="30">
        <v>122.58</v>
      </c>
      <c r="D330" s="30">
        <v>297.94099999999997</v>
      </c>
      <c r="E330" s="36">
        <v>729.47900000000004</v>
      </c>
      <c r="F330" s="30">
        <v>1150</v>
      </c>
      <c r="G330" s="30">
        <v>100</v>
      </c>
      <c r="H330" s="38">
        <v>600</v>
      </c>
      <c r="I330" s="30">
        <v>695</v>
      </c>
      <c r="J330" s="30">
        <v>50</v>
      </c>
      <c r="K330" s="31"/>
      <c r="L330" s="31"/>
      <c r="M330" s="31"/>
      <c r="N330" s="31"/>
      <c r="O330" s="31"/>
      <c r="P330" s="31"/>
      <c r="Q330" s="31"/>
      <c r="R330" s="31"/>
      <c r="S330" s="31"/>
      <c r="T330" s="31"/>
    </row>
    <row r="331" spans="1:20" ht="15.75">
      <c r="A331" s="11">
        <v>51194</v>
      </c>
      <c r="B331" s="39">
        <v>29</v>
      </c>
      <c r="C331" s="30">
        <v>122.58</v>
      </c>
      <c r="D331" s="30">
        <v>297.94099999999997</v>
      </c>
      <c r="E331" s="36">
        <v>729.47900000000004</v>
      </c>
      <c r="F331" s="30">
        <v>1150</v>
      </c>
      <c r="G331" s="30">
        <v>100</v>
      </c>
      <c r="H331" s="38">
        <v>600</v>
      </c>
      <c r="I331" s="30">
        <v>695</v>
      </c>
      <c r="J331" s="30">
        <v>50</v>
      </c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ht="15.75">
      <c r="A332" s="11">
        <v>51226</v>
      </c>
      <c r="B332" s="39">
        <v>31</v>
      </c>
      <c r="C332" s="30">
        <v>122.58</v>
      </c>
      <c r="D332" s="30">
        <v>297.94099999999997</v>
      </c>
      <c r="E332" s="36">
        <v>729.47900000000004</v>
      </c>
      <c r="F332" s="30">
        <v>1150</v>
      </c>
      <c r="G332" s="30">
        <v>100</v>
      </c>
      <c r="H332" s="38">
        <v>600</v>
      </c>
      <c r="I332" s="30">
        <v>695</v>
      </c>
      <c r="J332" s="30">
        <v>50</v>
      </c>
      <c r="K332" s="31"/>
      <c r="L332" s="31"/>
      <c r="M332" s="31"/>
      <c r="N332" s="31"/>
      <c r="O332" s="31"/>
      <c r="P332" s="31"/>
      <c r="Q332" s="31"/>
      <c r="R332" s="31"/>
      <c r="S332" s="31"/>
      <c r="T332" s="31"/>
    </row>
    <row r="333" spans="1:20" ht="15.75">
      <c r="A333" s="11">
        <v>51256</v>
      </c>
      <c r="B333" s="39">
        <v>30</v>
      </c>
      <c r="C333" s="30">
        <v>141.29300000000001</v>
      </c>
      <c r="D333" s="30">
        <v>267.99299999999999</v>
      </c>
      <c r="E333" s="36">
        <v>829.71400000000006</v>
      </c>
      <c r="F333" s="30">
        <v>1239</v>
      </c>
      <c r="G333" s="30">
        <v>100</v>
      </c>
      <c r="H333" s="38">
        <v>600</v>
      </c>
      <c r="I333" s="30">
        <v>695</v>
      </c>
      <c r="J333" s="30">
        <v>50</v>
      </c>
      <c r="K333" s="31"/>
      <c r="L333" s="31"/>
      <c r="M333" s="31"/>
      <c r="N333" s="31"/>
      <c r="O333" s="31"/>
      <c r="P333" s="31"/>
      <c r="Q333" s="31"/>
      <c r="R333" s="31"/>
      <c r="S333" s="31"/>
      <c r="T333" s="31"/>
    </row>
    <row r="334" spans="1:20" ht="15.75">
      <c r="A334" s="11">
        <v>51287</v>
      </c>
      <c r="B334" s="39">
        <v>31</v>
      </c>
      <c r="C334" s="30">
        <v>194.20500000000001</v>
      </c>
      <c r="D334" s="30">
        <v>267.46600000000001</v>
      </c>
      <c r="E334" s="36">
        <v>812.32899999999995</v>
      </c>
      <c r="F334" s="30">
        <v>1274</v>
      </c>
      <c r="G334" s="30">
        <v>75</v>
      </c>
      <c r="H334" s="38">
        <v>600</v>
      </c>
      <c r="I334" s="30">
        <v>695</v>
      </c>
      <c r="J334" s="30">
        <v>50</v>
      </c>
      <c r="K334" s="31"/>
      <c r="L334" s="31"/>
      <c r="M334" s="31"/>
      <c r="N334" s="31"/>
      <c r="O334" s="31"/>
      <c r="P334" s="31"/>
      <c r="Q334" s="31"/>
      <c r="R334" s="31"/>
      <c r="S334" s="31"/>
      <c r="T334" s="31"/>
    </row>
    <row r="335" spans="1:20" ht="15.75">
      <c r="A335" s="11">
        <v>51317</v>
      </c>
      <c r="B335" s="39">
        <v>30</v>
      </c>
      <c r="C335" s="30">
        <v>194.20500000000001</v>
      </c>
      <c r="D335" s="30">
        <v>267.46600000000001</v>
      </c>
      <c r="E335" s="36">
        <v>812.32899999999995</v>
      </c>
      <c r="F335" s="30">
        <v>1274</v>
      </c>
      <c r="G335" s="30">
        <v>50</v>
      </c>
      <c r="H335" s="38">
        <v>600</v>
      </c>
      <c r="I335" s="30">
        <v>695</v>
      </c>
      <c r="J335" s="30">
        <v>50</v>
      </c>
      <c r="K335" s="31"/>
      <c r="L335" s="31"/>
      <c r="M335" s="31"/>
      <c r="N335" s="31"/>
      <c r="O335" s="31"/>
      <c r="P335" s="31"/>
      <c r="Q335" s="31"/>
      <c r="R335" s="31"/>
      <c r="S335" s="31"/>
      <c r="T335" s="31"/>
    </row>
    <row r="336" spans="1:20" ht="15.75">
      <c r="A336" s="11">
        <v>51348</v>
      </c>
      <c r="B336" s="39">
        <v>31</v>
      </c>
      <c r="C336" s="30">
        <v>194.20500000000001</v>
      </c>
      <c r="D336" s="30">
        <v>267.46600000000001</v>
      </c>
      <c r="E336" s="36">
        <v>812.32899999999995</v>
      </c>
      <c r="F336" s="30">
        <v>1274</v>
      </c>
      <c r="G336" s="30">
        <v>50</v>
      </c>
      <c r="H336" s="38">
        <v>600</v>
      </c>
      <c r="I336" s="30">
        <v>695</v>
      </c>
      <c r="J336" s="30">
        <v>0</v>
      </c>
      <c r="K336" s="31"/>
      <c r="L336" s="31"/>
      <c r="M336" s="31"/>
      <c r="N336" s="31"/>
      <c r="O336" s="31"/>
      <c r="P336" s="31"/>
      <c r="Q336" s="31"/>
      <c r="R336" s="31"/>
      <c r="S336" s="31"/>
      <c r="T336" s="31"/>
    </row>
    <row r="337" spans="1:20" ht="15.75">
      <c r="A337" s="11">
        <v>51379</v>
      </c>
      <c r="B337" s="39">
        <v>31</v>
      </c>
      <c r="C337" s="30">
        <v>194.20500000000001</v>
      </c>
      <c r="D337" s="30">
        <v>267.46600000000001</v>
      </c>
      <c r="E337" s="36">
        <v>812.32899999999995</v>
      </c>
      <c r="F337" s="30">
        <v>1274</v>
      </c>
      <c r="G337" s="30">
        <v>50</v>
      </c>
      <c r="H337" s="38">
        <v>600</v>
      </c>
      <c r="I337" s="30">
        <v>695</v>
      </c>
      <c r="J337" s="30">
        <v>0</v>
      </c>
      <c r="K337" s="31"/>
      <c r="L337" s="31"/>
      <c r="M337" s="31"/>
      <c r="N337" s="31"/>
      <c r="O337" s="31"/>
      <c r="P337" s="31"/>
      <c r="Q337" s="31"/>
      <c r="R337" s="31"/>
      <c r="S337" s="31"/>
      <c r="T337" s="31"/>
    </row>
    <row r="338" spans="1:20" ht="15.75">
      <c r="A338" s="11">
        <v>51409</v>
      </c>
      <c r="B338" s="39">
        <v>30</v>
      </c>
      <c r="C338" s="30">
        <v>194.20500000000001</v>
      </c>
      <c r="D338" s="30">
        <v>267.46600000000001</v>
      </c>
      <c r="E338" s="36">
        <v>812.32899999999995</v>
      </c>
      <c r="F338" s="30">
        <v>1274</v>
      </c>
      <c r="G338" s="30">
        <v>50</v>
      </c>
      <c r="H338" s="38">
        <v>600</v>
      </c>
      <c r="I338" s="30">
        <v>695</v>
      </c>
      <c r="J338" s="30">
        <v>0</v>
      </c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1:20" ht="15.75">
      <c r="A339" s="11">
        <v>51440</v>
      </c>
      <c r="B339" s="39">
        <v>31</v>
      </c>
      <c r="C339" s="30">
        <v>131.881</v>
      </c>
      <c r="D339" s="30">
        <v>277.16699999999997</v>
      </c>
      <c r="E339" s="36">
        <v>829.952</v>
      </c>
      <c r="F339" s="30">
        <v>1239</v>
      </c>
      <c r="G339" s="30">
        <v>75</v>
      </c>
      <c r="H339" s="38">
        <v>600</v>
      </c>
      <c r="I339" s="30">
        <v>695</v>
      </c>
      <c r="J339" s="30">
        <v>0</v>
      </c>
      <c r="K339" s="31"/>
      <c r="L339" s="31"/>
      <c r="M339" s="31"/>
      <c r="N339" s="31"/>
      <c r="O339" s="31"/>
      <c r="P339" s="31"/>
      <c r="Q339" s="31"/>
      <c r="R339" s="31"/>
      <c r="S339" s="31"/>
      <c r="T339" s="31"/>
    </row>
    <row r="340" spans="1:20" ht="15.75">
      <c r="A340" s="11">
        <v>51470</v>
      </c>
      <c r="B340" s="39">
        <v>30</v>
      </c>
      <c r="C340" s="30">
        <v>122.58</v>
      </c>
      <c r="D340" s="30">
        <v>297.94099999999997</v>
      </c>
      <c r="E340" s="36">
        <v>729.47900000000004</v>
      </c>
      <c r="F340" s="30">
        <v>1150</v>
      </c>
      <c r="G340" s="30">
        <v>100</v>
      </c>
      <c r="H340" s="38">
        <v>600</v>
      </c>
      <c r="I340" s="30">
        <v>695</v>
      </c>
      <c r="J340" s="30">
        <v>50</v>
      </c>
      <c r="K340" s="31"/>
      <c r="L340" s="31"/>
      <c r="M340" s="31"/>
      <c r="N340" s="31"/>
      <c r="O340" s="31"/>
      <c r="P340" s="31"/>
      <c r="Q340" s="31"/>
      <c r="R340" s="31"/>
      <c r="S340" s="31"/>
      <c r="T340" s="31"/>
    </row>
    <row r="341" spans="1:20" ht="15.75">
      <c r="A341" s="11">
        <v>51501</v>
      </c>
      <c r="B341" s="39">
        <v>31</v>
      </c>
      <c r="C341" s="30">
        <v>122.58</v>
      </c>
      <c r="D341" s="30">
        <v>297.94099999999997</v>
      </c>
      <c r="E341" s="36">
        <v>729.47900000000004</v>
      </c>
      <c r="F341" s="30">
        <v>1150</v>
      </c>
      <c r="G341" s="30">
        <v>100</v>
      </c>
      <c r="H341" s="38">
        <v>600</v>
      </c>
      <c r="I341" s="30">
        <v>695</v>
      </c>
      <c r="J341" s="30">
        <v>50</v>
      </c>
      <c r="K341" s="31"/>
      <c r="L341" s="31"/>
      <c r="M341" s="31"/>
      <c r="N341" s="31"/>
      <c r="O341" s="31"/>
      <c r="P341" s="31"/>
      <c r="Q341" s="31"/>
      <c r="R341" s="31"/>
      <c r="S341" s="31"/>
      <c r="T341" s="31"/>
    </row>
    <row r="342" spans="1:20" ht="15.75">
      <c r="A342" s="11">
        <v>51532</v>
      </c>
      <c r="B342" s="39">
        <v>31</v>
      </c>
      <c r="C342" s="30">
        <v>122.58</v>
      </c>
      <c r="D342" s="30">
        <v>297.94099999999997</v>
      </c>
      <c r="E342" s="36">
        <v>729.47900000000004</v>
      </c>
      <c r="F342" s="30">
        <v>1150</v>
      </c>
      <c r="G342" s="30">
        <v>100</v>
      </c>
      <c r="H342" s="38">
        <v>600</v>
      </c>
      <c r="I342" s="30">
        <v>695</v>
      </c>
      <c r="J342" s="30">
        <v>50</v>
      </c>
      <c r="K342" s="31"/>
      <c r="L342" s="31"/>
      <c r="M342" s="31"/>
      <c r="N342" s="31"/>
      <c r="O342" s="31"/>
      <c r="P342" s="31"/>
      <c r="Q342" s="31"/>
      <c r="R342" s="31"/>
      <c r="S342" s="31"/>
      <c r="T342" s="31"/>
    </row>
    <row r="343" spans="1:20" ht="15.75">
      <c r="A343" s="11">
        <v>51560</v>
      </c>
      <c r="B343" s="39">
        <v>28</v>
      </c>
      <c r="C343" s="30">
        <v>122.58</v>
      </c>
      <c r="D343" s="30">
        <v>297.94099999999997</v>
      </c>
      <c r="E343" s="36">
        <v>729.47900000000004</v>
      </c>
      <c r="F343" s="30">
        <v>1150</v>
      </c>
      <c r="G343" s="30">
        <v>100</v>
      </c>
      <c r="H343" s="38">
        <v>600</v>
      </c>
      <c r="I343" s="30">
        <v>695</v>
      </c>
      <c r="J343" s="30">
        <v>50</v>
      </c>
      <c r="K343" s="31"/>
      <c r="L343" s="31"/>
      <c r="M343" s="31"/>
      <c r="N343" s="31"/>
      <c r="O343" s="31"/>
      <c r="P343" s="31"/>
      <c r="Q343" s="31"/>
      <c r="R343" s="31"/>
      <c r="S343" s="31"/>
      <c r="T343" s="31"/>
    </row>
    <row r="344" spans="1:20" ht="15.75">
      <c r="A344" s="11">
        <v>51591</v>
      </c>
      <c r="B344" s="39">
        <v>31</v>
      </c>
      <c r="C344" s="30">
        <v>122.58</v>
      </c>
      <c r="D344" s="30">
        <v>297.94099999999997</v>
      </c>
      <c r="E344" s="36">
        <v>729.47900000000004</v>
      </c>
      <c r="F344" s="30">
        <v>1150</v>
      </c>
      <c r="G344" s="30">
        <v>100</v>
      </c>
      <c r="H344" s="38">
        <v>600</v>
      </c>
      <c r="I344" s="30">
        <v>695</v>
      </c>
      <c r="J344" s="30">
        <v>50</v>
      </c>
      <c r="K344" s="31"/>
      <c r="L344" s="31"/>
      <c r="M344" s="31"/>
      <c r="N344" s="31"/>
      <c r="O344" s="31"/>
      <c r="P344" s="31"/>
      <c r="Q344" s="31"/>
      <c r="R344" s="31"/>
      <c r="S344" s="31"/>
      <c r="T344" s="31"/>
    </row>
    <row r="345" spans="1:20" ht="15.75">
      <c r="A345" s="11">
        <v>51621</v>
      </c>
      <c r="B345" s="39">
        <v>30</v>
      </c>
      <c r="C345" s="30">
        <v>141.29300000000001</v>
      </c>
      <c r="D345" s="30">
        <v>267.99299999999999</v>
      </c>
      <c r="E345" s="36">
        <v>829.71400000000006</v>
      </c>
      <c r="F345" s="30">
        <v>1239</v>
      </c>
      <c r="G345" s="30">
        <v>100</v>
      </c>
      <c r="H345" s="38">
        <v>600</v>
      </c>
      <c r="I345" s="30">
        <v>695</v>
      </c>
      <c r="J345" s="30">
        <v>50</v>
      </c>
      <c r="K345" s="31"/>
      <c r="L345" s="31"/>
      <c r="M345" s="31"/>
      <c r="N345" s="31"/>
      <c r="O345" s="31"/>
      <c r="P345" s="31"/>
      <c r="Q345" s="31"/>
      <c r="R345" s="31"/>
      <c r="S345" s="31"/>
      <c r="T345" s="31"/>
    </row>
    <row r="346" spans="1:20" ht="15.75">
      <c r="A346" s="11">
        <v>51652</v>
      </c>
      <c r="B346" s="39">
        <v>31</v>
      </c>
      <c r="C346" s="30">
        <v>194.20500000000001</v>
      </c>
      <c r="D346" s="30">
        <v>267.46600000000001</v>
      </c>
      <c r="E346" s="36">
        <v>812.32899999999995</v>
      </c>
      <c r="F346" s="30">
        <v>1274</v>
      </c>
      <c r="G346" s="30">
        <v>75</v>
      </c>
      <c r="H346" s="38">
        <v>600</v>
      </c>
      <c r="I346" s="30">
        <v>695</v>
      </c>
      <c r="J346" s="30">
        <v>50</v>
      </c>
      <c r="K346" s="31"/>
      <c r="L346" s="31"/>
      <c r="M346" s="31"/>
      <c r="N346" s="31"/>
      <c r="O346" s="31"/>
      <c r="P346" s="31"/>
      <c r="Q346" s="31"/>
      <c r="R346" s="31"/>
      <c r="S346" s="31"/>
      <c r="T346" s="31"/>
    </row>
    <row r="347" spans="1:20" ht="15.75">
      <c r="A347" s="11">
        <v>51682</v>
      </c>
      <c r="B347" s="39">
        <v>30</v>
      </c>
      <c r="C347" s="30">
        <v>194.20500000000001</v>
      </c>
      <c r="D347" s="30">
        <v>267.46600000000001</v>
      </c>
      <c r="E347" s="36">
        <v>812.32899999999995</v>
      </c>
      <c r="F347" s="30">
        <v>1274</v>
      </c>
      <c r="G347" s="30">
        <v>50</v>
      </c>
      <c r="H347" s="38">
        <v>600</v>
      </c>
      <c r="I347" s="30">
        <v>695</v>
      </c>
      <c r="J347" s="30">
        <v>50</v>
      </c>
      <c r="K347" s="31"/>
      <c r="L347" s="31"/>
      <c r="M347" s="31"/>
      <c r="N347" s="31"/>
      <c r="O347" s="31"/>
      <c r="P347" s="31"/>
      <c r="Q347" s="31"/>
      <c r="R347" s="31"/>
      <c r="S347" s="31"/>
      <c r="T347" s="31"/>
    </row>
    <row r="348" spans="1:20" ht="15.75">
      <c r="A348" s="11">
        <v>51713</v>
      </c>
      <c r="B348" s="39">
        <v>31</v>
      </c>
      <c r="C348" s="30">
        <v>194.20500000000001</v>
      </c>
      <c r="D348" s="30">
        <v>267.46600000000001</v>
      </c>
      <c r="E348" s="36">
        <v>812.32899999999995</v>
      </c>
      <c r="F348" s="30">
        <v>1274</v>
      </c>
      <c r="G348" s="30">
        <v>50</v>
      </c>
      <c r="H348" s="38">
        <v>600</v>
      </c>
      <c r="I348" s="30">
        <v>695</v>
      </c>
      <c r="J348" s="30">
        <v>0</v>
      </c>
      <c r="K348" s="31"/>
      <c r="L348" s="31"/>
      <c r="M348" s="31"/>
      <c r="N348" s="31"/>
      <c r="O348" s="31"/>
      <c r="P348" s="31"/>
      <c r="Q348" s="31"/>
      <c r="R348" s="31"/>
      <c r="S348" s="31"/>
      <c r="T348" s="31"/>
    </row>
    <row r="349" spans="1:20" ht="15.75">
      <c r="A349" s="11">
        <v>51744</v>
      </c>
      <c r="B349" s="39">
        <v>31</v>
      </c>
      <c r="C349" s="30">
        <v>194.20500000000001</v>
      </c>
      <c r="D349" s="30">
        <v>267.46600000000001</v>
      </c>
      <c r="E349" s="36">
        <v>812.32899999999995</v>
      </c>
      <c r="F349" s="30">
        <v>1274</v>
      </c>
      <c r="G349" s="30">
        <v>50</v>
      </c>
      <c r="H349" s="38">
        <v>600</v>
      </c>
      <c r="I349" s="30">
        <v>695</v>
      </c>
      <c r="J349" s="30">
        <v>0</v>
      </c>
      <c r="K349" s="31"/>
      <c r="L349" s="31"/>
      <c r="M349" s="31"/>
      <c r="N349" s="31"/>
      <c r="O349" s="31"/>
      <c r="P349" s="31"/>
      <c r="Q349" s="31"/>
      <c r="R349" s="31"/>
      <c r="S349" s="31"/>
      <c r="T349" s="31"/>
    </row>
    <row r="350" spans="1:20" ht="15.75">
      <c r="A350" s="11">
        <v>51774</v>
      </c>
      <c r="B350" s="39">
        <v>30</v>
      </c>
      <c r="C350" s="30">
        <v>194.20500000000001</v>
      </c>
      <c r="D350" s="30">
        <v>267.46600000000001</v>
      </c>
      <c r="E350" s="36">
        <v>812.32899999999995</v>
      </c>
      <c r="F350" s="30">
        <v>1274</v>
      </c>
      <c r="G350" s="30">
        <v>50</v>
      </c>
      <c r="H350" s="38">
        <v>600</v>
      </c>
      <c r="I350" s="30">
        <v>695</v>
      </c>
      <c r="J350" s="30">
        <v>0</v>
      </c>
      <c r="K350" s="31"/>
      <c r="L350" s="31"/>
      <c r="M350" s="31"/>
      <c r="N350" s="31"/>
      <c r="O350" s="31"/>
      <c r="P350" s="31"/>
      <c r="Q350" s="31"/>
      <c r="R350" s="31"/>
      <c r="S350" s="31"/>
      <c r="T350" s="31"/>
    </row>
    <row r="351" spans="1:20" ht="15.75">
      <c r="A351" s="11">
        <v>51805</v>
      </c>
      <c r="B351" s="39">
        <v>31</v>
      </c>
      <c r="C351" s="30">
        <v>131.881</v>
      </c>
      <c r="D351" s="30">
        <v>277.16699999999997</v>
      </c>
      <c r="E351" s="36">
        <v>829.952</v>
      </c>
      <c r="F351" s="30">
        <v>1239</v>
      </c>
      <c r="G351" s="30">
        <v>75</v>
      </c>
      <c r="H351" s="38">
        <v>600</v>
      </c>
      <c r="I351" s="30">
        <v>695</v>
      </c>
      <c r="J351" s="30">
        <v>0</v>
      </c>
      <c r="K351" s="31"/>
      <c r="L351" s="31"/>
      <c r="M351" s="31"/>
      <c r="N351" s="31"/>
      <c r="O351" s="31"/>
      <c r="P351" s="31"/>
      <c r="Q351" s="31"/>
      <c r="R351" s="31"/>
      <c r="S351" s="31"/>
      <c r="T351" s="31"/>
    </row>
    <row r="352" spans="1:20" ht="15.75">
      <c r="A352" s="11">
        <v>51835</v>
      </c>
      <c r="B352" s="39">
        <v>30</v>
      </c>
      <c r="C352" s="30">
        <v>122.58</v>
      </c>
      <c r="D352" s="30">
        <v>297.94099999999997</v>
      </c>
      <c r="E352" s="36">
        <v>729.47900000000004</v>
      </c>
      <c r="F352" s="30">
        <v>1150</v>
      </c>
      <c r="G352" s="30">
        <v>100</v>
      </c>
      <c r="H352" s="38">
        <v>600</v>
      </c>
      <c r="I352" s="30">
        <v>695</v>
      </c>
      <c r="J352" s="30">
        <v>50</v>
      </c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1:20" ht="15.75">
      <c r="A353" s="11">
        <v>51866</v>
      </c>
      <c r="B353" s="39">
        <v>31</v>
      </c>
      <c r="C353" s="30">
        <v>122.58</v>
      </c>
      <c r="D353" s="30">
        <v>297.94099999999997</v>
      </c>
      <c r="E353" s="36">
        <v>729.47900000000004</v>
      </c>
      <c r="F353" s="30">
        <v>1150</v>
      </c>
      <c r="G353" s="30">
        <v>100</v>
      </c>
      <c r="H353" s="38">
        <v>600</v>
      </c>
      <c r="I353" s="30">
        <v>695</v>
      </c>
      <c r="J353" s="30">
        <v>50</v>
      </c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1:20" ht="15.75">
      <c r="A354" s="11">
        <v>51897</v>
      </c>
      <c r="B354" s="39">
        <v>31</v>
      </c>
      <c r="C354" s="30">
        <v>122.58</v>
      </c>
      <c r="D354" s="30">
        <v>297.94099999999997</v>
      </c>
      <c r="E354" s="36">
        <v>729.47900000000004</v>
      </c>
      <c r="F354" s="30">
        <v>1150</v>
      </c>
      <c r="G354" s="30">
        <v>100</v>
      </c>
      <c r="H354" s="38">
        <v>600</v>
      </c>
      <c r="I354" s="30">
        <v>695</v>
      </c>
      <c r="J354" s="30">
        <v>50</v>
      </c>
      <c r="K354" s="31"/>
      <c r="L354" s="31"/>
      <c r="M354" s="31"/>
      <c r="N354" s="31"/>
      <c r="O354" s="31"/>
      <c r="P354" s="31"/>
      <c r="Q354" s="31"/>
      <c r="R354" s="31"/>
      <c r="S354" s="31"/>
      <c r="T354" s="31"/>
    </row>
    <row r="355" spans="1:20" ht="15.75">
      <c r="A355" s="11">
        <v>51925</v>
      </c>
      <c r="B355" s="39">
        <v>28</v>
      </c>
      <c r="C355" s="30">
        <v>122.58</v>
      </c>
      <c r="D355" s="30">
        <v>297.94099999999997</v>
      </c>
      <c r="E355" s="36">
        <v>729.47900000000004</v>
      </c>
      <c r="F355" s="30">
        <v>1150</v>
      </c>
      <c r="G355" s="30">
        <v>100</v>
      </c>
      <c r="H355" s="38">
        <v>600</v>
      </c>
      <c r="I355" s="30">
        <v>695</v>
      </c>
      <c r="J355" s="30">
        <v>50</v>
      </c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1:20" ht="15.75">
      <c r="A356" s="11">
        <v>51956</v>
      </c>
      <c r="B356" s="39">
        <v>31</v>
      </c>
      <c r="C356" s="30">
        <v>122.58</v>
      </c>
      <c r="D356" s="30">
        <v>297.94099999999997</v>
      </c>
      <c r="E356" s="36">
        <v>729.47900000000004</v>
      </c>
      <c r="F356" s="30">
        <v>1150</v>
      </c>
      <c r="G356" s="30">
        <v>100</v>
      </c>
      <c r="H356" s="38">
        <v>600</v>
      </c>
      <c r="I356" s="30">
        <v>695</v>
      </c>
      <c r="J356" s="30">
        <v>50</v>
      </c>
      <c r="K356" s="31"/>
      <c r="L356" s="31"/>
      <c r="M356" s="31"/>
      <c r="N356" s="31"/>
      <c r="O356" s="31"/>
      <c r="P356" s="31"/>
      <c r="Q356" s="31"/>
      <c r="R356" s="31"/>
      <c r="S356" s="31"/>
      <c r="T356" s="31"/>
    </row>
    <row r="357" spans="1:20" ht="15.75">
      <c r="A357" s="11">
        <v>51986</v>
      </c>
      <c r="B357" s="39">
        <v>30</v>
      </c>
      <c r="C357" s="30">
        <v>141.29300000000001</v>
      </c>
      <c r="D357" s="30">
        <v>267.99299999999999</v>
      </c>
      <c r="E357" s="36">
        <v>829.71400000000006</v>
      </c>
      <c r="F357" s="30">
        <v>1239</v>
      </c>
      <c r="G357" s="30">
        <v>100</v>
      </c>
      <c r="H357" s="38">
        <v>600</v>
      </c>
      <c r="I357" s="30">
        <v>695</v>
      </c>
      <c r="J357" s="30">
        <v>50</v>
      </c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ht="15.75">
      <c r="A358" s="11">
        <v>52017</v>
      </c>
      <c r="B358" s="39">
        <v>31</v>
      </c>
      <c r="C358" s="30">
        <v>194.20500000000001</v>
      </c>
      <c r="D358" s="30">
        <v>267.46600000000001</v>
      </c>
      <c r="E358" s="36">
        <v>812.32899999999995</v>
      </c>
      <c r="F358" s="30">
        <v>1274</v>
      </c>
      <c r="G358" s="30">
        <v>75</v>
      </c>
      <c r="H358" s="38">
        <v>600</v>
      </c>
      <c r="I358" s="30">
        <v>695</v>
      </c>
      <c r="J358" s="30">
        <v>50</v>
      </c>
      <c r="K358" s="31"/>
      <c r="L358" s="31"/>
      <c r="M358" s="31"/>
      <c r="N358" s="31"/>
      <c r="O358" s="31"/>
      <c r="P358" s="31"/>
      <c r="Q358" s="31"/>
      <c r="R358" s="31"/>
      <c r="S358" s="31"/>
      <c r="T358" s="31"/>
    </row>
    <row r="359" spans="1:20" ht="15.75">
      <c r="A359" s="11">
        <v>52047</v>
      </c>
      <c r="B359" s="39">
        <v>30</v>
      </c>
      <c r="C359" s="30">
        <v>194.20500000000001</v>
      </c>
      <c r="D359" s="30">
        <v>267.46600000000001</v>
      </c>
      <c r="E359" s="36">
        <v>812.32899999999995</v>
      </c>
      <c r="F359" s="30">
        <v>1274</v>
      </c>
      <c r="G359" s="30">
        <v>50</v>
      </c>
      <c r="H359" s="38">
        <v>600</v>
      </c>
      <c r="I359" s="30">
        <v>695</v>
      </c>
      <c r="J359" s="30">
        <v>50</v>
      </c>
      <c r="K359" s="31"/>
      <c r="L359" s="31"/>
      <c r="M359" s="31"/>
      <c r="N359" s="31"/>
      <c r="O359" s="31"/>
      <c r="P359" s="31"/>
      <c r="Q359" s="31"/>
      <c r="R359" s="31"/>
      <c r="S359" s="31"/>
      <c r="T359" s="31"/>
    </row>
    <row r="360" spans="1:20" ht="15.75">
      <c r="A360" s="11">
        <v>52078</v>
      </c>
      <c r="B360" s="39">
        <v>31</v>
      </c>
      <c r="C360" s="30">
        <v>194.20500000000001</v>
      </c>
      <c r="D360" s="30">
        <v>267.46600000000001</v>
      </c>
      <c r="E360" s="36">
        <v>812.32899999999995</v>
      </c>
      <c r="F360" s="30">
        <v>1274</v>
      </c>
      <c r="G360" s="30">
        <v>50</v>
      </c>
      <c r="H360" s="38">
        <v>600</v>
      </c>
      <c r="I360" s="30">
        <v>695</v>
      </c>
      <c r="J360" s="30">
        <v>0</v>
      </c>
      <c r="K360" s="31"/>
      <c r="L360" s="31"/>
      <c r="M360" s="31"/>
      <c r="N360" s="31"/>
      <c r="O360" s="31"/>
      <c r="P360" s="31"/>
      <c r="Q360" s="31"/>
      <c r="R360" s="31"/>
      <c r="S360" s="31"/>
      <c r="T360" s="31"/>
    </row>
    <row r="361" spans="1:20" ht="15.75">
      <c r="A361" s="11">
        <v>52109</v>
      </c>
      <c r="B361" s="39">
        <v>31</v>
      </c>
      <c r="C361" s="30">
        <v>194.20500000000001</v>
      </c>
      <c r="D361" s="30">
        <v>267.46600000000001</v>
      </c>
      <c r="E361" s="36">
        <v>812.32899999999995</v>
      </c>
      <c r="F361" s="30">
        <v>1274</v>
      </c>
      <c r="G361" s="30">
        <v>50</v>
      </c>
      <c r="H361" s="38">
        <v>600</v>
      </c>
      <c r="I361" s="30">
        <v>695</v>
      </c>
      <c r="J361" s="30">
        <v>0</v>
      </c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0" ht="15.75">
      <c r="A362" s="11">
        <v>52139</v>
      </c>
      <c r="B362" s="39">
        <v>30</v>
      </c>
      <c r="C362" s="30">
        <v>194.20500000000001</v>
      </c>
      <c r="D362" s="30">
        <v>267.46600000000001</v>
      </c>
      <c r="E362" s="36">
        <v>812.32899999999995</v>
      </c>
      <c r="F362" s="30">
        <v>1274</v>
      </c>
      <c r="G362" s="30">
        <v>50</v>
      </c>
      <c r="H362" s="38">
        <v>600</v>
      </c>
      <c r="I362" s="30">
        <v>695</v>
      </c>
      <c r="J362" s="30">
        <v>0</v>
      </c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0" ht="15.75">
      <c r="A363" s="11">
        <v>52170</v>
      </c>
      <c r="B363" s="39">
        <v>31</v>
      </c>
      <c r="C363" s="30">
        <v>131.881</v>
      </c>
      <c r="D363" s="30">
        <v>277.16699999999997</v>
      </c>
      <c r="E363" s="36">
        <v>829.952</v>
      </c>
      <c r="F363" s="30">
        <v>1239</v>
      </c>
      <c r="G363" s="30">
        <v>75</v>
      </c>
      <c r="H363" s="38">
        <v>600</v>
      </c>
      <c r="I363" s="30">
        <v>695</v>
      </c>
      <c r="J363" s="30">
        <v>0</v>
      </c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0" ht="15.75">
      <c r="A364" s="11">
        <v>52200</v>
      </c>
      <c r="B364" s="39">
        <v>30</v>
      </c>
      <c r="C364" s="30">
        <v>122.58</v>
      </c>
      <c r="D364" s="30">
        <v>297.94099999999997</v>
      </c>
      <c r="E364" s="36">
        <v>729.47900000000004</v>
      </c>
      <c r="F364" s="30">
        <v>1150</v>
      </c>
      <c r="G364" s="30">
        <v>100</v>
      </c>
      <c r="H364" s="38">
        <v>600</v>
      </c>
      <c r="I364" s="30">
        <v>695</v>
      </c>
      <c r="J364" s="30">
        <v>50</v>
      </c>
      <c r="K364" s="31"/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0" ht="15.75">
      <c r="A365" s="11">
        <v>52231</v>
      </c>
      <c r="B365" s="39">
        <v>31</v>
      </c>
      <c r="C365" s="30">
        <v>122.58</v>
      </c>
      <c r="D365" s="30">
        <v>297.94099999999997</v>
      </c>
      <c r="E365" s="36">
        <v>729.47900000000004</v>
      </c>
      <c r="F365" s="30">
        <v>1150</v>
      </c>
      <c r="G365" s="30">
        <v>100</v>
      </c>
      <c r="H365" s="38">
        <v>600</v>
      </c>
      <c r="I365" s="30">
        <v>695</v>
      </c>
      <c r="J365" s="30">
        <v>50</v>
      </c>
      <c r="K365" s="31"/>
      <c r="L365" s="31"/>
      <c r="M365" s="31"/>
      <c r="N365" s="31"/>
      <c r="O365" s="31"/>
      <c r="P365" s="31"/>
      <c r="Q365" s="31"/>
      <c r="R365" s="31"/>
      <c r="S365" s="31"/>
      <c r="T365" s="31"/>
    </row>
    <row r="366" spans="1:20" ht="15.75">
      <c r="A366" s="11">
        <v>52262</v>
      </c>
      <c r="B366" s="39">
        <v>31</v>
      </c>
      <c r="C366" s="30">
        <v>122.58</v>
      </c>
      <c r="D366" s="30">
        <v>297.94099999999997</v>
      </c>
      <c r="E366" s="36">
        <v>729.47900000000004</v>
      </c>
      <c r="F366" s="30">
        <v>1150</v>
      </c>
      <c r="G366" s="30">
        <v>100</v>
      </c>
      <c r="H366" s="38">
        <v>600</v>
      </c>
      <c r="I366" s="30">
        <v>695</v>
      </c>
      <c r="J366" s="30">
        <v>50</v>
      </c>
      <c r="K366" s="31"/>
      <c r="L366" s="31"/>
      <c r="M366" s="31"/>
      <c r="N366" s="31"/>
      <c r="O366" s="31"/>
      <c r="P366" s="31"/>
      <c r="Q366" s="31"/>
      <c r="R366" s="31"/>
      <c r="S366" s="31"/>
      <c r="T366" s="31"/>
    </row>
    <row r="367" spans="1:20" ht="15.75">
      <c r="A367" s="11">
        <v>52290</v>
      </c>
      <c r="B367" s="39">
        <v>28</v>
      </c>
      <c r="C367" s="30">
        <v>122.58</v>
      </c>
      <c r="D367" s="30">
        <v>297.94099999999997</v>
      </c>
      <c r="E367" s="36">
        <v>729.47900000000004</v>
      </c>
      <c r="F367" s="30">
        <v>1150</v>
      </c>
      <c r="G367" s="30">
        <v>100</v>
      </c>
      <c r="H367" s="38">
        <v>600</v>
      </c>
      <c r="I367" s="30">
        <v>695</v>
      </c>
      <c r="J367" s="30">
        <v>50</v>
      </c>
      <c r="K367" s="31"/>
      <c r="L367" s="31"/>
      <c r="M367" s="31"/>
      <c r="N367" s="31"/>
      <c r="O367" s="31"/>
      <c r="P367" s="31"/>
      <c r="Q367" s="31"/>
      <c r="R367" s="31"/>
      <c r="S367" s="31"/>
      <c r="T367" s="31"/>
    </row>
    <row r="368" spans="1:20" ht="15.75">
      <c r="A368" s="11">
        <v>52321</v>
      </c>
      <c r="B368" s="39">
        <v>31</v>
      </c>
      <c r="C368" s="30">
        <v>122.58</v>
      </c>
      <c r="D368" s="30">
        <v>297.94099999999997</v>
      </c>
      <c r="E368" s="36">
        <v>729.47900000000004</v>
      </c>
      <c r="F368" s="30">
        <v>1150</v>
      </c>
      <c r="G368" s="30">
        <v>100</v>
      </c>
      <c r="H368" s="38">
        <v>600</v>
      </c>
      <c r="I368" s="30">
        <v>695</v>
      </c>
      <c r="J368" s="30">
        <v>50</v>
      </c>
      <c r="K368" s="31"/>
      <c r="L368" s="31"/>
      <c r="M368" s="31"/>
      <c r="N368" s="31"/>
      <c r="O368" s="31"/>
      <c r="P368" s="31"/>
      <c r="Q368" s="31"/>
      <c r="R368" s="31"/>
      <c r="S368" s="31"/>
      <c r="T368" s="31"/>
    </row>
    <row r="369" spans="1:20" ht="15.75">
      <c r="A369" s="11">
        <v>52351</v>
      </c>
      <c r="B369" s="39">
        <v>30</v>
      </c>
      <c r="C369" s="30">
        <v>141.29300000000001</v>
      </c>
      <c r="D369" s="30">
        <v>267.99299999999999</v>
      </c>
      <c r="E369" s="36">
        <v>829.71400000000006</v>
      </c>
      <c r="F369" s="30">
        <v>1239</v>
      </c>
      <c r="G369" s="30">
        <v>100</v>
      </c>
      <c r="H369" s="38">
        <v>600</v>
      </c>
      <c r="I369" s="30">
        <v>695</v>
      </c>
      <c r="J369" s="30">
        <v>50</v>
      </c>
      <c r="K369" s="31"/>
      <c r="L369" s="31"/>
      <c r="M369" s="31"/>
      <c r="N369" s="31"/>
      <c r="O369" s="31"/>
      <c r="P369" s="31"/>
      <c r="Q369" s="31"/>
      <c r="R369" s="31"/>
      <c r="S369" s="31"/>
      <c r="T369" s="31"/>
    </row>
    <row r="370" spans="1:20" ht="15.75">
      <c r="A370" s="11">
        <v>52382</v>
      </c>
      <c r="B370" s="39">
        <v>31</v>
      </c>
      <c r="C370" s="30">
        <v>194.20500000000001</v>
      </c>
      <c r="D370" s="30">
        <v>267.46600000000001</v>
      </c>
      <c r="E370" s="36">
        <v>812.32899999999995</v>
      </c>
      <c r="F370" s="30">
        <v>1274</v>
      </c>
      <c r="G370" s="30">
        <v>75</v>
      </c>
      <c r="H370" s="38">
        <v>600</v>
      </c>
      <c r="I370" s="30">
        <v>695</v>
      </c>
      <c r="J370" s="30">
        <v>50</v>
      </c>
      <c r="K370" s="31"/>
      <c r="L370" s="31"/>
      <c r="M370" s="31"/>
      <c r="N370" s="31"/>
      <c r="O370" s="31"/>
      <c r="P370" s="31"/>
      <c r="Q370" s="31"/>
      <c r="R370" s="31"/>
      <c r="S370" s="31"/>
      <c r="T370" s="31"/>
    </row>
    <row r="371" spans="1:20" ht="15.75">
      <c r="A371" s="11">
        <v>52412</v>
      </c>
      <c r="B371" s="39">
        <v>30</v>
      </c>
      <c r="C371" s="30">
        <v>194.20500000000001</v>
      </c>
      <c r="D371" s="30">
        <v>267.46600000000001</v>
      </c>
      <c r="E371" s="36">
        <v>812.32899999999995</v>
      </c>
      <c r="F371" s="30">
        <v>1274</v>
      </c>
      <c r="G371" s="30">
        <v>50</v>
      </c>
      <c r="H371" s="38">
        <v>600</v>
      </c>
      <c r="I371" s="30">
        <v>695</v>
      </c>
      <c r="J371" s="30">
        <v>50</v>
      </c>
      <c r="K371" s="31"/>
      <c r="L371" s="31"/>
      <c r="M371" s="31"/>
      <c r="N371" s="31"/>
      <c r="O371" s="31"/>
      <c r="P371" s="31"/>
      <c r="Q371" s="31"/>
      <c r="R371" s="31"/>
      <c r="S371" s="31"/>
      <c r="T371" s="31"/>
    </row>
    <row r="372" spans="1:20" ht="15.75">
      <c r="A372" s="11">
        <v>52443</v>
      </c>
      <c r="B372" s="39">
        <v>31</v>
      </c>
      <c r="C372" s="30">
        <v>194.20500000000001</v>
      </c>
      <c r="D372" s="30">
        <v>267.46600000000001</v>
      </c>
      <c r="E372" s="36">
        <v>812.32899999999995</v>
      </c>
      <c r="F372" s="30">
        <v>1274</v>
      </c>
      <c r="G372" s="30">
        <v>50</v>
      </c>
      <c r="H372" s="38">
        <v>600</v>
      </c>
      <c r="I372" s="30">
        <v>695</v>
      </c>
      <c r="J372" s="30">
        <v>0</v>
      </c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1:20" ht="15.75">
      <c r="A373" s="11">
        <v>52474</v>
      </c>
      <c r="B373" s="39">
        <v>31</v>
      </c>
      <c r="C373" s="30">
        <v>194.20500000000001</v>
      </c>
      <c r="D373" s="30">
        <v>267.46600000000001</v>
      </c>
      <c r="E373" s="36">
        <v>812.32899999999995</v>
      </c>
      <c r="F373" s="30">
        <v>1274</v>
      </c>
      <c r="G373" s="30">
        <v>50</v>
      </c>
      <c r="H373" s="38">
        <v>600</v>
      </c>
      <c r="I373" s="30">
        <v>695</v>
      </c>
      <c r="J373" s="30">
        <v>0</v>
      </c>
      <c r="K373" s="31"/>
      <c r="L373" s="31"/>
      <c r="M373" s="31"/>
      <c r="N373" s="31"/>
      <c r="O373" s="31"/>
      <c r="P373" s="31"/>
      <c r="Q373" s="31"/>
      <c r="R373" s="31"/>
      <c r="S373" s="31"/>
      <c r="T373" s="31"/>
    </row>
    <row r="374" spans="1:20" ht="15.75">
      <c r="A374" s="11">
        <v>52504</v>
      </c>
      <c r="B374" s="39">
        <v>30</v>
      </c>
      <c r="C374" s="30">
        <v>194.20500000000001</v>
      </c>
      <c r="D374" s="30">
        <v>267.46600000000001</v>
      </c>
      <c r="E374" s="36">
        <v>812.32899999999995</v>
      </c>
      <c r="F374" s="30">
        <v>1274</v>
      </c>
      <c r="G374" s="30">
        <v>50</v>
      </c>
      <c r="H374" s="38">
        <v>600</v>
      </c>
      <c r="I374" s="30">
        <v>695</v>
      </c>
      <c r="J374" s="30">
        <v>0</v>
      </c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1:20" ht="15.75">
      <c r="A375" s="11">
        <v>52535</v>
      </c>
      <c r="B375" s="39">
        <v>31</v>
      </c>
      <c r="C375" s="30">
        <v>131.881</v>
      </c>
      <c r="D375" s="30">
        <v>277.16699999999997</v>
      </c>
      <c r="E375" s="36">
        <v>829.952</v>
      </c>
      <c r="F375" s="30">
        <v>1239</v>
      </c>
      <c r="G375" s="30">
        <v>75</v>
      </c>
      <c r="H375" s="38">
        <v>600</v>
      </c>
      <c r="I375" s="30">
        <v>695</v>
      </c>
      <c r="J375" s="30">
        <v>0</v>
      </c>
      <c r="K375" s="31"/>
      <c r="L375" s="31"/>
      <c r="M375" s="31"/>
      <c r="N375" s="31"/>
      <c r="O375" s="31"/>
      <c r="P375" s="31"/>
      <c r="Q375" s="31"/>
      <c r="R375" s="31"/>
      <c r="S375" s="31"/>
      <c r="T375" s="31"/>
    </row>
    <row r="376" spans="1:20" ht="15.75">
      <c r="A376" s="11">
        <v>52565</v>
      </c>
      <c r="B376" s="39">
        <v>30</v>
      </c>
      <c r="C376" s="30">
        <v>122.58</v>
      </c>
      <c r="D376" s="30">
        <v>297.94099999999997</v>
      </c>
      <c r="E376" s="36">
        <v>729.47900000000004</v>
      </c>
      <c r="F376" s="30">
        <v>1150</v>
      </c>
      <c r="G376" s="30">
        <v>100</v>
      </c>
      <c r="H376" s="38">
        <v>600</v>
      </c>
      <c r="I376" s="30">
        <v>695</v>
      </c>
      <c r="J376" s="30">
        <v>50</v>
      </c>
      <c r="K376" s="31"/>
      <c r="L376" s="31"/>
      <c r="M376" s="31"/>
      <c r="N376" s="31"/>
      <c r="O376" s="31"/>
      <c r="P376" s="31"/>
      <c r="Q376" s="31"/>
      <c r="R376" s="31"/>
      <c r="S376" s="31"/>
      <c r="T376" s="31"/>
    </row>
    <row r="377" spans="1:20" ht="15.75">
      <c r="A377" s="11">
        <v>52596</v>
      </c>
      <c r="B377" s="39">
        <v>31</v>
      </c>
      <c r="C377" s="30">
        <v>122.58</v>
      </c>
      <c r="D377" s="30">
        <v>297.94099999999997</v>
      </c>
      <c r="E377" s="36">
        <v>729.47900000000004</v>
      </c>
      <c r="F377" s="30">
        <v>1150</v>
      </c>
      <c r="G377" s="30">
        <v>100</v>
      </c>
      <c r="H377" s="38">
        <v>600</v>
      </c>
      <c r="I377" s="30">
        <v>695</v>
      </c>
      <c r="J377" s="30">
        <v>50</v>
      </c>
      <c r="K377" s="31"/>
      <c r="L377" s="31"/>
      <c r="M377" s="31"/>
      <c r="N377" s="31"/>
      <c r="O377" s="31"/>
      <c r="P377" s="31"/>
      <c r="Q377" s="31"/>
      <c r="R377" s="31"/>
      <c r="S377" s="31"/>
      <c r="T377" s="31"/>
    </row>
    <row r="378" spans="1:20" ht="15.75">
      <c r="A378" s="11">
        <v>52627</v>
      </c>
      <c r="B378" s="39">
        <v>31</v>
      </c>
      <c r="C378" s="30">
        <v>122.58</v>
      </c>
      <c r="D378" s="30">
        <v>297.94099999999997</v>
      </c>
      <c r="E378" s="36">
        <v>729.47900000000004</v>
      </c>
      <c r="F378" s="30">
        <v>1150</v>
      </c>
      <c r="G378" s="30">
        <v>100</v>
      </c>
      <c r="H378" s="38">
        <v>600</v>
      </c>
      <c r="I378" s="30">
        <v>695</v>
      </c>
      <c r="J378" s="30">
        <v>50</v>
      </c>
      <c r="K378" s="31"/>
      <c r="L378" s="31"/>
      <c r="M378" s="31"/>
      <c r="N378" s="31"/>
      <c r="O378" s="31"/>
      <c r="P378" s="31"/>
      <c r="Q378" s="31"/>
      <c r="R378" s="31"/>
      <c r="S378" s="31"/>
      <c r="T378" s="31"/>
    </row>
    <row r="379" spans="1:20" ht="15.75">
      <c r="A379" s="11">
        <v>52655</v>
      </c>
      <c r="B379" s="39">
        <v>29</v>
      </c>
      <c r="C379" s="30">
        <v>122.58</v>
      </c>
      <c r="D379" s="30">
        <v>297.94099999999997</v>
      </c>
      <c r="E379" s="36">
        <v>729.47900000000004</v>
      </c>
      <c r="F379" s="30">
        <v>1150</v>
      </c>
      <c r="G379" s="30">
        <v>100</v>
      </c>
      <c r="H379" s="38">
        <v>600</v>
      </c>
      <c r="I379" s="30">
        <v>695</v>
      </c>
      <c r="J379" s="30">
        <v>50</v>
      </c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1:20" ht="15.75">
      <c r="A380" s="11">
        <v>52687</v>
      </c>
      <c r="B380" s="39">
        <v>31</v>
      </c>
      <c r="C380" s="30">
        <v>122.58</v>
      </c>
      <c r="D380" s="30">
        <v>297.94099999999997</v>
      </c>
      <c r="E380" s="36">
        <v>729.47900000000004</v>
      </c>
      <c r="F380" s="30">
        <v>1150</v>
      </c>
      <c r="G380" s="30">
        <v>100</v>
      </c>
      <c r="H380" s="38">
        <v>600</v>
      </c>
      <c r="I380" s="30">
        <v>695</v>
      </c>
      <c r="J380" s="30">
        <v>50</v>
      </c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1:20" ht="15.75">
      <c r="A381" s="11">
        <v>52717</v>
      </c>
      <c r="B381" s="39">
        <v>30</v>
      </c>
      <c r="C381" s="30">
        <v>141.29300000000001</v>
      </c>
      <c r="D381" s="30">
        <v>267.99299999999999</v>
      </c>
      <c r="E381" s="36">
        <v>829.71400000000006</v>
      </c>
      <c r="F381" s="30">
        <v>1239</v>
      </c>
      <c r="G381" s="30">
        <v>100</v>
      </c>
      <c r="H381" s="38">
        <v>600</v>
      </c>
      <c r="I381" s="30">
        <v>695</v>
      </c>
      <c r="J381" s="30">
        <v>50</v>
      </c>
      <c r="K381" s="31"/>
      <c r="L381" s="31"/>
      <c r="M381" s="31"/>
      <c r="N381" s="31"/>
      <c r="O381" s="31"/>
      <c r="P381" s="31"/>
      <c r="Q381" s="31"/>
      <c r="R381" s="31"/>
      <c r="S381" s="31"/>
      <c r="T381" s="31"/>
    </row>
    <row r="382" spans="1:20" ht="15.75">
      <c r="A382" s="11">
        <v>52748</v>
      </c>
      <c r="B382" s="39">
        <v>31</v>
      </c>
      <c r="C382" s="30">
        <v>194.20500000000001</v>
      </c>
      <c r="D382" s="30">
        <v>267.46600000000001</v>
      </c>
      <c r="E382" s="36">
        <v>812.32899999999995</v>
      </c>
      <c r="F382" s="30">
        <v>1274</v>
      </c>
      <c r="G382" s="30">
        <v>75</v>
      </c>
      <c r="H382" s="38">
        <v>600</v>
      </c>
      <c r="I382" s="30">
        <v>695</v>
      </c>
      <c r="J382" s="30">
        <v>50</v>
      </c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1:20" ht="15.75">
      <c r="A383" s="11">
        <v>52778</v>
      </c>
      <c r="B383" s="39">
        <v>30</v>
      </c>
      <c r="C383" s="30">
        <v>194.20500000000001</v>
      </c>
      <c r="D383" s="30">
        <v>267.46600000000001</v>
      </c>
      <c r="E383" s="36">
        <v>812.32899999999995</v>
      </c>
      <c r="F383" s="30">
        <v>1274</v>
      </c>
      <c r="G383" s="30">
        <v>50</v>
      </c>
      <c r="H383" s="38">
        <v>600</v>
      </c>
      <c r="I383" s="30">
        <v>695</v>
      </c>
      <c r="J383" s="30">
        <v>50</v>
      </c>
      <c r="K383" s="31"/>
      <c r="L383" s="31"/>
      <c r="M383" s="31"/>
      <c r="N383" s="31"/>
      <c r="O383" s="31"/>
      <c r="P383" s="31"/>
      <c r="Q383" s="31"/>
      <c r="R383" s="31"/>
      <c r="S383" s="31"/>
      <c r="T383" s="31"/>
    </row>
    <row r="384" spans="1:20" ht="15.75">
      <c r="A384" s="11">
        <v>52809</v>
      </c>
      <c r="B384" s="39">
        <v>31</v>
      </c>
      <c r="C384" s="30">
        <v>194.20500000000001</v>
      </c>
      <c r="D384" s="30">
        <v>267.46600000000001</v>
      </c>
      <c r="E384" s="36">
        <v>812.32899999999995</v>
      </c>
      <c r="F384" s="30">
        <v>1274</v>
      </c>
      <c r="G384" s="30">
        <v>50</v>
      </c>
      <c r="H384" s="38">
        <v>600</v>
      </c>
      <c r="I384" s="30">
        <v>695</v>
      </c>
      <c r="J384" s="30">
        <v>0</v>
      </c>
      <c r="K384" s="31"/>
      <c r="L384" s="31"/>
      <c r="M384" s="31"/>
      <c r="N384" s="31"/>
      <c r="O384" s="31"/>
      <c r="P384" s="31"/>
      <c r="Q384" s="31"/>
      <c r="R384" s="31"/>
      <c r="S384" s="31"/>
      <c r="T384" s="31"/>
    </row>
    <row r="385" spans="1:20" ht="15.75">
      <c r="A385" s="11">
        <v>52840</v>
      </c>
      <c r="B385" s="39">
        <v>31</v>
      </c>
      <c r="C385" s="30">
        <v>194.20500000000001</v>
      </c>
      <c r="D385" s="30">
        <v>267.46600000000001</v>
      </c>
      <c r="E385" s="36">
        <v>812.32899999999995</v>
      </c>
      <c r="F385" s="30">
        <v>1274</v>
      </c>
      <c r="G385" s="30">
        <v>50</v>
      </c>
      <c r="H385" s="38">
        <v>600</v>
      </c>
      <c r="I385" s="30">
        <v>695</v>
      </c>
      <c r="J385" s="30">
        <v>0</v>
      </c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0" ht="15.75">
      <c r="A386" s="11">
        <v>52870</v>
      </c>
      <c r="B386" s="39">
        <v>30</v>
      </c>
      <c r="C386" s="30">
        <v>194.20500000000001</v>
      </c>
      <c r="D386" s="30">
        <v>267.46600000000001</v>
      </c>
      <c r="E386" s="36">
        <v>812.32899999999995</v>
      </c>
      <c r="F386" s="30">
        <v>1274</v>
      </c>
      <c r="G386" s="30">
        <v>50</v>
      </c>
      <c r="H386" s="38">
        <v>600</v>
      </c>
      <c r="I386" s="30">
        <v>695</v>
      </c>
      <c r="J386" s="30">
        <v>0</v>
      </c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0" ht="15.75">
      <c r="A387" s="11">
        <v>52901</v>
      </c>
      <c r="B387" s="39">
        <v>31</v>
      </c>
      <c r="C387" s="30">
        <v>131.881</v>
      </c>
      <c r="D387" s="30">
        <v>277.16699999999997</v>
      </c>
      <c r="E387" s="36">
        <v>829.952</v>
      </c>
      <c r="F387" s="30">
        <v>1239</v>
      </c>
      <c r="G387" s="30">
        <v>75</v>
      </c>
      <c r="H387" s="38">
        <v>600</v>
      </c>
      <c r="I387" s="30">
        <v>695</v>
      </c>
      <c r="J387" s="30">
        <v>0</v>
      </c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1:20" ht="15.75">
      <c r="A388" s="11">
        <v>52931</v>
      </c>
      <c r="B388" s="39">
        <v>30</v>
      </c>
      <c r="C388" s="30">
        <v>122.58</v>
      </c>
      <c r="D388" s="30">
        <v>297.94099999999997</v>
      </c>
      <c r="E388" s="36">
        <v>729.47900000000004</v>
      </c>
      <c r="F388" s="30">
        <v>1150</v>
      </c>
      <c r="G388" s="30">
        <v>100</v>
      </c>
      <c r="H388" s="38">
        <v>600</v>
      </c>
      <c r="I388" s="30">
        <v>695</v>
      </c>
      <c r="J388" s="30">
        <v>50</v>
      </c>
      <c r="K388" s="31"/>
      <c r="L388" s="31"/>
      <c r="M388" s="31"/>
      <c r="N388" s="31"/>
      <c r="O388" s="31"/>
      <c r="P388" s="31"/>
      <c r="Q388" s="31"/>
      <c r="R388" s="31"/>
      <c r="S388" s="31"/>
      <c r="T388" s="31"/>
    </row>
    <row r="389" spans="1:20" ht="15.75">
      <c r="A389" s="11">
        <v>52962</v>
      </c>
      <c r="B389" s="39">
        <v>31</v>
      </c>
      <c r="C389" s="30">
        <v>122.58</v>
      </c>
      <c r="D389" s="30">
        <v>297.94099999999997</v>
      </c>
      <c r="E389" s="36">
        <v>729.47900000000004</v>
      </c>
      <c r="F389" s="30">
        <v>1150</v>
      </c>
      <c r="G389" s="30">
        <v>100</v>
      </c>
      <c r="H389" s="38">
        <v>600</v>
      </c>
      <c r="I389" s="30">
        <v>695</v>
      </c>
      <c r="J389" s="30">
        <v>50</v>
      </c>
      <c r="K389" s="31"/>
      <c r="L389" s="31"/>
      <c r="M389" s="31"/>
      <c r="N389" s="31"/>
      <c r="O389" s="31"/>
      <c r="P389" s="31"/>
      <c r="Q389" s="31"/>
      <c r="R389" s="31"/>
      <c r="S389" s="31"/>
      <c r="T389" s="31"/>
    </row>
    <row r="390" spans="1:20" ht="15.75">
      <c r="A390" s="11">
        <v>52993</v>
      </c>
      <c r="B390" s="39">
        <v>31</v>
      </c>
      <c r="C390" s="30">
        <v>122.58</v>
      </c>
      <c r="D390" s="30">
        <v>297.94099999999997</v>
      </c>
      <c r="E390" s="36">
        <v>729.47900000000004</v>
      </c>
      <c r="F390" s="30">
        <v>1150</v>
      </c>
      <c r="G390" s="30">
        <v>100</v>
      </c>
      <c r="H390" s="38">
        <v>600</v>
      </c>
      <c r="I390" s="30">
        <v>695</v>
      </c>
      <c r="J390" s="30">
        <v>50</v>
      </c>
      <c r="K390" s="31"/>
      <c r="L390" s="31"/>
      <c r="M390" s="31"/>
      <c r="N390" s="31"/>
      <c r="O390" s="31"/>
      <c r="P390" s="31"/>
      <c r="Q390" s="31"/>
      <c r="R390" s="31"/>
      <c r="S390" s="31"/>
      <c r="T390" s="31"/>
    </row>
    <row r="391" spans="1:20" ht="15.75">
      <c r="A391" s="11">
        <v>53021</v>
      </c>
      <c r="B391" s="39">
        <v>28</v>
      </c>
      <c r="C391" s="30">
        <v>122.58</v>
      </c>
      <c r="D391" s="30">
        <v>297.94099999999997</v>
      </c>
      <c r="E391" s="36">
        <v>729.47900000000004</v>
      </c>
      <c r="F391" s="30">
        <v>1150</v>
      </c>
      <c r="G391" s="30">
        <v>100</v>
      </c>
      <c r="H391" s="38">
        <v>600</v>
      </c>
      <c r="I391" s="30">
        <v>695</v>
      </c>
      <c r="J391" s="30">
        <v>50</v>
      </c>
      <c r="K391" s="31"/>
      <c r="L391" s="31"/>
      <c r="M391" s="31"/>
      <c r="N391" s="31"/>
      <c r="O391" s="31"/>
      <c r="P391" s="31"/>
      <c r="Q391" s="31"/>
      <c r="R391" s="31"/>
      <c r="S391" s="31"/>
      <c r="T391" s="31"/>
    </row>
    <row r="392" spans="1:20" ht="15.75">
      <c r="A392" s="11">
        <v>53052</v>
      </c>
      <c r="B392" s="39">
        <v>31</v>
      </c>
      <c r="C392" s="30">
        <v>122.58</v>
      </c>
      <c r="D392" s="30">
        <v>297.94099999999997</v>
      </c>
      <c r="E392" s="36">
        <v>729.47900000000004</v>
      </c>
      <c r="F392" s="30">
        <v>1150</v>
      </c>
      <c r="G392" s="30">
        <v>100</v>
      </c>
      <c r="H392" s="38">
        <v>600</v>
      </c>
      <c r="I392" s="30">
        <v>695</v>
      </c>
      <c r="J392" s="30">
        <v>50</v>
      </c>
      <c r="K392" s="31"/>
      <c r="L392" s="31"/>
      <c r="M392" s="31"/>
      <c r="N392" s="31"/>
      <c r="O392" s="31"/>
      <c r="P392" s="31"/>
      <c r="Q392" s="31"/>
      <c r="R392" s="31"/>
      <c r="S392" s="31"/>
      <c r="T392" s="31"/>
    </row>
    <row r="393" spans="1:20" ht="15.75">
      <c r="A393" s="11">
        <v>53082</v>
      </c>
      <c r="B393" s="39">
        <v>30</v>
      </c>
      <c r="C393" s="30">
        <v>141.29300000000001</v>
      </c>
      <c r="D393" s="30">
        <v>267.99299999999999</v>
      </c>
      <c r="E393" s="36">
        <v>829.71400000000006</v>
      </c>
      <c r="F393" s="30">
        <v>1239</v>
      </c>
      <c r="G393" s="30">
        <v>100</v>
      </c>
      <c r="H393" s="38">
        <v>600</v>
      </c>
      <c r="I393" s="30">
        <v>695</v>
      </c>
      <c r="J393" s="30">
        <v>50</v>
      </c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ht="15.75">
      <c r="A394" s="11">
        <v>53113</v>
      </c>
      <c r="B394" s="39">
        <v>31</v>
      </c>
      <c r="C394" s="30">
        <v>194.20500000000001</v>
      </c>
      <c r="D394" s="30">
        <v>267.46600000000001</v>
      </c>
      <c r="E394" s="36">
        <v>812.32899999999995</v>
      </c>
      <c r="F394" s="30">
        <v>1274</v>
      </c>
      <c r="G394" s="30">
        <v>75</v>
      </c>
      <c r="H394" s="38">
        <v>600</v>
      </c>
      <c r="I394" s="30">
        <v>695</v>
      </c>
      <c r="J394" s="30">
        <v>50</v>
      </c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ht="15.75">
      <c r="A395" s="11">
        <v>53143</v>
      </c>
      <c r="B395" s="39">
        <v>30</v>
      </c>
      <c r="C395" s="30">
        <v>194.20500000000001</v>
      </c>
      <c r="D395" s="30">
        <v>267.46600000000001</v>
      </c>
      <c r="E395" s="36">
        <v>812.32899999999995</v>
      </c>
      <c r="F395" s="30">
        <v>1274</v>
      </c>
      <c r="G395" s="30">
        <v>50</v>
      </c>
      <c r="H395" s="38">
        <v>600</v>
      </c>
      <c r="I395" s="30">
        <v>695</v>
      </c>
      <c r="J395" s="30">
        <v>50</v>
      </c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ht="15.75">
      <c r="A396" s="11">
        <v>53174</v>
      </c>
      <c r="B396" s="39">
        <v>31</v>
      </c>
      <c r="C396" s="30">
        <v>194.20500000000001</v>
      </c>
      <c r="D396" s="30">
        <v>267.46600000000001</v>
      </c>
      <c r="E396" s="36">
        <v>812.32899999999995</v>
      </c>
      <c r="F396" s="30">
        <v>1274</v>
      </c>
      <c r="G396" s="30">
        <v>50</v>
      </c>
      <c r="H396" s="38">
        <v>600</v>
      </c>
      <c r="I396" s="30">
        <v>695</v>
      </c>
      <c r="J396" s="30">
        <v>0</v>
      </c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ht="15.75">
      <c r="A397" s="11">
        <v>53205</v>
      </c>
      <c r="B397" s="39">
        <v>31</v>
      </c>
      <c r="C397" s="30">
        <v>194.20500000000001</v>
      </c>
      <c r="D397" s="30">
        <v>267.46600000000001</v>
      </c>
      <c r="E397" s="36">
        <v>812.32899999999995</v>
      </c>
      <c r="F397" s="30">
        <v>1274</v>
      </c>
      <c r="G397" s="30">
        <v>50</v>
      </c>
      <c r="H397" s="38">
        <v>600</v>
      </c>
      <c r="I397" s="30">
        <v>695</v>
      </c>
      <c r="J397" s="30">
        <v>0</v>
      </c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ht="15.75">
      <c r="A398" s="11">
        <v>53235</v>
      </c>
      <c r="B398" s="39">
        <v>30</v>
      </c>
      <c r="C398" s="30">
        <v>194.20500000000001</v>
      </c>
      <c r="D398" s="30">
        <v>267.46600000000001</v>
      </c>
      <c r="E398" s="36">
        <v>812.32899999999995</v>
      </c>
      <c r="F398" s="30">
        <v>1274</v>
      </c>
      <c r="G398" s="30">
        <v>50</v>
      </c>
      <c r="H398" s="38">
        <v>600</v>
      </c>
      <c r="I398" s="30">
        <v>695</v>
      </c>
      <c r="J398" s="30">
        <v>0</v>
      </c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ht="15.75">
      <c r="A399" s="11">
        <v>53266</v>
      </c>
      <c r="B399" s="39">
        <v>31</v>
      </c>
      <c r="C399" s="30">
        <v>131.881</v>
      </c>
      <c r="D399" s="30">
        <v>277.16699999999997</v>
      </c>
      <c r="E399" s="36">
        <v>829.952</v>
      </c>
      <c r="F399" s="30">
        <v>1239</v>
      </c>
      <c r="G399" s="30">
        <v>75</v>
      </c>
      <c r="H399" s="38">
        <v>600</v>
      </c>
      <c r="I399" s="30">
        <v>695</v>
      </c>
      <c r="J399" s="30">
        <v>0</v>
      </c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ht="15.75">
      <c r="A400" s="11">
        <v>53296</v>
      </c>
      <c r="B400" s="39">
        <v>30</v>
      </c>
      <c r="C400" s="30">
        <v>122.58</v>
      </c>
      <c r="D400" s="30">
        <v>297.94099999999997</v>
      </c>
      <c r="E400" s="36">
        <v>729.47900000000004</v>
      </c>
      <c r="F400" s="30">
        <v>1150</v>
      </c>
      <c r="G400" s="30">
        <v>100</v>
      </c>
      <c r="H400" s="38">
        <v>600</v>
      </c>
      <c r="I400" s="30">
        <v>695</v>
      </c>
      <c r="J400" s="30">
        <v>50</v>
      </c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ht="15.75">
      <c r="A401" s="11">
        <v>53327</v>
      </c>
      <c r="B401" s="39">
        <v>31</v>
      </c>
      <c r="C401" s="30">
        <v>122.58</v>
      </c>
      <c r="D401" s="30">
        <v>297.94099999999997</v>
      </c>
      <c r="E401" s="36">
        <v>729.47900000000004</v>
      </c>
      <c r="F401" s="30">
        <v>1150</v>
      </c>
      <c r="G401" s="30">
        <v>100</v>
      </c>
      <c r="H401" s="38">
        <v>600</v>
      </c>
      <c r="I401" s="30">
        <v>695</v>
      </c>
      <c r="J401" s="30">
        <v>50</v>
      </c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ht="15.75">
      <c r="A402" s="11">
        <v>53358</v>
      </c>
      <c r="B402" s="39">
        <v>31</v>
      </c>
      <c r="C402" s="30">
        <v>122.58</v>
      </c>
      <c r="D402" s="30">
        <v>297.94099999999997</v>
      </c>
      <c r="E402" s="36">
        <v>729.47900000000004</v>
      </c>
      <c r="F402" s="30">
        <v>1150</v>
      </c>
      <c r="G402" s="30">
        <v>100</v>
      </c>
      <c r="H402" s="38">
        <v>600</v>
      </c>
      <c r="I402" s="30">
        <v>695</v>
      </c>
      <c r="J402" s="30">
        <v>50</v>
      </c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ht="15.75">
      <c r="A403" s="11">
        <v>53386</v>
      </c>
      <c r="B403" s="39">
        <v>28</v>
      </c>
      <c r="C403" s="30">
        <v>122.58</v>
      </c>
      <c r="D403" s="30">
        <v>297.94099999999997</v>
      </c>
      <c r="E403" s="36">
        <v>729.47900000000004</v>
      </c>
      <c r="F403" s="30">
        <v>1150</v>
      </c>
      <c r="G403" s="30">
        <v>100</v>
      </c>
      <c r="H403" s="38">
        <v>600</v>
      </c>
      <c r="I403" s="30">
        <v>695</v>
      </c>
      <c r="J403" s="30">
        <v>50</v>
      </c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ht="15.75">
      <c r="A404" s="11">
        <v>53417</v>
      </c>
      <c r="B404" s="39">
        <v>31</v>
      </c>
      <c r="C404" s="30">
        <v>122.58</v>
      </c>
      <c r="D404" s="30">
        <v>297.94099999999997</v>
      </c>
      <c r="E404" s="36">
        <v>729.47900000000004</v>
      </c>
      <c r="F404" s="30">
        <v>1150</v>
      </c>
      <c r="G404" s="30">
        <v>100</v>
      </c>
      <c r="H404" s="38">
        <v>600</v>
      </c>
      <c r="I404" s="30">
        <v>695</v>
      </c>
      <c r="J404" s="30">
        <v>50</v>
      </c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ht="15.75">
      <c r="A405" s="11">
        <v>53447</v>
      </c>
      <c r="B405" s="39">
        <v>30</v>
      </c>
      <c r="C405" s="30">
        <v>141.29300000000001</v>
      </c>
      <c r="D405" s="30">
        <v>267.99299999999999</v>
      </c>
      <c r="E405" s="36">
        <v>829.71400000000006</v>
      </c>
      <c r="F405" s="30">
        <v>1239</v>
      </c>
      <c r="G405" s="30">
        <v>100</v>
      </c>
      <c r="H405" s="38">
        <v>600</v>
      </c>
      <c r="I405" s="30">
        <v>695</v>
      </c>
      <c r="J405" s="30">
        <v>50</v>
      </c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ht="15.75">
      <c r="A406" s="11">
        <v>53478</v>
      </c>
      <c r="B406" s="39">
        <v>31</v>
      </c>
      <c r="C406" s="30">
        <v>194.20500000000001</v>
      </c>
      <c r="D406" s="30">
        <v>267.46600000000001</v>
      </c>
      <c r="E406" s="36">
        <v>812.32899999999995</v>
      </c>
      <c r="F406" s="30">
        <v>1274</v>
      </c>
      <c r="G406" s="30">
        <v>75</v>
      </c>
      <c r="H406" s="38">
        <v>600</v>
      </c>
      <c r="I406" s="30">
        <v>695</v>
      </c>
      <c r="J406" s="30">
        <v>50</v>
      </c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5.75">
      <c r="A407" s="11">
        <v>53508</v>
      </c>
      <c r="B407" s="39">
        <v>30</v>
      </c>
      <c r="C407" s="30">
        <v>194.20500000000001</v>
      </c>
      <c r="D407" s="30">
        <v>267.46600000000001</v>
      </c>
      <c r="E407" s="36">
        <v>812.32899999999995</v>
      </c>
      <c r="F407" s="30">
        <v>1274</v>
      </c>
      <c r="G407" s="30">
        <v>50</v>
      </c>
      <c r="H407" s="38">
        <v>600</v>
      </c>
      <c r="I407" s="30">
        <v>695</v>
      </c>
      <c r="J407" s="30">
        <v>50</v>
      </c>
      <c r="K407" s="31"/>
      <c r="L407" s="31"/>
      <c r="M407" s="31"/>
      <c r="N407" s="31"/>
      <c r="O407" s="31"/>
      <c r="P407" s="31"/>
      <c r="Q407" s="31"/>
      <c r="R407" s="31"/>
      <c r="S407" s="31"/>
      <c r="T407" s="31"/>
    </row>
    <row r="408" spans="1:20" ht="15.75">
      <c r="A408" s="11">
        <v>53539</v>
      </c>
      <c r="B408" s="39">
        <v>31</v>
      </c>
      <c r="C408" s="30">
        <v>194.20500000000001</v>
      </c>
      <c r="D408" s="30">
        <v>267.46600000000001</v>
      </c>
      <c r="E408" s="36">
        <v>812.32899999999995</v>
      </c>
      <c r="F408" s="30">
        <v>1274</v>
      </c>
      <c r="G408" s="30">
        <v>50</v>
      </c>
      <c r="H408" s="38">
        <v>600</v>
      </c>
      <c r="I408" s="30">
        <v>695</v>
      </c>
      <c r="J408" s="30">
        <v>0</v>
      </c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20" ht="15.75">
      <c r="A409" s="11">
        <v>53570</v>
      </c>
      <c r="B409" s="39">
        <v>31</v>
      </c>
      <c r="C409" s="30">
        <v>194.20500000000001</v>
      </c>
      <c r="D409" s="30">
        <v>267.46600000000001</v>
      </c>
      <c r="E409" s="36">
        <v>812.32899999999995</v>
      </c>
      <c r="F409" s="30">
        <v>1274</v>
      </c>
      <c r="G409" s="30">
        <v>50</v>
      </c>
      <c r="H409" s="38">
        <v>600</v>
      </c>
      <c r="I409" s="30">
        <v>695</v>
      </c>
      <c r="J409" s="30">
        <v>0</v>
      </c>
      <c r="K409" s="31"/>
      <c r="L409" s="31"/>
      <c r="M409" s="31"/>
      <c r="N409" s="31"/>
      <c r="O409" s="31"/>
      <c r="P409" s="31"/>
      <c r="Q409" s="31"/>
      <c r="R409" s="31"/>
      <c r="S409" s="31"/>
      <c r="T409" s="31"/>
    </row>
    <row r="410" spans="1:20" ht="15.75">
      <c r="A410" s="11">
        <v>53600</v>
      </c>
      <c r="B410" s="39">
        <v>30</v>
      </c>
      <c r="C410" s="30">
        <v>194.20500000000001</v>
      </c>
      <c r="D410" s="30">
        <v>267.46600000000001</v>
      </c>
      <c r="E410" s="36">
        <v>812.32899999999995</v>
      </c>
      <c r="F410" s="30">
        <v>1274</v>
      </c>
      <c r="G410" s="30">
        <v>50</v>
      </c>
      <c r="H410" s="38">
        <v>600</v>
      </c>
      <c r="I410" s="30">
        <v>695</v>
      </c>
      <c r="J410" s="30">
        <v>0</v>
      </c>
      <c r="K410" s="31"/>
      <c r="L410" s="31"/>
      <c r="M410" s="31"/>
      <c r="N410" s="31"/>
      <c r="O410" s="31"/>
      <c r="P410" s="31"/>
      <c r="Q410" s="31"/>
      <c r="R410" s="31"/>
      <c r="S410" s="31"/>
      <c r="T410" s="31"/>
    </row>
    <row r="411" spans="1:20" ht="15.75">
      <c r="A411" s="11">
        <v>53631</v>
      </c>
      <c r="B411" s="39">
        <v>31</v>
      </c>
      <c r="C411" s="30">
        <v>131.881</v>
      </c>
      <c r="D411" s="30">
        <v>277.16699999999997</v>
      </c>
      <c r="E411" s="36">
        <v>829.952</v>
      </c>
      <c r="F411" s="30">
        <v>1239</v>
      </c>
      <c r="G411" s="30">
        <v>75</v>
      </c>
      <c r="H411" s="38">
        <v>600</v>
      </c>
      <c r="I411" s="30">
        <v>695</v>
      </c>
      <c r="J411" s="30">
        <v>0</v>
      </c>
      <c r="K411" s="31"/>
      <c r="L411" s="31"/>
      <c r="M411" s="31"/>
      <c r="N411" s="31"/>
      <c r="O411" s="31"/>
      <c r="P411" s="31"/>
      <c r="Q411" s="31"/>
      <c r="R411" s="31"/>
      <c r="S411" s="31"/>
      <c r="T411" s="31"/>
    </row>
    <row r="412" spans="1:20" ht="15.75">
      <c r="A412" s="11">
        <v>53661</v>
      </c>
      <c r="B412" s="39">
        <v>30</v>
      </c>
      <c r="C412" s="30">
        <v>122.58</v>
      </c>
      <c r="D412" s="30">
        <v>297.94099999999997</v>
      </c>
      <c r="E412" s="36">
        <v>729.47900000000004</v>
      </c>
      <c r="F412" s="30">
        <v>1150</v>
      </c>
      <c r="G412" s="30">
        <v>100</v>
      </c>
      <c r="H412" s="38">
        <v>600</v>
      </c>
      <c r="I412" s="30">
        <v>695</v>
      </c>
      <c r="J412" s="30">
        <v>50</v>
      </c>
      <c r="K412" s="31"/>
      <c r="L412" s="31"/>
      <c r="M412" s="31"/>
      <c r="N412" s="31"/>
      <c r="O412" s="31"/>
      <c r="P412" s="31"/>
      <c r="Q412" s="31"/>
      <c r="R412" s="31"/>
      <c r="S412" s="31"/>
      <c r="T412" s="31"/>
    </row>
    <row r="413" spans="1:20" ht="15.75">
      <c r="A413" s="11">
        <v>53692</v>
      </c>
      <c r="B413" s="39">
        <v>31</v>
      </c>
      <c r="C413" s="30">
        <v>122.58</v>
      </c>
      <c r="D413" s="30">
        <v>297.94099999999997</v>
      </c>
      <c r="E413" s="36">
        <v>729.47900000000004</v>
      </c>
      <c r="F413" s="30">
        <v>1150</v>
      </c>
      <c r="G413" s="30">
        <v>100</v>
      </c>
      <c r="H413" s="38">
        <v>600</v>
      </c>
      <c r="I413" s="30">
        <v>695</v>
      </c>
      <c r="J413" s="30">
        <v>50</v>
      </c>
      <c r="K413" s="31"/>
      <c r="L413" s="31"/>
      <c r="M413" s="31"/>
      <c r="N413" s="31"/>
      <c r="O413" s="31"/>
      <c r="P413" s="31"/>
      <c r="Q413" s="31"/>
      <c r="R413" s="31"/>
      <c r="S413" s="31"/>
      <c r="T413" s="31"/>
    </row>
    <row r="414" spans="1:20" ht="15.75">
      <c r="A414" s="11">
        <v>53723</v>
      </c>
      <c r="B414" s="39">
        <v>31</v>
      </c>
      <c r="C414" s="30">
        <v>122.58</v>
      </c>
      <c r="D414" s="30">
        <v>297.94099999999997</v>
      </c>
      <c r="E414" s="36">
        <v>729.47900000000004</v>
      </c>
      <c r="F414" s="30">
        <v>1150</v>
      </c>
      <c r="G414" s="30">
        <v>100</v>
      </c>
      <c r="H414" s="38">
        <v>600</v>
      </c>
      <c r="I414" s="30">
        <v>695</v>
      </c>
      <c r="J414" s="30">
        <v>50</v>
      </c>
      <c r="K414" s="31"/>
      <c r="L414" s="31"/>
      <c r="M414" s="31"/>
      <c r="N414" s="31"/>
      <c r="O414" s="31"/>
      <c r="P414" s="31"/>
      <c r="Q414" s="31"/>
      <c r="R414" s="31"/>
      <c r="S414" s="31"/>
      <c r="T414" s="31"/>
    </row>
    <row r="415" spans="1:20" ht="15.75">
      <c r="A415" s="11">
        <v>53751</v>
      </c>
      <c r="B415" s="39">
        <v>28</v>
      </c>
      <c r="C415" s="30">
        <v>122.58</v>
      </c>
      <c r="D415" s="30">
        <v>297.94099999999997</v>
      </c>
      <c r="E415" s="36">
        <v>729.47900000000004</v>
      </c>
      <c r="F415" s="30">
        <v>1150</v>
      </c>
      <c r="G415" s="30">
        <v>100</v>
      </c>
      <c r="H415" s="38">
        <v>600</v>
      </c>
      <c r="I415" s="30">
        <v>695</v>
      </c>
      <c r="J415" s="30">
        <v>50</v>
      </c>
      <c r="K415" s="31"/>
      <c r="L415" s="31"/>
      <c r="M415" s="31"/>
      <c r="N415" s="31"/>
      <c r="O415" s="31"/>
      <c r="P415" s="31"/>
      <c r="Q415" s="31"/>
      <c r="R415" s="31"/>
      <c r="S415" s="31"/>
      <c r="T415" s="31"/>
    </row>
    <row r="416" spans="1:20" ht="15.75">
      <c r="A416" s="11">
        <v>53782</v>
      </c>
      <c r="B416" s="39">
        <v>31</v>
      </c>
      <c r="C416" s="30">
        <v>122.58</v>
      </c>
      <c r="D416" s="30">
        <v>297.94099999999997</v>
      </c>
      <c r="E416" s="36">
        <v>729.47900000000004</v>
      </c>
      <c r="F416" s="30">
        <v>1150</v>
      </c>
      <c r="G416" s="30">
        <v>100</v>
      </c>
      <c r="H416" s="38">
        <v>600</v>
      </c>
      <c r="I416" s="30">
        <v>695</v>
      </c>
      <c r="J416" s="30">
        <v>50</v>
      </c>
      <c r="K416" s="31"/>
      <c r="L416" s="31"/>
      <c r="M416" s="31"/>
      <c r="N416" s="31"/>
      <c r="O416" s="31"/>
      <c r="P416" s="31"/>
      <c r="Q416" s="31"/>
      <c r="R416" s="31"/>
      <c r="S416" s="31"/>
      <c r="T416" s="31"/>
    </row>
    <row r="417" spans="1:20" ht="15.75">
      <c r="A417" s="11">
        <v>53812</v>
      </c>
      <c r="B417" s="39">
        <v>30</v>
      </c>
      <c r="C417" s="30">
        <v>141.29300000000001</v>
      </c>
      <c r="D417" s="30">
        <v>267.99299999999999</v>
      </c>
      <c r="E417" s="36">
        <v>829.71400000000006</v>
      </c>
      <c r="F417" s="30">
        <v>1239</v>
      </c>
      <c r="G417" s="30">
        <v>100</v>
      </c>
      <c r="H417" s="38">
        <v>600</v>
      </c>
      <c r="I417" s="30">
        <v>695</v>
      </c>
      <c r="J417" s="30">
        <v>50</v>
      </c>
      <c r="K417" s="31"/>
      <c r="L417" s="31"/>
      <c r="M417" s="31"/>
      <c r="N417" s="31"/>
      <c r="O417" s="31"/>
      <c r="P417" s="31"/>
      <c r="Q417" s="31"/>
      <c r="R417" s="31"/>
      <c r="S417" s="31"/>
      <c r="T417" s="31"/>
    </row>
    <row r="418" spans="1:20" ht="15.75">
      <c r="A418" s="11">
        <v>53843</v>
      </c>
      <c r="B418" s="39">
        <v>31</v>
      </c>
      <c r="C418" s="30">
        <v>194.20500000000001</v>
      </c>
      <c r="D418" s="30">
        <v>267.46600000000001</v>
      </c>
      <c r="E418" s="36">
        <v>812.32899999999995</v>
      </c>
      <c r="F418" s="30">
        <v>1274</v>
      </c>
      <c r="G418" s="30">
        <v>75</v>
      </c>
      <c r="H418" s="38">
        <v>600</v>
      </c>
      <c r="I418" s="30">
        <v>695</v>
      </c>
      <c r="J418" s="30">
        <v>50</v>
      </c>
      <c r="K418" s="31"/>
      <c r="L418" s="31"/>
      <c r="M418" s="31"/>
      <c r="N418" s="31"/>
      <c r="O418" s="31"/>
      <c r="P418" s="31"/>
      <c r="Q418" s="31"/>
      <c r="R418" s="31"/>
      <c r="S418" s="31"/>
      <c r="T418" s="31"/>
    </row>
    <row r="419" spans="1:20" ht="15.75">
      <c r="A419" s="11">
        <v>53873</v>
      </c>
      <c r="B419" s="39">
        <v>30</v>
      </c>
      <c r="C419" s="30">
        <v>194.20500000000001</v>
      </c>
      <c r="D419" s="30">
        <v>267.46600000000001</v>
      </c>
      <c r="E419" s="36">
        <v>812.32899999999995</v>
      </c>
      <c r="F419" s="30">
        <v>1274</v>
      </c>
      <c r="G419" s="30">
        <v>50</v>
      </c>
      <c r="H419" s="38">
        <v>600</v>
      </c>
      <c r="I419" s="30">
        <v>695</v>
      </c>
      <c r="J419" s="30">
        <v>50</v>
      </c>
      <c r="K419" s="31"/>
      <c r="L419" s="31"/>
      <c r="M419" s="31"/>
      <c r="N419" s="31"/>
      <c r="O419" s="31"/>
      <c r="P419" s="31"/>
      <c r="Q419" s="31"/>
      <c r="R419" s="31"/>
      <c r="S419" s="31"/>
      <c r="T419" s="31"/>
    </row>
    <row r="420" spans="1:20" ht="15.75">
      <c r="A420" s="11">
        <v>53904</v>
      </c>
      <c r="B420" s="39">
        <v>31</v>
      </c>
      <c r="C420" s="30">
        <v>194.20500000000001</v>
      </c>
      <c r="D420" s="30">
        <v>267.46600000000001</v>
      </c>
      <c r="E420" s="36">
        <v>812.32899999999995</v>
      </c>
      <c r="F420" s="30">
        <v>1274</v>
      </c>
      <c r="G420" s="30">
        <v>50</v>
      </c>
      <c r="H420" s="38">
        <v>600</v>
      </c>
      <c r="I420" s="30">
        <v>695</v>
      </c>
      <c r="J420" s="30">
        <v>0</v>
      </c>
      <c r="K420" s="31"/>
      <c r="L420" s="31"/>
      <c r="M420" s="31"/>
      <c r="N420" s="31"/>
      <c r="O420" s="31"/>
      <c r="P420" s="31"/>
      <c r="Q420" s="31"/>
      <c r="R420" s="31"/>
      <c r="S420" s="31"/>
      <c r="T420" s="31"/>
    </row>
    <row r="421" spans="1:20" ht="15.75">
      <c r="A421" s="11">
        <v>53935</v>
      </c>
      <c r="B421" s="39">
        <v>31</v>
      </c>
      <c r="C421" s="30">
        <v>194.20500000000001</v>
      </c>
      <c r="D421" s="30">
        <v>267.46600000000001</v>
      </c>
      <c r="E421" s="36">
        <v>812.32899999999995</v>
      </c>
      <c r="F421" s="30">
        <v>1274</v>
      </c>
      <c r="G421" s="30">
        <v>50</v>
      </c>
      <c r="H421" s="38">
        <v>600</v>
      </c>
      <c r="I421" s="30">
        <v>695</v>
      </c>
      <c r="J421" s="30">
        <v>0</v>
      </c>
      <c r="K421" s="31"/>
      <c r="L421" s="31"/>
      <c r="M421" s="31"/>
      <c r="N421" s="31"/>
      <c r="O421" s="31"/>
      <c r="P421" s="31"/>
      <c r="Q421" s="31"/>
      <c r="R421" s="31"/>
      <c r="S421" s="31"/>
      <c r="T421" s="31"/>
    </row>
    <row r="422" spans="1:20" ht="15.75">
      <c r="A422" s="11">
        <v>53965</v>
      </c>
      <c r="B422" s="39">
        <v>30</v>
      </c>
      <c r="C422" s="30">
        <v>194.20500000000001</v>
      </c>
      <c r="D422" s="30">
        <v>267.46600000000001</v>
      </c>
      <c r="E422" s="36">
        <v>812.32899999999995</v>
      </c>
      <c r="F422" s="30">
        <v>1274</v>
      </c>
      <c r="G422" s="30">
        <v>50</v>
      </c>
      <c r="H422" s="38">
        <v>600</v>
      </c>
      <c r="I422" s="30">
        <v>695</v>
      </c>
      <c r="J422" s="30">
        <v>0</v>
      </c>
      <c r="K422" s="31"/>
      <c r="L422" s="31"/>
      <c r="M422" s="31"/>
      <c r="N422" s="31"/>
      <c r="O422" s="31"/>
      <c r="P422" s="31"/>
      <c r="Q422" s="31"/>
      <c r="R422" s="31"/>
      <c r="S422" s="31"/>
      <c r="T422" s="31"/>
    </row>
    <row r="423" spans="1:20" ht="15.75">
      <c r="A423" s="11">
        <v>53996</v>
      </c>
      <c r="B423" s="39">
        <v>31</v>
      </c>
      <c r="C423" s="30">
        <v>131.881</v>
      </c>
      <c r="D423" s="30">
        <v>277.16699999999997</v>
      </c>
      <c r="E423" s="36">
        <v>829.952</v>
      </c>
      <c r="F423" s="30">
        <v>1239</v>
      </c>
      <c r="G423" s="30">
        <v>75</v>
      </c>
      <c r="H423" s="38">
        <v>600</v>
      </c>
      <c r="I423" s="30">
        <v>695</v>
      </c>
      <c r="J423" s="30">
        <v>0</v>
      </c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ht="15.75">
      <c r="A424" s="11">
        <v>54026</v>
      </c>
      <c r="B424" s="39">
        <v>30</v>
      </c>
      <c r="C424" s="30">
        <v>122.58</v>
      </c>
      <c r="D424" s="30">
        <v>297.94099999999997</v>
      </c>
      <c r="E424" s="36">
        <v>729.47900000000004</v>
      </c>
      <c r="F424" s="30">
        <v>1150</v>
      </c>
      <c r="G424" s="30">
        <v>100</v>
      </c>
      <c r="H424" s="38">
        <v>600</v>
      </c>
      <c r="I424" s="30">
        <v>695</v>
      </c>
      <c r="J424" s="30">
        <v>50</v>
      </c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ht="15.75">
      <c r="A425" s="11">
        <v>54057</v>
      </c>
      <c r="B425" s="39">
        <v>31</v>
      </c>
      <c r="C425" s="30">
        <v>122.58</v>
      </c>
      <c r="D425" s="30">
        <v>297.94099999999997</v>
      </c>
      <c r="E425" s="36">
        <v>729.47900000000004</v>
      </c>
      <c r="F425" s="30">
        <v>1150</v>
      </c>
      <c r="G425" s="30">
        <v>100</v>
      </c>
      <c r="H425" s="38">
        <v>600</v>
      </c>
      <c r="I425" s="30">
        <v>695</v>
      </c>
      <c r="J425" s="30">
        <v>50</v>
      </c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ht="15.75">
      <c r="A426" s="11">
        <v>54088</v>
      </c>
      <c r="B426" s="39">
        <v>31</v>
      </c>
      <c r="C426" s="30">
        <v>122.58</v>
      </c>
      <c r="D426" s="30">
        <v>297.94099999999997</v>
      </c>
      <c r="E426" s="36">
        <v>729.47900000000004</v>
      </c>
      <c r="F426" s="30">
        <v>1150</v>
      </c>
      <c r="G426" s="30">
        <v>100</v>
      </c>
      <c r="H426" s="38">
        <v>600</v>
      </c>
      <c r="I426" s="30">
        <v>695</v>
      </c>
      <c r="J426" s="30">
        <v>50</v>
      </c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ht="15.75">
      <c r="A427" s="11">
        <v>54116</v>
      </c>
      <c r="B427" s="39">
        <v>29</v>
      </c>
      <c r="C427" s="30">
        <v>122.58</v>
      </c>
      <c r="D427" s="30">
        <v>297.94099999999997</v>
      </c>
      <c r="E427" s="36">
        <v>729.47900000000004</v>
      </c>
      <c r="F427" s="30">
        <v>1150</v>
      </c>
      <c r="G427" s="30">
        <v>100</v>
      </c>
      <c r="H427" s="38">
        <v>600</v>
      </c>
      <c r="I427" s="30">
        <v>695</v>
      </c>
      <c r="J427" s="30">
        <v>50</v>
      </c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15.75">
      <c r="A428" s="11">
        <v>54148</v>
      </c>
      <c r="B428" s="39">
        <v>31</v>
      </c>
      <c r="C428" s="30">
        <v>122.58</v>
      </c>
      <c r="D428" s="30">
        <v>297.94099999999997</v>
      </c>
      <c r="E428" s="36">
        <v>729.47900000000004</v>
      </c>
      <c r="F428" s="30">
        <v>1150</v>
      </c>
      <c r="G428" s="30">
        <v>100</v>
      </c>
      <c r="H428" s="38">
        <v>600</v>
      </c>
      <c r="I428" s="30">
        <v>695</v>
      </c>
      <c r="J428" s="30">
        <v>50</v>
      </c>
      <c r="K428" s="31"/>
      <c r="L428" s="31"/>
      <c r="M428" s="31"/>
      <c r="N428" s="31"/>
      <c r="O428" s="31"/>
      <c r="P428" s="31"/>
      <c r="Q428" s="31"/>
      <c r="R428" s="31"/>
      <c r="S428" s="31"/>
      <c r="T428" s="31"/>
    </row>
    <row r="429" spans="1:20" ht="15.75">
      <c r="A429" s="11">
        <v>54178</v>
      </c>
      <c r="B429" s="39">
        <v>30</v>
      </c>
      <c r="C429" s="30">
        <v>141.29300000000001</v>
      </c>
      <c r="D429" s="30">
        <v>267.99299999999999</v>
      </c>
      <c r="E429" s="36">
        <v>829.71400000000006</v>
      </c>
      <c r="F429" s="30">
        <v>1239</v>
      </c>
      <c r="G429" s="30">
        <v>100</v>
      </c>
      <c r="H429" s="38">
        <v>600</v>
      </c>
      <c r="I429" s="30">
        <v>695</v>
      </c>
      <c r="J429" s="30">
        <v>50</v>
      </c>
      <c r="K429" s="31"/>
      <c r="L429" s="31"/>
      <c r="M429" s="31"/>
      <c r="N429" s="31"/>
      <c r="O429" s="31"/>
      <c r="P429" s="31"/>
      <c r="Q429" s="31"/>
      <c r="R429" s="31"/>
      <c r="S429" s="31"/>
      <c r="T429" s="31"/>
    </row>
    <row r="430" spans="1:20" ht="15.75">
      <c r="A430" s="11">
        <v>54209</v>
      </c>
      <c r="B430" s="39">
        <v>31</v>
      </c>
      <c r="C430" s="30">
        <v>194.20500000000001</v>
      </c>
      <c r="D430" s="30">
        <v>267.46600000000001</v>
      </c>
      <c r="E430" s="36">
        <v>812.32899999999995</v>
      </c>
      <c r="F430" s="30">
        <v>1274</v>
      </c>
      <c r="G430" s="30">
        <v>75</v>
      </c>
      <c r="H430" s="38">
        <v>600</v>
      </c>
      <c r="I430" s="30">
        <v>695</v>
      </c>
      <c r="J430" s="30">
        <v>50</v>
      </c>
      <c r="K430" s="31"/>
      <c r="L430" s="31"/>
      <c r="M430" s="31"/>
      <c r="N430" s="31"/>
      <c r="O430" s="31"/>
      <c r="P430" s="31"/>
      <c r="Q430" s="31"/>
      <c r="R430" s="31"/>
      <c r="S430" s="31"/>
      <c r="T430" s="31"/>
    </row>
    <row r="431" spans="1:20" ht="15.75">
      <c r="A431" s="11">
        <v>54239</v>
      </c>
      <c r="B431" s="39">
        <v>30</v>
      </c>
      <c r="C431" s="30">
        <v>194.20500000000001</v>
      </c>
      <c r="D431" s="30">
        <v>267.46600000000001</v>
      </c>
      <c r="E431" s="36">
        <v>812.32899999999995</v>
      </c>
      <c r="F431" s="30">
        <v>1274</v>
      </c>
      <c r="G431" s="30">
        <v>50</v>
      </c>
      <c r="H431" s="38">
        <v>600</v>
      </c>
      <c r="I431" s="30">
        <v>695</v>
      </c>
      <c r="J431" s="30">
        <v>50</v>
      </c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0" ht="15.75">
      <c r="A432" s="11">
        <v>54270</v>
      </c>
      <c r="B432" s="39">
        <v>31</v>
      </c>
      <c r="C432" s="30">
        <v>194.20500000000001</v>
      </c>
      <c r="D432" s="30">
        <v>267.46600000000001</v>
      </c>
      <c r="E432" s="36">
        <v>812.32899999999995</v>
      </c>
      <c r="F432" s="30">
        <v>1274</v>
      </c>
      <c r="G432" s="30">
        <v>50</v>
      </c>
      <c r="H432" s="38">
        <v>600</v>
      </c>
      <c r="I432" s="30">
        <v>695</v>
      </c>
      <c r="J432" s="30">
        <v>0</v>
      </c>
      <c r="K432" s="31"/>
      <c r="L432" s="31"/>
      <c r="M432" s="31"/>
      <c r="N432" s="31"/>
      <c r="O432" s="31"/>
      <c r="P432" s="31"/>
      <c r="Q432" s="31"/>
      <c r="R432" s="31"/>
      <c r="S432" s="31"/>
      <c r="T432" s="31"/>
    </row>
    <row r="433" spans="1:20" ht="15.75">
      <c r="A433" s="11">
        <v>54301</v>
      </c>
      <c r="B433" s="39">
        <v>31</v>
      </c>
      <c r="C433" s="30">
        <v>194.20500000000001</v>
      </c>
      <c r="D433" s="30">
        <v>267.46600000000001</v>
      </c>
      <c r="E433" s="36">
        <v>812.32899999999995</v>
      </c>
      <c r="F433" s="30">
        <v>1274</v>
      </c>
      <c r="G433" s="30">
        <v>50</v>
      </c>
      <c r="H433" s="38">
        <v>600</v>
      </c>
      <c r="I433" s="30">
        <v>695</v>
      </c>
      <c r="J433" s="30">
        <v>0</v>
      </c>
      <c r="K433" s="31"/>
      <c r="L433" s="31"/>
      <c r="M433" s="31"/>
      <c r="N433" s="31"/>
      <c r="O433" s="31"/>
      <c r="P433" s="31"/>
      <c r="Q433" s="31"/>
      <c r="R433" s="31"/>
      <c r="S433" s="31"/>
      <c r="T433" s="31"/>
    </row>
    <row r="434" spans="1:20" ht="15.75">
      <c r="A434" s="11">
        <v>54331</v>
      </c>
      <c r="B434" s="39">
        <v>30</v>
      </c>
      <c r="C434" s="30">
        <v>194.20500000000001</v>
      </c>
      <c r="D434" s="30">
        <v>267.46600000000001</v>
      </c>
      <c r="E434" s="36">
        <v>812.32899999999995</v>
      </c>
      <c r="F434" s="30">
        <v>1274</v>
      </c>
      <c r="G434" s="30">
        <v>50</v>
      </c>
      <c r="H434" s="38">
        <v>600</v>
      </c>
      <c r="I434" s="30">
        <v>695</v>
      </c>
      <c r="J434" s="30">
        <v>0</v>
      </c>
      <c r="K434" s="31"/>
      <c r="L434" s="31"/>
      <c r="M434" s="31"/>
      <c r="N434" s="31"/>
      <c r="O434" s="31"/>
      <c r="P434" s="31"/>
      <c r="Q434" s="31"/>
      <c r="R434" s="31"/>
      <c r="S434" s="31"/>
      <c r="T434" s="31"/>
    </row>
    <row r="435" spans="1:20" ht="15.75">
      <c r="A435" s="11">
        <v>54362</v>
      </c>
      <c r="B435" s="39">
        <v>31</v>
      </c>
      <c r="C435" s="30">
        <v>131.881</v>
      </c>
      <c r="D435" s="30">
        <v>277.16699999999997</v>
      </c>
      <c r="E435" s="36">
        <v>829.952</v>
      </c>
      <c r="F435" s="30">
        <v>1239</v>
      </c>
      <c r="G435" s="30">
        <v>75</v>
      </c>
      <c r="H435" s="38">
        <v>600</v>
      </c>
      <c r="I435" s="30">
        <v>695</v>
      </c>
      <c r="J435" s="30">
        <v>0</v>
      </c>
      <c r="K435" s="31"/>
      <c r="L435" s="31"/>
      <c r="M435" s="31"/>
      <c r="N435" s="31"/>
      <c r="O435" s="31"/>
      <c r="P435" s="31"/>
      <c r="Q435" s="31"/>
      <c r="R435" s="31"/>
      <c r="S435" s="31"/>
      <c r="T435" s="31"/>
    </row>
    <row r="436" spans="1:20" ht="15.75">
      <c r="A436" s="11">
        <v>54392</v>
      </c>
      <c r="B436" s="39">
        <v>30</v>
      </c>
      <c r="C436" s="30">
        <v>122.58</v>
      </c>
      <c r="D436" s="30">
        <v>297.94099999999997</v>
      </c>
      <c r="E436" s="36">
        <v>729.47900000000004</v>
      </c>
      <c r="F436" s="30">
        <v>1150</v>
      </c>
      <c r="G436" s="30">
        <v>100</v>
      </c>
      <c r="H436" s="38">
        <v>600</v>
      </c>
      <c r="I436" s="30">
        <v>695</v>
      </c>
      <c r="J436" s="30">
        <v>50</v>
      </c>
      <c r="K436" s="31"/>
      <c r="L436" s="31"/>
      <c r="M436" s="31"/>
      <c r="N436" s="31"/>
      <c r="O436" s="31"/>
      <c r="P436" s="31"/>
      <c r="Q436" s="31"/>
      <c r="R436" s="31"/>
      <c r="S436" s="31"/>
      <c r="T436" s="31"/>
    </row>
    <row r="437" spans="1:20" ht="15.75">
      <c r="A437" s="11">
        <v>54423</v>
      </c>
      <c r="B437" s="39">
        <v>31</v>
      </c>
      <c r="C437" s="30">
        <v>122.58</v>
      </c>
      <c r="D437" s="30">
        <v>297.94099999999997</v>
      </c>
      <c r="E437" s="36">
        <v>729.47900000000004</v>
      </c>
      <c r="F437" s="30">
        <v>1150</v>
      </c>
      <c r="G437" s="30">
        <v>100</v>
      </c>
      <c r="H437" s="38">
        <v>600</v>
      </c>
      <c r="I437" s="30">
        <v>695</v>
      </c>
      <c r="J437" s="30">
        <v>50</v>
      </c>
      <c r="K437" s="31"/>
      <c r="L437" s="31"/>
      <c r="M437" s="31"/>
      <c r="N437" s="31"/>
      <c r="O437" s="31"/>
      <c r="P437" s="31"/>
      <c r="Q437" s="31"/>
      <c r="R437" s="31"/>
      <c r="S437" s="31"/>
      <c r="T437" s="31"/>
    </row>
    <row r="438" spans="1:20" ht="15.75">
      <c r="A438" s="11">
        <v>54454</v>
      </c>
      <c r="B438" s="39">
        <v>31</v>
      </c>
      <c r="C438" s="30">
        <v>122.58</v>
      </c>
      <c r="D438" s="30">
        <v>297.94099999999997</v>
      </c>
      <c r="E438" s="36">
        <v>729.47900000000004</v>
      </c>
      <c r="F438" s="30">
        <v>1150</v>
      </c>
      <c r="G438" s="30">
        <v>100</v>
      </c>
      <c r="H438" s="38">
        <v>600</v>
      </c>
      <c r="I438" s="30">
        <v>695</v>
      </c>
      <c r="J438" s="30">
        <v>50</v>
      </c>
      <c r="K438" s="31"/>
      <c r="L438" s="31"/>
      <c r="M438" s="31"/>
      <c r="N438" s="31"/>
      <c r="O438" s="31"/>
      <c r="P438" s="31"/>
      <c r="Q438" s="31"/>
      <c r="R438" s="31"/>
      <c r="S438" s="31"/>
      <c r="T438" s="31"/>
    </row>
    <row r="439" spans="1:20" ht="15.75">
      <c r="A439" s="11">
        <v>54482</v>
      </c>
      <c r="B439" s="39">
        <v>28</v>
      </c>
      <c r="C439" s="30">
        <v>122.58</v>
      </c>
      <c r="D439" s="30">
        <v>297.94099999999997</v>
      </c>
      <c r="E439" s="36">
        <v>729.47900000000004</v>
      </c>
      <c r="F439" s="30">
        <v>1150</v>
      </c>
      <c r="G439" s="30">
        <v>100</v>
      </c>
      <c r="H439" s="38">
        <v>600</v>
      </c>
      <c r="I439" s="30">
        <v>695</v>
      </c>
      <c r="J439" s="30">
        <v>50</v>
      </c>
      <c r="K439" s="31"/>
      <c r="L439" s="31"/>
      <c r="M439" s="31"/>
      <c r="N439" s="31"/>
      <c r="O439" s="31"/>
      <c r="P439" s="31"/>
      <c r="Q439" s="31"/>
      <c r="R439" s="31"/>
      <c r="S439" s="31"/>
      <c r="T439" s="31"/>
    </row>
    <row r="440" spans="1:20" ht="15.75">
      <c r="A440" s="11">
        <v>54513</v>
      </c>
      <c r="B440" s="39">
        <v>31</v>
      </c>
      <c r="C440" s="30">
        <v>122.58</v>
      </c>
      <c r="D440" s="30">
        <v>297.94099999999997</v>
      </c>
      <c r="E440" s="36">
        <v>729.47900000000004</v>
      </c>
      <c r="F440" s="30">
        <v>1150</v>
      </c>
      <c r="G440" s="30">
        <v>100</v>
      </c>
      <c r="H440" s="38">
        <v>600</v>
      </c>
      <c r="I440" s="30">
        <v>695</v>
      </c>
      <c r="J440" s="30">
        <v>50</v>
      </c>
      <c r="K440" s="31"/>
      <c r="L440" s="31"/>
      <c r="M440" s="31"/>
      <c r="N440" s="31"/>
      <c r="O440" s="31"/>
      <c r="P440" s="31"/>
      <c r="Q440" s="31"/>
      <c r="R440" s="31"/>
      <c r="S440" s="31"/>
      <c r="T440" s="31"/>
    </row>
    <row r="441" spans="1:20" ht="15.75">
      <c r="A441" s="11">
        <v>54543</v>
      </c>
      <c r="B441" s="39">
        <v>30</v>
      </c>
      <c r="C441" s="30">
        <v>141.29300000000001</v>
      </c>
      <c r="D441" s="30">
        <v>267.99299999999999</v>
      </c>
      <c r="E441" s="36">
        <v>829.71400000000006</v>
      </c>
      <c r="F441" s="30">
        <v>1239</v>
      </c>
      <c r="G441" s="30">
        <v>100</v>
      </c>
      <c r="H441" s="38">
        <v>600</v>
      </c>
      <c r="I441" s="30">
        <v>695</v>
      </c>
      <c r="J441" s="30">
        <v>50</v>
      </c>
      <c r="K441" s="31"/>
      <c r="L441" s="31"/>
      <c r="M441" s="31"/>
      <c r="N441" s="31"/>
      <c r="O441" s="31"/>
      <c r="P441" s="31"/>
      <c r="Q441" s="31"/>
      <c r="R441" s="31"/>
      <c r="S441" s="31"/>
      <c r="T441" s="31"/>
    </row>
    <row r="442" spans="1:20" ht="15.75">
      <c r="A442" s="11">
        <v>54574</v>
      </c>
      <c r="B442" s="39">
        <v>31</v>
      </c>
      <c r="C442" s="30">
        <v>194.20500000000001</v>
      </c>
      <c r="D442" s="30">
        <v>267.46600000000001</v>
      </c>
      <c r="E442" s="36">
        <v>812.32899999999995</v>
      </c>
      <c r="F442" s="30">
        <v>1274</v>
      </c>
      <c r="G442" s="30">
        <v>75</v>
      </c>
      <c r="H442" s="38">
        <v>600</v>
      </c>
      <c r="I442" s="30">
        <v>695</v>
      </c>
      <c r="J442" s="30">
        <v>50</v>
      </c>
      <c r="K442" s="31"/>
      <c r="L442" s="31"/>
      <c r="M442" s="31"/>
      <c r="N442" s="31"/>
      <c r="O442" s="31"/>
      <c r="P442" s="31"/>
      <c r="Q442" s="31"/>
      <c r="R442" s="31"/>
      <c r="S442" s="31"/>
      <c r="T442" s="31"/>
    </row>
    <row r="443" spans="1:20" ht="15.75">
      <c r="A443" s="11">
        <v>54604</v>
      </c>
      <c r="B443" s="39">
        <v>30</v>
      </c>
      <c r="C443" s="30">
        <v>194.20500000000001</v>
      </c>
      <c r="D443" s="30">
        <v>267.46600000000001</v>
      </c>
      <c r="E443" s="36">
        <v>812.32899999999995</v>
      </c>
      <c r="F443" s="30">
        <v>1274</v>
      </c>
      <c r="G443" s="30">
        <v>50</v>
      </c>
      <c r="H443" s="38">
        <v>600</v>
      </c>
      <c r="I443" s="30">
        <v>695</v>
      </c>
      <c r="J443" s="30">
        <v>50</v>
      </c>
      <c r="K443" s="31"/>
      <c r="L443" s="31"/>
      <c r="M443" s="31"/>
      <c r="N443" s="31"/>
      <c r="O443" s="31"/>
      <c r="P443" s="31"/>
      <c r="Q443" s="31"/>
      <c r="R443" s="31"/>
      <c r="S443" s="31"/>
      <c r="T443" s="31"/>
    </row>
    <row r="444" spans="1:20" ht="15.75">
      <c r="A444" s="11">
        <v>54635</v>
      </c>
      <c r="B444" s="39">
        <v>31</v>
      </c>
      <c r="C444" s="30">
        <v>194.20500000000001</v>
      </c>
      <c r="D444" s="30">
        <v>267.46600000000001</v>
      </c>
      <c r="E444" s="36">
        <v>812.32899999999995</v>
      </c>
      <c r="F444" s="30">
        <v>1274</v>
      </c>
      <c r="G444" s="30">
        <v>50</v>
      </c>
      <c r="H444" s="38">
        <v>600</v>
      </c>
      <c r="I444" s="30">
        <v>695</v>
      </c>
      <c r="J444" s="30">
        <v>0</v>
      </c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.75">
      <c r="A445" s="11">
        <v>54666</v>
      </c>
      <c r="B445" s="39">
        <v>31</v>
      </c>
      <c r="C445" s="30">
        <v>194.20500000000001</v>
      </c>
      <c r="D445" s="30">
        <v>267.46600000000001</v>
      </c>
      <c r="E445" s="36">
        <v>812.32899999999995</v>
      </c>
      <c r="F445" s="30">
        <v>1274</v>
      </c>
      <c r="G445" s="30">
        <v>50</v>
      </c>
      <c r="H445" s="38">
        <v>600</v>
      </c>
      <c r="I445" s="30">
        <v>695</v>
      </c>
      <c r="J445" s="30">
        <v>0</v>
      </c>
      <c r="K445" s="31"/>
      <c r="L445" s="31"/>
      <c r="M445" s="31"/>
      <c r="N445" s="31"/>
      <c r="O445" s="31"/>
      <c r="P445" s="31"/>
      <c r="Q445" s="31"/>
      <c r="R445" s="31"/>
      <c r="S445" s="31"/>
      <c r="T445" s="31"/>
    </row>
    <row r="446" spans="1:20" ht="15.75">
      <c r="A446" s="11">
        <v>54696</v>
      </c>
      <c r="B446" s="39">
        <v>30</v>
      </c>
      <c r="C446" s="30">
        <v>194.20500000000001</v>
      </c>
      <c r="D446" s="30">
        <v>267.46600000000001</v>
      </c>
      <c r="E446" s="36">
        <v>812.32899999999995</v>
      </c>
      <c r="F446" s="30">
        <v>1274</v>
      </c>
      <c r="G446" s="30">
        <v>50</v>
      </c>
      <c r="H446" s="38">
        <v>600</v>
      </c>
      <c r="I446" s="30">
        <v>695</v>
      </c>
      <c r="J446" s="30">
        <v>0</v>
      </c>
      <c r="K446" s="31"/>
      <c r="L446" s="31"/>
      <c r="M446" s="31"/>
      <c r="N446" s="31"/>
      <c r="O446" s="31"/>
      <c r="P446" s="31"/>
      <c r="Q446" s="31"/>
      <c r="R446" s="31"/>
      <c r="S446" s="31"/>
      <c r="T446" s="31"/>
    </row>
    <row r="447" spans="1:20" ht="15.75">
      <c r="A447" s="11">
        <v>54727</v>
      </c>
      <c r="B447" s="39">
        <v>31</v>
      </c>
      <c r="C447" s="30">
        <v>131.881</v>
      </c>
      <c r="D447" s="30">
        <v>277.16699999999997</v>
      </c>
      <c r="E447" s="36">
        <v>829.952</v>
      </c>
      <c r="F447" s="30">
        <v>1239</v>
      </c>
      <c r="G447" s="30">
        <v>75</v>
      </c>
      <c r="H447" s="38">
        <v>600</v>
      </c>
      <c r="I447" s="30">
        <v>695</v>
      </c>
      <c r="J447" s="30">
        <v>0</v>
      </c>
      <c r="K447" s="31"/>
      <c r="L447" s="31"/>
      <c r="M447" s="31"/>
      <c r="N447" s="31"/>
      <c r="O447" s="31"/>
      <c r="P447" s="31"/>
      <c r="Q447" s="31"/>
      <c r="R447" s="31"/>
      <c r="S447" s="31"/>
      <c r="T447" s="31"/>
    </row>
    <row r="448" spans="1:20" ht="15.75">
      <c r="A448" s="11">
        <v>54757</v>
      </c>
      <c r="B448" s="39">
        <v>30</v>
      </c>
      <c r="C448" s="30">
        <v>122.58</v>
      </c>
      <c r="D448" s="30">
        <v>297.94099999999997</v>
      </c>
      <c r="E448" s="36">
        <v>729.47900000000004</v>
      </c>
      <c r="F448" s="30">
        <v>1150</v>
      </c>
      <c r="G448" s="30">
        <v>100</v>
      </c>
      <c r="H448" s="38">
        <v>600</v>
      </c>
      <c r="I448" s="30">
        <v>695</v>
      </c>
      <c r="J448" s="30">
        <v>50</v>
      </c>
      <c r="K448" s="31"/>
      <c r="L448" s="31"/>
      <c r="M448" s="31"/>
      <c r="N448" s="31"/>
      <c r="O448" s="31"/>
      <c r="P448" s="31"/>
      <c r="Q448" s="31"/>
      <c r="R448" s="31"/>
      <c r="S448" s="31"/>
      <c r="T448" s="31"/>
    </row>
    <row r="449" spans="1:20" ht="15.75">
      <c r="A449" s="11">
        <v>54788</v>
      </c>
      <c r="B449" s="39">
        <v>31</v>
      </c>
      <c r="C449" s="30">
        <v>122.58</v>
      </c>
      <c r="D449" s="30">
        <v>297.94099999999997</v>
      </c>
      <c r="E449" s="36">
        <v>729.47900000000004</v>
      </c>
      <c r="F449" s="30">
        <v>1150</v>
      </c>
      <c r="G449" s="30">
        <v>100</v>
      </c>
      <c r="H449" s="38">
        <v>600</v>
      </c>
      <c r="I449" s="30">
        <v>695</v>
      </c>
      <c r="J449" s="30">
        <v>50</v>
      </c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ht="15.75">
      <c r="A450" s="11">
        <v>54819</v>
      </c>
      <c r="B450" s="39">
        <v>31</v>
      </c>
      <c r="C450" s="30">
        <v>122.58</v>
      </c>
      <c r="D450" s="30">
        <v>297.94099999999997</v>
      </c>
      <c r="E450" s="36">
        <v>729.47900000000004</v>
      </c>
      <c r="F450" s="30">
        <v>1150</v>
      </c>
      <c r="G450" s="30">
        <v>100</v>
      </c>
      <c r="H450" s="38">
        <v>600</v>
      </c>
      <c r="I450" s="30">
        <v>695</v>
      </c>
      <c r="J450" s="30">
        <v>50</v>
      </c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ht="15.75">
      <c r="A451" s="11">
        <v>54847</v>
      </c>
      <c r="B451" s="39">
        <v>28</v>
      </c>
      <c r="C451" s="30">
        <v>122.58</v>
      </c>
      <c r="D451" s="30">
        <v>297.94099999999997</v>
      </c>
      <c r="E451" s="36">
        <v>729.47900000000004</v>
      </c>
      <c r="F451" s="30">
        <v>1150</v>
      </c>
      <c r="G451" s="30">
        <v>100</v>
      </c>
      <c r="H451" s="38">
        <v>600</v>
      </c>
      <c r="I451" s="30">
        <v>695</v>
      </c>
      <c r="J451" s="30">
        <v>50</v>
      </c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ht="15.75">
      <c r="A452" s="11">
        <v>54878</v>
      </c>
      <c r="B452" s="39">
        <v>31</v>
      </c>
      <c r="C452" s="30">
        <v>122.58</v>
      </c>
      <c r="D452" s="30">
        <v>297.94099999999997</v>
      </c>
      <c r="E452" s="36">
        <v>729.47900000000004</v>
      </c>
      <c r="F452" s="30">
        <v>1150</v>
      </c>
      <c r="G452" s="30">
        <v>100</v>
      </c>
      <c r="H452" s="38">
        <v>600</v>
      </c>
      <c r="I452" s="30">
        <v>695</v>
      </c>
      <c r="J452" s="30">
        <v>50</v>
      </c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ht="15.75">
      <c r="A453" s="11">
        <v>54908</v>
      </c>
      <c r="B453" s="39">
        <v>30</v>
      </c>
      <c r="C453" s="30">
        <v>141.29300000000001</v>
      </c>
      <c r="D453" s="30">
        <v>267.99299999999999</v>
      </c>
      <c r="E453" s="36">
        <v>829.71400000000006</v>
      </c>
      <c r="F453" s="30">
        <v>1239</v>
      </c>
      <c r="G453" s="30">
        <v>100</v>
      </c>
      <c r="H453" s="38">
        <v>600</v>
      </c>
      <c r="I453" s="30">
        <v>695</v>
      </c>
      <c r="J453" s="30">
        <v>50</v>
      </c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ht="15.75">
      <c r="A454" s="11">
        <v>54939</v>
      </c>
      <c r="B454" s="39">
        <v>31</v>
      </c>
      <c r="C454" s="30">
        <v>194.20500000000001</v>
      </c>
      <c r="D454" s="30">
        <v>267.46600000000001</v>
      </c>
      <c r="E454" s="36">
        <v>812.32899999999995</v>
      </c>
      <c r="F454" s="30">
        <v>1274</v>
      </c>
      <c r="G454" s="30">
        <v>75</v>
      </c>
      <c r="H454" s="38">
        <v>600</v>
      </c>
      <c r="I454" s="30">
        <v>695</v>
      </c>
      <c r="J454" s="30">
        <v>50</v>
      </c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ht="15.75">
      <c r="A455" s="11">
        <v>54969</v>
      </c>
      <c r="B455" s="39">
        <v>30</v>
      </c>
      <c r="C455" s="30">
        <v>194.20500000000001</v>
      </c>
      <c r="D455" s="30">
        <v>267.46600000000001</v>
      </c>
      <c r="E455" s="36">
        <v>812.32899999999995</v>
      </c>
      <c r="F455" s="30">
        <v>1274</v>
      </c>
      <c r="G455" s="30">
        <v>50</v>
      </c>
      <c r="H455" s="38">
        <v>600</v>
      </c>
      <c r="I455" s="30">
        <v>695</v>
      </c>
      <c r="J455" s="30">
        <v>50</v>
      </c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ht="15.75">
      <c r="A456" s="11">
        <v>55000</v>
      </c>
      <c r="B456" s="39">
        <v>31</v>
      </c>
      <c r="C456" s="30">
        <v>194.20500000000001</v>
      </c>
      <c r="D456" s="30">
        <v>267.46600000000001</v>
      </c>
      <c r="E456" s="36">
        <v>812.32899999999995</v>
      </c>
      <c r="F456" s="30">
        <v>1274</v>
      </c>
      <c r="G456" s="30">
        <v>50</v>
      </c>
      <c r="H456" s="38">
        <v>600</v>
      </c>
      <c r="I456" s="30">
        <v>695</v>
      </c>
      <c r="J456" s="30">
        <v>0</v>
      </c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ht="15.75">
      <c r="A457" s="11">
        <v>55031</v>
      </c>
      <c r="B457" s="39">
        <v>31</v>
      </c>
      <c r="C457" s="30">
        <v>194.20500000000001</v>
      </c>
      <c r="D457" s="30">
        <v>267.46600000000001</v>
      </c>
      <c r="E457" s="36">
        <v>812.32899999999995</v>
      </c>
      <c r="F457" s="30">
        <v>1274</v>
      </c>
      <c r="G457" s="30">
        <v>50</v>
      </c>
      <c r="H457" s="38">
        <v>600</v>
      </c>
      <c r="I457" s="30">
        <v>695</v>
      </c>
      <c r="J457" s="30">
        <v>0</v>
      </c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ht="15.75">
      <c r="A458" s="11">
        <v>55061</v>
      </c>
      <c r="B458" s="39">
        <v>30</v>
      </c>
      <c r="C458" s="30">
        <v>194.20500000000001</v>
      </c>
      <c r="D458" s="30">
        <v>267.46600000000001</v>
      </c>
      <c r="E458" s="36">
        <v>812.32899999999995</v>
      </c>
      <c r="F458" s="30">
        <v>1274</v>
      </c>
      <c r="G458" s="30">
        <v>50</v>
      </c>
      <c r="H458" s="38">
        <v>600</v>
      </c>
      <c r="I458" s="30">
        <v>695</v>
      </c>
      <c r="J458" s="30">
        <v>0</v>
      </c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ht="15.75">
      <c r="A459" s="11">
        <v>55092</v>
      </c>
      <c r="B459" s="39">
        <v>31</v>
      </c>
      <c r="C459" s="30">
        <v>131.881</v>
      </c>
      <c r="D459" s="30">
        <v>277.16699999999997</v>
      </c>
      <c r="E459" s="36">
        <v>829.952</v>
      </c>
      <c r="F459" s="30">
        <v>1239</v>
      </c>
      <c r="G459" s="30">
        <v>75</v>
      </c>
      <c r="H459" s="38">
        <v>600</v>
      </c>
      <c r="I459" s="30">
        <v>695</v>
      </c>
      <c r="J459" s="30">
        <v>0</v>
      </c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5.75">
      <c r="A460" s="11">
        <v>55122</v>
      </c>
      <c r="B460" s="39">
        <v>30</v>
      </c>
      <c r="C460" s="30">
        <v>122.58</v>
      </c>
      <c r="D460" s="30">
        <v>297.94099999999997</v>
      </c>
      <c r="E460" s="36">
        <v>729.47900000000004</v>
      </c>
      <c r="F460" s="30">
        <v>1150</v>
      </c>
      <c r="G460" s="30">
        <v>100</v>
      </c>
      <c r="H460" s="38">
        <v>600</v>
      </c>
      <c r="I460" s="30">
        <v>695</v>
      </c>
      <c r="J460" s="30">
        <v>50</v>
      </c>
      <c r="K460" s="31"/>
      <c r="L460" s="31"/>
      <c r="M460" s="31"/>
      <c r="N460" s="31"/>
      <c r="O460" s="31"/>
      <c r="P460" s="31"/>
      <c r="Q460" s="31"/>
      <c r="R460" s="31"/>
      <c r="S460" s="31"/>
      <c r="T460" s="31"/>
    </row>
    <row r="461" spans="1:20" ht="15.75">
      <c r="A461" s="11">
        <v>55153</v>
      </c>
      <c r="B461" s="39">
        <v>31</v>
      </c>
      <c r="C461" s="30">
        <v>122.58</v>
      </c>
      <c r="D461" s="30">
        <v>297.94099999999997</v>
      </c>
      <c r="E461" s="36">
        <v>729.47900000000004</v>
      </c>
      <c r="F461" s="30">
        <v>1150</v>
      </c>
      <c r="G461" s="30">
        <v>100</v>
      </c>
      <c r="H461" s="38">
        <v>600</v>
      </c>
      <c r="I461" s="30">
        <v>695</v>
      </c>
      <c r="J461" s="30">
        <v>50</v>
      </c>
      <c r="K461" s="31"/>
      <c r="L461" s="31"/>
      <c r="M461" s="31"/>
      <c r="N461" s="31"/>
      <c r="O461" s="31"/>
      <c r="P461" s="31"/>
      <c r="Q461" s="31"/>
      <c r="R461" s="31"/>
      <c r="S461" s="31"/>
      <c r="T461" s="31"/>
    </row>
    <row r="462" spans="1:20" ht="15.75">
      <c r="A462" s="11">
        <v>55184</v>
      </c>
      <c r="B462" s="39">
        <v>31</v>
      </c>
      <c r="C462" s="30">
        <v>122.58</v>
      </c>
      <c r="D462" s="30">
        <v>297.94099999999997</v>
      </c>
      <c r="E462" s="36">
        <v>729.47900000000004</v>
      </c>
      <c r="F462" s="30">
        <v>1150</v>
      </c>
      <c r="G462" s="30">
        <v>100</v>
      </c>
      <c r="H462" s="38">
        <v>600</v>
      </c>
      <c r="I462" s="30">
        <v>695</v>
      </c>
      <c r="J462" s="30">
        <v>50</v>
      </c>
      <c r="K462" s="31"/>
      <c r="L462" s="31"/>
      <c r="M462" s="31"/>
      <c r="N462" s="31"/>
      <c r="O462" s="31"/>
      <c r="P462" s="31"/>
      <c r="Q462" s="31"/>
      <c r="R462" s="31"/>
      <c r="S462" s="31"/>
      <c r="T462" s="31"/>
    </row>
    <row r="463" spans="1:20" ht="15.75">
      <c r="A463" s="11">
        <v>55212</v>
      </c>
      <c r="B463" s="39">
        <v>28</v>
      </c>
      <c r="C463" s="30">
        <v>122.58</v>
      </c>
      <c r="D463" s="30">
        <v>297.94099999999997</v>
      </c>
      <c r="E463" s="36">
        <v>729.47900000000004</v>
      </c>
      <c r="F463" s="30">
        <v>1150</v>
      </c>
      <c r="G463" s="30">
        <v>100</v>
      </c>
      <c r="H463" s="38">
        <v>600</v>
      </c>
      <c r="I463" s="30">
        <v>695</v>
      </c>
      <c r="J463" s="30">
        <v>50</v>
      </c>
      <c r="K463" s="31"/>
      <c r="L463" s="31"/>
      <c r="M463" s="31"/>
      <c r="N463" s="31"/>
      <c r="O463" s="31"/>
      <c r="P463" s="31"/>
      <c r="Q463" s="31"/>
      <c r="R463" s="31"/>
      <c r="S463" s="31"/>
      <c r="T463" s="31"/>
    </row>
    <row r="464" spans="1:20" ht="15.75">
      <c r="A464" s="11">
        <v>55243</v>
      </c>
      <c r="B464" s="39">
        <v>31</v>
      </c>
      <c r="C464" s="30">
        <v>122.58</v>
      </c>
      <c r="D464" s="30">
        <v>297.94099999999997</v>
      </c>
      <c r="E464" s="36">
        <v>729.47900000000004</v>
      </c>
      <c r="F464" s="30">
        <v>1150</v>
      </c>
      <c r="G464" s="30">
        <v>100</v>
      </c>
      <c r="H464" s="38">
        <v>600</v>
      </c>
      <c r="I464" s="30">
        <v>695</v>
      </c>
      <c r="J464" s="30">
        <v>50</v>
      </c>
      <c r="K464" s="31"/>
      <c r="L464" s="31"/>
      <c r="M464" s="31"/>
      <c r="N464" s="31"/>
      <c r="O464" s="31"/>
      <c r="P464" s="31"/>
      <c r="Q464" s="31"/>
      <c r="R464" s="31"/>
      <c r="S464" s="31"/>
      <c r="T464" s="31"/>
    </row>
    <row r="465" spans="1:20" ht="15.75">
      <c r="A465" s="11">
        <v>55273</v>
      </c>
      <c r="B465" s="39">
        <v>30</v>
      </c>
      <c r="C465" s="30">
        <v>141.29300000000001</v>
      </c>
      <c r="D465" s="30">
        <v>267.99299999999999</v>
      </c>
      <c r="E465" s="36">
        <v>829.71400000000006</v>
      </c>
      <c r="F465" s="30">
        <v>1239</v>
      </c>
      <c r="G465" s="30">
        <v>100</v>
      </c>
      <c r="H465" s="38">
        <v>600</v>
      </c>
      <c r="I465" s="30">
        <v>695</v>
      </c>
      <c r="J465" s="30">
        <v>50</v>
      </c>
      <c r="K465" s="31"/>
      <c r="L465" s="31"/>
      <c r="M465" s="31"/>
      <c r="N465" s="31"/>
      <c r="O465" s="31"/>
      <c r="P465" s="31"/>
      <c r="Q465" s="31"/>
      <c r="R465" s="31"/>
      <c r="S465" s="31"/>
      <c r="T465" s="31"/>
    </row>
    <row r="466" spans="1:20" ht="15.75">
      <c r="A466" s="11">
        <v>55304</v>
      </c>
      <c r="B466" s="39">
        <v>31</v>
      </c>
      <c r="C466" s="30">
        <v>194.20500000000001</v>
      </c>
      <c r="D466" s="30">
        <v>267.46600000000001</v>
      </c>
      <c r="E466" s="36">
        <v>812.32899999999995</v>
      </c>
      <c r="F466" s="30">
        <v>1274</v>
      </c>
      <c r="G466" s="30">
        <v>75</v>
      </c>
      <c r="H466" s="38">
        <v>600</v>
      </c>
      <c r="I466" s="30">
        <v>695</v>
      </c>
      <c r="J466" s="30">
        <v>50</v>
      </c>
      <c r="K466" s="31"/>
      <c r="L466" s="31"/>
      <c r="M466" s="31"/>
      <c r="N466" s="31"/>
      <c r="O466" s="31"/>
      <c r="P466" s="31"/>
      <c r="Q466" s="31"/>
      <c r="R466" s="31"/>
      <c r="S466" s="31"/>
      <c r="T466" s="31"/>
    </row>
    <row r="467" spans="1:20" ht="15.75">
      <c r="A467" s="11">
        <v>55334</v>
      </c>
      <c r="B467" s="39">
        <v>30</v>
      </c>
      <c r="C467" s="30">
        <v>194.20500000000001</v>
      </c>
      <c r="D467" s="30">
        <v>267.46600000000001</v>
      </c>
      <c r="E467" s="36">
        <v>812.32899999999995</v>
      </c>
      <c r="F467" s="30">
        <v>1274</v>
      </c>
      <c r="G467" s="30">
        <v>50</v>
      </c>
      <c r="H467" s="38">
        <v>600</v>
      </c>
      <c r="I467" s="30">
        <v>695</v>
      </c>
      <c r="J467" s="30">
        <v>50</v>
      </c>
      <c r="K467" s="31"/>
      <c r="L467" s="31"/>
      <c r="M467" s="31"/>
      <c r="N467" s="31"/>
      <c r="O467" s="31"/>
      <c r="P467" s="31"/>
      <c r="Q467" s="31"/>
      <c r="R467" s="31"/>
      <c r="S467" s="31"/>
      <c r="T467" s="31"/>
    </row>
    <row r="468" spans="1:20" ht="15.75">
      <c r="A468" s="11">
        <v>55365</v>
      </c>
      <c r="B468" s="39">
        <v>31</v>
      </c>
      <c r="C468" s="30">
        <v>194.20500000000001</v>
      </c>
      <c r="D468" s="30">
        <v>267.46600000000001</v>
      </c>
      <c r="E468" s="36">
        <v>812.32899999999995</v>
      </c>
      <c r="F468" s="30">
        <v>1274</v>
      </c>
      <c r="G468" s="30">
        <v>50</v>
      </c>
      <c r="H468" s="38">
        <v>600</v>
      </c>
      <c r="I468" s="30">
        <v>695</v>
      </c>
      <c r="J468" s="30">
        <v>0</v>
      </c>
      <c r="K468" s="31"/>
      <c r="L468" s="31"/>
      <c r="M468" s="31"/>
      <c r="N468" s="31"/>
      <c r="O468" s="31"/>
      <c r="P468" s="31"/>
      <c r="Q468" s="31"/>
      <c r="R468" s="31"/>
      <c r="S468" s="31"/>
      <c r="T468" s="31"/>
    </row>
    <row r="469" spans="1:20" ht="15.75">
      <c r="A469" s="11">
        <v>55396</v>
      </c>
      <c r="B469" s="39">
        <v>31</v>
      </c>
      <c r="C469" s="30">
        <v>194.20500000000001</v>
      </c>
      <c r="D469" s="30">
        <v>267.46600000000001</v>
      </c>
      <c r="E469" s="36">
        <v>812.32899999999995</v>
      </c>
      <c r="F469" s="30">
        <v>1274</v>
      </c>
      <c r="G469" s="30">
        <v>50</v>
      </c>
      <c r="H469" s="38">
        <v>600</v>
      </c>
      <c r="I469" s="30">
        <v>695</v>
      </c>
      <c r="J469" s="30">
        <v>0</v>
      </c>
      <c r="K469" s="31"/>
      <c r="L469" s="31"/>
      <c r="M469" s="31"/>
      <c r="N469" s="31"/>
      <c r="O469" s="31"/>
      <c r="P469" s="31"/>
      <c r="Q469" s="31"/>
      <c r="R469" s="31"/>
      <c r="S469" s="31"/>
      <c r="T469" s="31"/>
    </row>
    <row r="470" spans="1:20" ht="15.75">
      <c r="A470" s="11">
        <v>55426</v>
      </c>
      <c r="B470" s="39">
        <v>30</v>
      </c>
      <c r="C470" s="30">
        <v>194.20500000000001</v>
      </c>
      <c r="D470" s="30">
        <v>267.46600000000001</v>
      </c>
      <c r="E470" s="36">
        <v>812.32899999999995</v>
      </c>
      <c r="F470" s="30">
        <v>1274</v>
      </c>
      <c r="G470" s="30">
        <v>50</v>
      </c>
      <c r="H470" s="38">
        <v>600</v>
      </c>
      <c r="I470" s="30">
        <v>695</v>
      </c>
      <c r="J470" s="30">
        <v>0</v>
      </c>
      <c r="K470" s="31"/>
      <c r="L470" s="31"/>
      <c r="M470" s="31"/>
      <c r="N470" s="31"/>
      <c r="O470" s="31"/>
      <c r="P470" s="31"/>
      <c r="Q470" s="31"/>
      <c r="R470" s="31"/>
      <c r="S470" s="31"/>
      <c r="T470" s="31"/>
    </row>
    <row r="471" spans="1:20" ht="15.75">
      <c r="A471" s="11">
        <v>55457</v>
      </c>
      <c r="B471" s="39">
        <v>31</v>
      </c>
      <c r="C471" s="30">
        <v>131.881</v>
      </c>
      <c r="D471" s="30">
        <v>277.16699999999997</v>
      </c>
      <c r="E471" s="36">
        <v>829.952</v>
      </c>
      <c r="F471" s="30">
        <v>1239</v>
      </c>
      <c r="G471" s="30">
        <v>75</v>
      </c>
      <c r="H471" s="38">
        <v>600</v>
      </c>
      <c r="I471" s="30">
        <v>695</v>
      </c>
      <c r="J471" s="30">
        <v>0</v>
      </c>
      <c r="K471" s="31"/>
      <c r="L471" s="31"/>
      <c r="M471" s="31"/>
      <c r="N471" s="31"/>
      <c r="O471" s="31"/>
      <c r="P471" s="31"/>
      <c r="Q471" s="31"/>
      <c r="R471" s="31"/>
      <c r="S471" s="31"/>
      <c r="T471" s="31"/>
    </row>
    <row r="472" spans="1:20" ht="15.75">
      <c r="A472" s="11">
        <v>55487</v>
      </c>
      <c r="B472" s="39">
        <v>30</v>
      </c>
      <c r="C472" s="30">
        <v>122.58</v>
      </c>
      <c r="D472" s="30">
        <v>297.94099999999997</v>
      </c>
      <c r="E472" s="36">
        <v>729.47900000000004</v>
      </c>
      <c r="F472" s="30">
        <v>1150</v>
      </c>
      <c r="G472" s="30">
        <v>100</v>
      </c>
      <c r="H472" s="38">
        <v>600</v>
      </c>
      <c r="I472" s="30">
        <v>695</v>
      </c>
      <c r="J472" s="30">
        <v>50</v>
      </c>
      <c r="K472" s="31"/>
      <c r="L472" s="31"/>
      <c r="M472" s="31"/>
      <c r="N472" s="31"/>
      <c r="O472" s="31"/>
      <c r="P472" s="31"/>
      <c r="Q472" s="31"/>
      <c r="R472" s="31"/>
      <c r="S472" s="31"/>
      <c r="T472" s="31"/>
    </row>
    <row r="473" spans="1:20" ht="15.75">
      <c r="A473" s="11">
        <v>55518</v>
      </c>
      <c r="B473" s="39">
        <v>31</v>
      </c>
      <c r="C473" s="30">
        <v>122.58</v>
      </c>
      <c r="D473" s="30">
        <v>297.94099999999997</v>
      </c>
      <c r="E473" s="36">
        <v>729.47900000000004</v>
      </c>
      <c r="F473" s="30">
        <v>1150</v>
      </c>
      <c r="G473" s="30">
        <v>100</v>
      </c>
      <c r="H473" s="38">
        <v>600</v>
      </c>
      <c r="I473" s="30">
        <v>695</v>
      </c>
      <c r="J473" s="30">
        <v>50</v>
      </c>
      <c r="K473" s="31"/>
      <c r="L473" s="31"/>
      <c r="M473" s="31"/>
      <c r="N473" s="31"/>
      <c r="O473" s="31"/>
      <c r="P473" s="31"/>
      <c r="Q473" s="31"/>
      <c r="R473" s="31"/>
      <c r="S473" s="31"/>
      <c r="T473" s="31"/>
    </row>
    <row r="474" spans="1:20" ht="15.75">
      <c r="A474" s="11">
        <v>55549</v>
      </c>
      <c r="B474" s="39">
        <v>31</v>
      </c>
      <c r="C474" s="30">
        <v>122.58</v>
      </c>
      <c r="D474" s="30">
        <v>297.94099999999997</v>
      </c>
      <c r="E474" s="36">
        <v>729.47900000000004</v>
      </c>
      <c r="F474" s="30">
        <v>1150</v>
      </c>
      <c r="G474" s="30">
        <v>100</v>
      </c>
      <c r="H474" s="38">
        <v>600</v>
      </c>
      <c r="I474" s="30">
        <v>695</v>
      </c>
      <c r="J474" s="30">
        <v>50</v>
      </c>
      <c r="K474" s="31"/>
      <c r="L474" s="31"/>
      <c r="M474" s="31"/>
      <c r="N474" s="31"/>
      <c r="O474" s="31"/>
      <c r="P474" s="31"/>
      <c r="Q474" s="31"/>
      <c r="R474" s="31"/>
      <c r="S474" s="31"/>
      <c r="T474" s="31"/>
    </row>
    <row r="475" spans="1:20" ht="15.75">
      <c r="A475" s="11">
        <v>55577</v>
      </c>
      <c r="B475" s="39">
        <v>29</v>
      </c>
      <c r="C475" s="30">
        <v>122.58</v>
      </c>
      <c r="D475" s="30">
        <v>297.94099999999997</v>
      </c>
      <c r="E475" s="36">
        <v>729.47900000000004</v>
      </c>
      <c r="F475" s="30">
        <v>1150</v>
      </c>
      <c r="G475" s="30">
        <v>100</v>
      </c>
      <c r="H475" s="38">
        <v>600</v>
      </c>
      <c r="I475" s="30">
        <v>695</v>
      </c>
      <c r="J475" s="30">
        <v>50</v>
      </c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ht="15.75">
      <c r="A476" s="11">
        <v>55609</v>
      </c>
      <c r="B476" s="39">
        <v>31</v>
      </c>
      <c r="C476" s="30">
        <v>122.58</v>
      </c>
      <c r="D476" s="30">
        <v>297.94099999999997</v>
      </c>
      <c r="E476" s="36">
        <v>729.47900000000004</v>
      </c>
      <c r="F476" s="30">
        <v>1150</v>
      </c>
      <c r="G476" s="30">
        <v>100</v>
      </c>
      <c r="H476" s="38">
        <v>600</v>
      </c>
      <c r="I476" s="30">
        <v>695</v>
      </c>
      <c r="J476" s="30">
        <v>50</v>
      </c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ht="15.75">
      <c r="A477" s="11">
        <v>55639</v>
      </c>
      <c r="B477" s="39">
        <v>30</v>
      </c>
      <c r="C477" s="30">
        <v>141.29300000000001</v>
      </c>
      <c r="D477" s="30">
        <v>267.99299999999999</v>
      </c>
      <c r="E477" s="36">
        <v>829.71400000000006</v>
      </c>
      <c r="F477" s="30">
        <v>1239</v>
      </c>
      <c r="G477" s="30">
        <v>100</v>
      </c>
      <c r="H477" s="38">
        <v>600</v>
      </c>
      <c r="I477" s="30">
        <v>695</v>
      </c>
      <c r="J477" s="30">
        <v>50</v>
      </c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ht="15.75">
      <c r="A478" s="11">
        <v>55670</v>
      </c>
      <c r="B478" s="39">
        <v>31</v>
      </c>
      <c r="C478" s="30">
        <v>194.20500000000001</v>
      </c>
      <c r="D478" s="30">
        <v>267.46600000000001</v>
      </c>
      <c r="E478" s="36">
        <v>812.32899999999995</v>
      </c>
      <c r="F478" s="30">
        <v>1274</v>
      </c>
      <c r="G478" s="30">
        <v>75</v>
      </c>
      <c r="H478" s="38">
        <v>600</v>
      </c>
      <c r="I478" s="30">
        <v>695</v>
      </c>
      <c r="J478" s="30">
        <v>50</v>
      </c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ht="15.75">
      <c r="A479" s="11">
        <v>55700</v>
      </c>
      <c r="B479" s="39">
        <v>30</v>
      </c>
      <c r="C479" s="30">
        <v>194.20500000000001</v>
      </c>
      <c r="D479" s="30">
        <v>267.46600000000001</v>
      </c>
      <c r="E479" s="36">
        <v>812.32899999999995</v>
      </c>
      <c r="F479" s="30">
        <v>1274</v>
      </c>
      <c r="G479" s="30">
        <v>50</v>
      </c>
      <c r="H479" s="38">
        <v>600</v>
      </c>
      <c r="I479" s="30">
        <v>695</v>
      </c>
      <c r="J479" s="30">
        <v>50</v>
      </c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15.75">
      <c r="A480" s="11">
        <v>55731</v>
      </c>
      <c r="B480" s="39">
        <v>31</v>
      </c>
      <c r="C480" s="30">
        <v>194.20500000000001</v>
      </c>
      <c r="D480" s="30">
        <v>267.46600000000001</v>
      </c>
      <c r="E480" s="36">
        <v>812.32899999999995</v>
      </c>
      <c r="F480" s="30">
        <v>1274</v>
      </c>
      <c r="G480" s="30">
        <v>50</v>
      </c>
      <c r="H480" s="38">
        <v>600</v>
      </c>
      <c r="I480" s="30">
        <v>695</v>
      </c>
      <c r="J480" s="30">
        <v>0</v>
      </c>
      <c r="K480" s="31"/>
      <c r="L480" s="31"/>
      <c r="M480" s="31"/>
      <c r="N480" s="31"/>
      <c r="O480" s="31"/>
      <c r="P480" s="31"/>
      <c r="Q480" s="31"/>
      <c r="R480" s="31"/>
      <c r="S480" s="31"/>
      <c r="T480" s="31"/>
    </row>
    <row r="481" spans="1:20" ht="15.75">
      <c r="A481" s="11">
        <v>55762</v>
      </c>
      <c r="B481" s="39">
        <v>31</v>
      </c>
      <c r="C481" s="30">
        <v>194.20500000000001</v>
      </c>
      <c r="D481" s="30">
        <v>267.46600000000001</v>
      </c>
      <c r="E481" s="36">
        <v>812.32899999999995</v>
      </c>
      <c r="F481" s="30">
        <v>1274</v>
      </c>
      <c r="G481" s="30">
        <v>50</v>
      </c>
      <c r="H481" s="38">
        <v>600</v>
      </c>
      <c r="I481" s="30">
        <v>695</v>
      </c>
      <c r="J481" s="30">
        <v>0</v>
      </c>
      <c r="K481" s="31"/>
      <c r="L481" s="31"/>
      <c r="M481" s="31"/>
      <c r="N481" s="31"/>
      <c r="O481" s="31"/>
      <c r="P481" s="31"/>
      <c r="Q481" s="31"/>
      <c r="R481" s="31"/>
      <c r="S481" s="31"/>
      <c r="T481" s="31"/>
    </row>
    <row r="482" spans="1:20" ht="15.75">
      <c r="A482" s="11">
        <v>55792</v>
      </c>
      <c r="B482" s="39">
        <v>30</v>
      </c>
      <c r="C482" s="30">
        <v>194.20500000000001</v>
      </c>
      <c r="D482" s="30">
        <v>267.46600000000001</v>
      </c>
      <c r="E482" s="36">
        <v>812.32899999999995</v>
      </c>
      <c r="F482" s="30">
        <v>1274</v>
      </c>
      <c r="G482" s="30">
        <v>50</v>
      </c>
      <c r="H482" s="38">
        <v>600</v>
      </c>
      <c r="I482" s="30">
        <v>695</v>
      </c>
      <c r="J482" s="30">
        <v>0</v>
      </c>
      <c r="K482" s="31"/>
      <c r="L482" s="31"/>
      <c r="M482" s="31"/>
      <c r="N482" s="31"/>
      <c r="O482" s="31"/>
      <c r="P482" s="31"/>
      <c r="Q482" s="31"/>
      <c r="R482" s="31"/>
      <c r="S482" s="31"/>
      <c r="T482" s="31"/>
    </row>
    <row r="483" spans="1:20" ht="15.75">
      <c r="A483" s="11">
        <v>55823</v>
      </c>
      <c r="B483" s="39">
        <v>31</v>
      </c>
      <c r="C483" s="30">
        <v>131.881</v>
      </c>
      <c r="D483" s="30">
        <v>277.16699999999997</v>
      </c>
      <c r="E483" s="36">
        <v>829.952</v>
      </c>
      <c r="F483" s="30">
        <v>1239</v>
      </c>
      <c r="G483" s="30">
        <v>75</v>
      </c>
      <c r="H483" s="38">
        <v>600</v>
      </c>
      <c r="I483" s="30">
        <v>695</v>
      </c>
      <c r="J483" s="30">
        <v>0</v>
      </c>
      <c r="K483" s="31"/>
      <c r="L483" s="31"/>
      <c r="M483" s="31"/>
      <c r="N483" s="31"/>
      <c r="O483" s="31"/>
      <c r="P483" s="31"/>
      <c r="Q483" s="31"/>
      <c r="R483" s="31"/>
      <c r="S483" s="31"/>
      <c r="T483" s="31"/>
    </row>
    <row r="484" spans="1:20" ht="15.75">
      <c r="A484" s="11">
        <v>55853</v>
      </c>
      <c r="B484" s="39">
        <v>30</v>
      </c>
      <c r="C484" s="30">
        <v>122.58</v>
      </c>
      <c r="D484" s="30">
        <v>297.94099999999997</v>
      </c>
      <c r="E484" s="36">
        <v>729.47900000000004</v>
      </c>
      <c r="F484" s="30">
        <v>1150</v>
      </c>
      <c r="G484" s="30">
        <v>100</v>
      </c>
      <c r="H484" s="38">
        <v>600</v>
      </c>
      <c r="I484" s="30">
        <v>695</v>
      </c>
      <c r="J484" s="30">
        <v>50</v>
      </c>
      <c r="K484" s="31"/>
      <c r="L484" s="31"/>
      <c r="M484" s="31"/>
      <c r="N484" s="31"/>
      <c r="O484" s="31"/>
      <c r="P484" s="31"/>
      <c r="Q484" s="31"/>
      <c r="R484" s="31"/>
      <c r="S484" s="31"/>
      <c r="T484" s="31"/>
    </row>
    <row r="485" spans="1:20" ht="15.75">
      <c r="A485" s="11">
        <v>55884</v>
      </c>
      <c r="B485" s="39">
        <v>31</v>
      </c>
      <c r="C485" s="30">
        <v>122.58</v>
      </c>
      <c r="D485" s="30">
        <v>297.94099999999997</v>
      </c>
      <c r="E485" s="36">
        <v>729.47900000000004</v>
      </c>
      <c r="F485" s="30">
        <v>1150</v>
      </c>
      <c r="G485" s="30">
        <v>100</v>
      </c>
      <c r="H485" s="38">
        <v>600</v>
      </c>
      <c r="I485" s="30">
        <v>695</v>
      </c>
      <c r="J485" s="30">
        <v>50</v>
      </c>
      <c r="K485" s="31"/>
      <c r="L485" s="31"/>
      <c r="M485" s="31"/>
      <c r="N485" s="31"/>
      <c r="O485" s="31"/>
      <c r="P485" s="31"/>
      <c r="Q485" s="31"/>
      <c r="R485" s="31"/>
      <c r="S485" s="31"/>
      <c r="T485" s="31"/>
    </row>
    <row r="486" spans="1:20" ht="15.75">
      <c r="A486" s="11">
        <v>55915</v>
      </c>
      <c r="B486" s="39">
        <v>31</v>
      </c>
      <c r="C486" s="30">
        <v>122.58</v>
      </c>
      <c r="D486" s="30">
        <v>297.94099999999997</v>
      </c>
      <c r="E486" s="36">
        <v>729.47900000000004</v>
      </c>
      <c r="F486" s="30">
        <v>1150</v>
      </c>
      <c r="G486" s="30">
        <v>100</v>
      </c>
      <c r="H486" s="38">
        <v>600</v>
      </c>
      <c r="I486" s="30">
        <v>695</v>
      </c>
      <c r="J486" s="30">
        <v>50</v>
      </c>
      <c r="K486" s="31"/>
      <c r="L486" s="31"/>
      <c r="M486" s="31"/>
      <c r="N486" s="31"/>
      <c r="O486" s="31"/>
      <c r="P486" s="31"/>
      <c r="Q486" s="31"/>
      <c r="R486" s="31"/>
      <c r="S486" s="31"/>
      <c r="T486" s="31"/>
    </row>
    <row r="487" spans="1:20" ht="15.75">
      <c r="A487" s="11">
        <v>55943</v>
      </c>
      <c r="B487" s="39">
        <v>28</v>
      </c>
      <c r="C487" s="30">
        <v>122.58</v>
      </c>
      <c r="D487" s="30">
        <v>297.94099999999997</v>
      </c>
      <c r="E487" s="36">
        <v>729.47900000000004</v>
      </c>
      <c r="F487" s="30">
        <v>1150</v>
      </c>
      <c r="G487" s="30">
        <v>100</v>
      </c>
      <c r="H487" s="38">
        <v>600</v>
      </c>
      <c r="I487" s="30">
        <v>695</v>
      </c>
      <c r="J487" s="30">
        <v>50</v>
      </c>
      <c r="K487" s="31"/>
      <c r="L487" s="31"/>
      <c r="M487" s="31"/>
      <c r="N487" s="31"/>
      <c r="O487" s="31"/>
      <c r="P487" s="31"/>
      <c r="Q487" s="31"/>
      <c r="R487" s="31"/>
      <c r="S487" s="31"/>
      <c r="T487" s="31"/>
    </row>
    <row r="488" spans="1:20" ht="15.75">
      <c r="A488" s="11">
        <v>55974</v>
      </c>
      <c r="B488" s="39">
        <v>31</v>
      </c>
      <c r="C488" s="30">
        <v>122.58</v>
      </c>
      <c r="D488" s="30">
        <v>297.94099999999997</v>
      </c>
      <c r="E488" s="36">
        <v>729.47900000000004</v>
      </c>
      <c r="F488" s="30">
        <v>1150</v>
      </c>
      <c r="G488" s="30">
        <v>100</v>
      </c>
      <c r="H488" s="38">
        <v>600</v>
      </c>
      <c r="I488" s="30">
        <v>695</v>
      </c>
      <c r="J488" s="30">
        <v>50</v>
      </c>
      <c r="K488" s="31"/>
      <c r="L488" s="31"/>
      <c r="M488" s="31"/>
      <c r="N488" s="31"/>
      <c r="O488" s="31"/>
      <c r="P488" s="31"/>
      <c r="Q488" s="31"/>
      <c r="R488" s="31"/>
      <c r="S488" s="31"/>
      <c r="T488" s="31"/>
    </row>
    <row r="489" spans="1:20" ht="15.75">
      <c r="A489" s="11">
        <v>56004</v>
      </c>
      <c r="B489" s="39">
        <v>30</v>
      </c>
      <c r="C489" s="30">
        <v>141.29300000000001</v>
      </c>
      <c r="D489" s="30">
        <v>267.99299999999999</v>
      </c>
      <c r="E489" s="36">
        <v>829.71400000000006</v>
      </c>
      <c r="F489" s="30">
        <v>1239</v>
      </c>
      <c r="G489" s="30">
        <v>100</v>
      </c>
      <c r="H489" s="38">
        <v>600</v>
      </c>
      <c r="I489" s="30">
        <v>695</v>
      </c>
      <c r="J489" s="30">
        <v>50</v>
      </c>
      <c r="K489" s="31"/>
      <c r="L489" s="31"/>
      <c r="M489" s="31"/>
      <c r="N489" s="31"/>
      <c r="O489" s="31"/>
      <c r="P489" s="31"/>
      <c r="Q489" s="31"/>
      <c r="R489" s="31"/>
      <c r="S489" s="31"/>
      <c r="T489" s="31"/>
    </row>
    <row r="490" spans="1:20" ht="15.75">
      <c r="A490" s="11">
        <v>56035</v>
      </c>
      <c r="B490" s="39">
        <v>31</v>
      </c>
      <c r="C490" s="30">
        <v>194.20500000000001</v>
      </c>
      <c r="D490" s="30">
        <v>267.46600000000001</v>
      </c>
      <c r="E490" s="36">
        <v>812.32899999999995</v>
      </c>
      <c r="F490" s="30">
        <v>1274</v>
      </c>
      <c r="G490" s="30">
        <v>75</v>
      </c>
      <c r="H490" s="38">
        <v>600</v>
      </c>
      <c r="I490" s="30">
        <v>695</v>
      </c>
      <c r="J490" s="30">
        <v>50</v>
      </c>
      <c r="K490" s="31"/>
      <c r="L490" s="31"/>
      <c r="M490" s="31"/>
      <c r="N490" s="31"/>
      <c r="O490" s="31"/>
      <c r="P490" s="31"/>
      <c r="Q490" s="31"/>
      <c r="R490" s="31"/>
      <c r="S490" s="31"/>
      <c r="T490" s="31"/>
    </row>
    <row r="491" spans="1:20" ht="15.75">
      <c r="A491" s="11">
        <v>56065</v>
      </c>
      <c r="B491" s="39">
        <v>30</v>
      </c>
      <c r="C491" s="30">
        <v>194.20500000000001</v>
      </c>
      <c r="D491" s="30">
        <v>267.46600000000001</v>
      </c>
      <c r="E491" s="36">
        <v>812.32899999999995</v>
      </c>
      <c r="F491" s="30">
        <v>1274</v>
      </c>
      <c r="G491" s="30">
        <v>50</v>
      </c>
      <c r="H491" s="38">
        <v>600</v>
      </c>
      <c r="I491" s="30">
        <v>695</v>
      </c>
      <c r="J491" s="30">
        <v>50</v>
      </c>
      <c r="K491" s="31"/>
      <c r="L491" s="31"/>
      <c r="M491" s="31"/>
      <c r="N491" s="31"/>
      <c r="O491" s="31"/>
      <c r="P491" s="31"/>
      <c r="Q491" s="31"/>
      <c r="R491" s="31"/>
      <c r="S491" s="31"/>
      <c r="T491" s="31"/>
    </row>
    <row r="492" spans="1:20" ht="15.75">
      <c r="A492" s="11">
        <v>56096</v>
      </c>
      <c r="B492" s="39">
        <v>31</v>
      </c>
      <c r="C492" s="30">
        <v>194.20500000000001</v>
      </c>
      <c r="D492" s="30">
        <v>267.46600000000001</v>
      </c>
      <c r="E492" s="36">
        <v>812.32899999999995</v>
      </c>
      <c r="F492" s="30">
        <v>1274</v>
      </c>
      <c r="G492" s="30">
        <v>50</v>
      </c>
      <c r="H492" s="38">
        <v>600</v>
      </c>
      <c r="I492" s="30">
        <v>695</v>
      </c>
      <c r="J492" s="30">
        <v>0</v>
      </c>
      <c r="K492" s="31"/>
      <c r="L492" s="31"/>
      <c r="M492" s="31"/>
      <c r="N492" s="31"/>
      <c r="O492" s="31"/>
      <c r="P492" s="31"/>
      <c r="Q492" s="31"/>
      <c r="R492" s="31"/>
      <c r="S492" s="31"/>
      <c r="T492" s="31"/>
    </row>
    <row r="493" spans="1:20" ht="15.75">
      <c r="A493" s="11">
        <v>56127</v>
      </c>
      <c r="B493" s="39">
        <v>31</v>
      </c>
      <c r="C493" s="30">
        <v>194.20500000000001</v>
      </c>
      <c r="D493" s="30">
        <v>267.46600000000001</v>
      </c>
      <c r="E493" s="36">
        <v>812.32899999999995</v>
      </c>
      <c r="F493" s="30">
        <v>1274</v>
      </c>
      <c r="G493" s="30">
        <v>50</v>
      </c>
      <c r="H493" s="38">
        <v>600</v>
      </c>
      <c r="I493" s="30">
        <v>695</v>
      </c>
      <c r="J493" s="30">
        <v>0</v>
      </c>
      <c r="K493" s="31"/>
      <c r="L493" s="31"/>
      <c r="M493" s="31"/>
      <c r="N493" s="31"/>
      <c r="O493" s="31"/>
      <c r="P493" s="31"/>
      <c r="Q493" s="31"/>
      <c r="R493" s="31"/>
      <c r="S493" s="31"/>
      <c r="T493" s="31"/>
    </row>
    <row r="494" spans="1:20" ht="15.75">
      <c r="A494" s="11">
        <v>56157</v>
      </c>
      <c r="B494" s="39">
        <v>30</v>
      </c>
      <c r="C494" s="30">
        <v>194.20500000000001</v>
      </c>
      <c r="D494" s="30">
        <v>267.46600000000001</v>
      </c>
      <c r="E494" s="36">
        <v>812.32899999999995</v>
      </c>
      <c r="F494" s="30">
        <v>1274</v>
      </c>
      <c r="G494" s="30">
        <v>50</v>
      </c>
      <c r="H494" s="38">
        <v>600</v>
      </c>
      <c r="I494" s="30">
        <v>695</v>
      </c>
      <c r="J494" s="30">
        <v>0</v>
      </c>
      <c r="K494" s="31"/>
      <c r="L494" s="31"/>
      <c r="M494" s="31"/>
      <c r="N494" s="31"/>
      <c r="O494" s="31"/>
      <c r="P494" s="31"/>
      <c r="Q494" s="31"/>
      <c r="R494" s="31"/>
      <c r="S494" s="31"/>
      <c r="T494" s="31"/>
    </row>
    <row r="495" spans="1:20" ht="15.75">
      <c r="A495" s="11">
        <v>56188</v>
      </c>
      <c r="B495" s="39">
        <v>31</v>
      </c>
      <c r="C495" s="30">
        <v>131.881</v>
      </c>
      <c r="D495" s="30">
        <v>277.16699999999997</v>
      </c>
      <c r="E495" s="36">
        <v>829.952</v>
      </c>
      <c r="F495" s="30">
        <v>1239</v>
      </c>
      <c r="G495" s="30">
        <v>75</v>
      </c>
      <c r="H495" s="38">
        <v>600</v>
      </c>
      <c r="I495" s="30">
        <v>695</v>
      </c>
      <c r="J495" s="30">
        <v>0</v>
      </c>
      <c r="K495" s="31"/>
      <c r="L495" s="31"/>
      <c r="M495" s="31"/>
      <c r="N495" s="31"/>
      <c r="O495" s="31"/>
      <c r="P495" s="31"/>
      <c r="Q495" s="31"/>
      <c r="R495" s="31"/>
      <c r="S495" s="31"/>
      <c r="T495" s="31"/>
    </row>
    <row r="496" spans="1:20" ht="15.75">
      <c r="A496" s="11">
        <v>56218</v>
      </c>
      <c r="B496" s="39">
        <v>30</v>
      </c>
      <c r="C496" s="30">
        <v>122.58</v>
      </c>
      <c r="D496" s="30">
        <v>297.94099999999997</v>
      </c>
      <c r="E496" s="36">
        <v>729.47900000000004</v>
      </c>
      <c r="F496" s="30">
        <v>1150</v>
      </c>
      <c r="G496" s="30">
        <v>100</v>
      </c>
      <c r="H496" s="38">
        <v>600</v>
      </c>
      <c r="I496" s="30">
        <v>695</v>
      </c>
      <c r="J496" s="30">
        <v>50</v>
      </c>
      <c r="K496" s="31"/>
      <c r="L496" s="31"/>
      <c r="M496" s="31"/>
      <c r="N496" s="31"/>
      <c r="O496" s="31"/>
      <c r="P496" s="31"/>
      <c r="Q496" s="31"/>
      <c r="R496" s="31"/>
      <c r="S496" s="31"/>
      <c r="T496" s="31"/>
    </row>
    <row r="497" spans="1:20" ht="15.75">
      <c r="A497" s="11">
        <v>56249</v>
      </c>
      <c r="B497" s="39">
        <v>31</v>
      </c>
      <c r="C497" s="30">
        <v>122.58</v>
      </c>
      <c r="D497" s="30">
        <v>297.94099999999997</v>
      </c>
      <c r="E497" s="36">
        <v>729.47900000000004</v>
      </c>
      <c r="F497" s="30">
        <v>1150</v>
      </c>
      <c r="G497" s="30">
        <v>100</v>
      </c>
      <c r="H497" s="38">
        <v>600</v>
      </c>
      <c r="I497" s="30">
        <v>695</v>
      </c>
      <c r="J497" s="30">
        <v>50</v>
      </c>
      <c r="K497" s="31"/>
      <c r="L497" s="31"/>
      <c r="M497" s="31"/>
      <c r="N497" s="31"/>
      <c r="O497" s="31"/>
      <c r="P497" s="31"/>
      <c r="Q497" s="31"/>
      <c r="R497" s="31"/>
      <c r="S497" s="31"/>
      <c r="T497" s="31"/>
    </row>
    <row r="498" spans="1:20" ht="15.75">
      <c r="A498" s="11">
        <v>56280</v>
      </c>
      <c r="B498" s="39">
        <v>31</v>
      </c>
      <c r="C498" s="30">
        <v>122.58</v>
      </c>
      <c r="D498" s="30">
        <v>297.94099999999997</v>
      </c>
      <c r="E498" s="36">
        <v>729.47900000000004</v>
      </c>
      <c r="F498" s="30">
        <v>1150</v>
      </c>
      <c r="G498" s="30">
        <v>100</v>
      </c>
      <c r="H498" s="38">
        <v>600</v>
      </c>
      <c r="I498" s="30">
        <v>695</v>
      </c>
      <c r="J498" s="30">
        <v>50</v>
      </c>
      <c r="K498" s="31"/>
      <c r="L498" s="31"/>
      <c r="M498" s="31"/>
      <c r="N498" s="31"/>
      <c r="O498" s="31"/>
      <c r="P498" s="31"/>
      <c r="Q498" s="31"/>
      <c r="R498" s="31"/>
      <c r="S498" s="31"/>
      <c r="T498" s="31"/>
    </row>
    <row r="499" spans="1:20" ht="15.75">
      <c r="A499" s="11">
        <v>56308</v>
      </c>
      <c r="B499" s="39">
        <v>28</v>
      </c>
      <c r="C499" s="30">
        <v>122.58</v>
      </c>
      <c r="D499" s="30">
        <v>297.94099999999997</v>
      </c>
      <c r="E499" s="36">
        <v>729.47900000000004</v>
      </c>
      <c r="F499" s="30">
        <v>1150</v>
      </c>
      <c r="G499" s="30">
        <v>100</v>
      </c>
      <c r="H499" s="38">
        <v>600</v>
      </c>
      <c r="I499" s="30">
        <v>695</v>
      </c>
      <c r="J499" s="30">
        <v>50</v>
      </c>
      <c r="K499" s="31"/>
      <c r="L499" s="31"/>
      <c r="M499" s="31"/>
      <c r="N499" s="31"/>
      <c r="O499" s="31"/>
      <c r="P499" s="31"/>
      <c r="Q499" s="31"/>
      <c r="R499" s="31"/>
      <c r="S499" s="31"/>
      <c r="T499" s="31"/>
    </row>
    <row r="500" spans="1:20" ht="15.75">
      <c r="A500" s="11">
        <v>56339</v>
      </c>
      <c r="B500" s="39">
        <v>31</v>
      </c>
      <c r="C500" s="30">
        <v>122.58</v>
      </c>
      <c r="D500" s="30">
        <v>297.94099999999997</v>
      </c>
      <c r="E500" s="36">
        <v>729.47900000000004</v>
      </c>
      <c r="F500" s="30">
        <v>1150</v>
      </c>
      <c r="G500" s="30">
        <v>100</v>
      </c>
      <c r="H500" s="38">
        <v>600</v>
      </c>
      <c r="I500" s="30">
        <v>695</v>
      </c>
      <c r="J500" s="30">
        <v>50</v>
      </c>
      <c r="K500" s="31"/>
      <c r="L500" s="31"/>
      <c r="M500" s="31"/>
      <c r="N500" s="31"/>
      <c r="O500" s="31"/>
      <c r="P500" s="31"/>
      <c r="Q500" s="31"/>
      <c r="R500" s="31"/>
      <c r="S500" s="31"/>
      <c r="T500" s="31"/>
    </row>
    <row r="501" spans="1:20" ht="15.75">
      <c r="A501" s="11">
        <v>56369</v>
      </c>
      <c r="B501" s="39">
        <v>30</v>
      </c>
      <c r="C501" s="30">
        <v>141.29300000000001</v>
      </c>
      <c r="D501" s="30">
        <v>267.99299999999999</v>
      </c>
      <c r="E501" s="36">
        <v>829.71400000000006</v>
      </c>
      <c r="F501" s="30">
        <v>1239</v>
      </c>
      <c r="G501" s="30">
        <v>100</v>
      </c>
      <c r="H501" s="38">
        <v>600</v>
      </c>
      <c r="I501" s="30">
        <v>695</v>
      </c>
      <c r="J501" s="30">
        <v>50</v>
      </c>
      <c r="K501" s="31"/>
      <c r="L501" s="31"/>
      <c r="M501" s="31"/>
      <c r="N501" s="31"/>
      <c r="O501" s="31"/>
      <c r="P501" s="31"/>
      <c r="Q501" s="31"/>
      <c r="R501" s="31"/>
      <c r="S501" s="31"/>
      <c r="T501" s="31"/>
    </row>
    <row r="502" spans="1:20" ht="15.75">
      <c r="A502" s="11">
        <v>56400</v>
      </c>
      <c r="B502" s="39">
        <v>31</v>
      </c>
      <c r="C502" s="30">
        <v>194.20500000000001</v>
      </c>
      <c r="D502" s="30">
        <v>267.46600000000001</v>
      </c>
      <c r="E502" s="36">
        <v>812.32899999999995</v>
      </c>
      <c r="F502" s="30">
        <v>1274</v>
      </c>
      <c r="G502" s="30">
        <v>75</v>
      </c>
      <c r="H502" s="38">
        <v>600</v>
      </c>
      <c r="I502" s="30">
        <v>695</v>
      </c>
      <c r="J502" s="30">
        <v>50</v>
      </c>
      <c r="K502" s="31"/>
      <c r="L502" s="31"/>
      <c r="M502" s="31"/>
      <c r="N502" s="31"/>
      <c r="O502" s="31"/>
      <c r="P502" s="31"/>
      <c r="Q502" s="31"/>
      <c r="R502" s="31"/>
      <c r="S502" s="31"/>
      <c r="T502" s="31"/>
    </row>
    <row r="503" spans="1:20" ht="15.75">
      <c r="A503" s="11">
        <v>56430</v>
      </c>
      <c r="B503" s="39">
        <v>30</v>
      </c>
      <c r="C503" s="30">
        <v>194.20500000000001</v>
      </c>
      <c r="D503" s="30">
        <v>267.46600000000001</v>
      </c>
      <c r="E503" s="36">
        <v>812.32899999999995</v>
      </c>
      <c r="F503" s="30">
        <v>1274</v>
      </c>
      <c r="G503" s="30">
        <v>50</v>
      </c>
      <c r="H503" s="38">
        <v>600</v>
      </c>
      <c r="I503" s="30">
        <v>695</v>
      </c>
      <c r="J503" s="30">
        <v>50</v>
      </c>
      <c r="K503" s="31"/>
      <c r="L503" s="31"/>
      <c r="M503" s="31"/>
      <c r="N503" s="31"/>
      <c r="O503" s="31"/>
      <c r="P503" s="31"/>
      <c r="Q503" s="31"/>
      <c r="R503" s="31"/>
      <c r="S503" s="31"/>
      <c r="T503" s="31"/>
    </row>
    <row r="504" spans="1:20" ht="15.75">
      <c r="A504" s="11">
        <v>56461</v>
      </c>
      <c r="B504" s="39">
        <v>31</v>
      </c>
      <c r="C504" s="30">
        <v>194.20500000000001</v>
      </c>
      <c r="D504" s="30">
        <v>267.46600000000001</v>
      </c>
      <c r="E504" s="36">
        <v>812.32899999999995</v>
      </c>
      <c r="F504" s="30">
        <v>1274</v>
      </c>
      <c r="G504" s="30">
        <v>50</v>
      </c>
      <c r="H504" s="38">
        <v>600</v>
      </c>
      <c r="I504" s="30">
        <v>695</v>
      </c>
      <c r="J504" s="30">
        <v>0</v>
      </c>
      <c r="K504" s="31"/>
      <c r="L504" s="31"/>
      <c r="M504" s="31"/>
      <c r="N504" s="31"/>
      <c r="O504" s="31"/>
      <c r="P504" s="31"/>
      <c r="Q504" s="31"/>
      <c r="R504" s="31"/>
      <c r="S504" s="31"/>
      <c r="T504" s="31"/>
    </row>
    <row r="505" spans="1:20" ht="15.75">
      <c r="A505" s="11">
        <v>56492</v>
      </c>
      <c r="B505" s="39">
        <v>31</v>
      </c>
      <c r="C505" s="30">
        <v>194.20500000000001</v>
      </c>
      <c r="D505" s="30">
        <v>267.46600000000001</v>
      </c>
      <c r="E505" s="36">
        <v>812.32899999999995</v>
      </c>
      <c r="F505" s="30">
        <v>1274</v>
      </c>
      <c r="G505" s="30">
        <v>50</v>
      </c>
      <c r="H505" s="38">
        <v>600</v>
      </c>
      <c r="I505" s="30">
        <v>695</v>
      </c>
      <c r="J505" s="30">
        <v>0</v>
      </c>
      <c r="K505" s="31"/>
      <c r="L505" s="31"/>
      <c r="M505" s="31"/>
      <c r="N505" s="31"/>
      <c r="O505" s="31"/>
      <c r="P505" s="31"/>
      <c r="Q505" s="31"/>
      <c r="R505" s="31"/>
      <c r="S505" s="31"/>
      <c r="T505" s="31"/>
    </row>
    <row r="506" spans="1:20" ht="15.75">
      <c r="A506" s="11">
        <v>56522</v>
      </c>
      <c r="B506" s="39">
        <v>30</v>
      </c>
      <c r="C506" s="30">
        <v>194.20500000000001</v>
      </c>
      <c r="D506" s="30">
        <v>267.46600000000001</v>
      </c>
      <c r="E506" s="36">
        <v>812.32899999999995</v>
      </c>
      <c r="F506" s="30">
        <v>1274</v>
      </c>
      <c r="G506" s="30">
        <v>50</v>
      </c>
      <c r="H506" s="38">
        <v>600</v>
      </c>
      <c r="I506" s="30">
        <v>695</v>
      </c>
      <c r="J506" s="30">
        <v>0</v>
      </c>
      <c r="K506" s="31"/>
      <c r="L506" s="31"/>
      <c r="M506" s="31"/>
      <c r="N506" s="31"/>
      <c r="O506" s="31"/>
      <c r="P506" s="31"/>
      <c r="Q506" s="31"/>
      <c r="R506" s="31"/>
      <c r="S506" s="31"/>
      <c r="T506" s="31"/>
    </row>
    <row r="507" spans="1:20" ht="15.75">
      <c r="A507" s="11">
        <v>56553</v>
      </c>
      <c r="B507" s="39">
        <v>31</v>
      </c>
      <c r="C507" s="30">
        <v>131.881</v>
      </c>
      <c r="D507" s="30">
        <v>277.16699999999997</v>
      </c>
      <c r="E507" s="36">
        <v>829.952</v>
      </c>
      <c r="F507" s="30">
        <v>1239</v>
      </c>
      <c r="G507" s="30">
        <v>75</v>
      </c>
      <c r="H507" s="38">
        <v>600</v>
      </c>
      <c r="I507" s="30">
        <v>695</v>
      </c>
      <c r="J507" s="30">
        <v>0</v>
      </c>
      <c r="K507" s="31"/>
      <c r="L507" s="31"/>
      <c r="M507" s="31"/>
      <c r="N507" s="31"/>
      <c r="O507" s="31"/>
      <c r="P507" s="31"/>
      <c r="Q507" s="31"/>
      <c r="R507" s="31"/>
      <c r="S507" s="31"/>
      <c r="T507" s="31"/>
    </row>
    <row r="508" spans="1:20" ht="15.75">
      <c r="A508" s="11">
        <v>56583</v>
      </c>
      <c r="B508" s="39">
        <v>30</v>
      </c>
      <c r="C508" s="30">
        <v>122.58</v>
      </c>
      <c r="D508" s="30">
        <v>297.94099999999997</v>
      </c>
      <c r="E508" s="36">
        <v>729.47900000000004</v>
      </c>
      <c r="F508" s="30">
        <v>1150</v>
      </c>
      <c r="G508" s="30">
        <v>100</v>
      </c>
      <c r="H508" s="38">
        <v>600</v>
      </c>
      <c r="I508" s="30">
        <v>695</v>
      </c>
      <c r="J508" s="30">
        <v>50</v>
      </c>
      <c r="K508" s="31"/>
      <c r="L508" s="31"/>
      <c r="M508" s="31"/>
      <c r="N508" s="31"/>
      <c r="O508" s="31"/>
      <c r="P508" s="31"/>
      <c r="Q508" s="31"/>
      <c r="R508" s="31"/>
      <c r="S508" s="31"/>
      <c r="T508" s="31"/>
    </row>
    <row r="509" spans="1:20" ht="15.75">
      <c r="A509" s="11">
        <v>56614</v>
      </c>
      <c r="B509" s="39">
        <v>31</v>
      </c>
      <c r="C509" s="30">
        <v>122.58</v>
      </c>
      <c r="D509" s="30">
        <v>297.94099999999997</v>
      </c>
      <c r="E509" s="36">
        <v>729.47900000000004</v>
      </c>
      <c r="F509" s="30">
        <v>1150</v>
      </c>
      <c r="G509" s="30">
        <v>100</v>
      </c>
      <c r="H509" s="38">
        <v>600</v>
      </c>
      <c r="I509" s="30">
        <v>695</v>
      </c>
      <c r="J509" s="30">
        <v>50</v>
      </c>
      <c r="K509" s="31"/>
      <c r="L509" s="31"/>
      <c r="M509" s="31"/>
      <c r="N509" s="31"/>
      <c r="O509" s="31"/>
      <c r="P509" s="31"/>
      <c r="Q509" s="31"/>
      <c r="R509" s="31"/>
      <c r="S509" s="31"/>
      <c r="T509" s="31"/>
    </row>
    <row r="510" spans="1:20" ht="15.75">
      <c r="A510" s="11">
        <v>56645</v>
      </c>
      <c r="B510" s="39">
        <v>31</v>
      </c>
      <c r="C510" s="30">
        <v>122.58</v>
      </c>
      <c r="D510" s="30">
        <v>297.94099999999997</v>
      </c>
      <c r="E510" s="36">
        <v>729.47900000000004</v>
      </c>
      <c r="F510" s="30">
        <v>1150</v>
      </c>
      <c r="G510" s="30">
        <v>100</v>
      </c>
      <c r="H510" s="38">
        <v>600</v>
      </c>
      <c r="I510" s="30">
        <v>695</v>
      </c>
      <c r="J510" s="30">
        <v>50</v>
      </c>
      <c r="K510" s="31"/>
      <c r="L510" s="31"/>
      <c r="M510" s="31"/>
      <c r="N510" s="31"/>
      <c r="O510" s="31"/>
      <c r="P510" s="31"/>
      <c r="Q510" s="31"/>
      <c r="R510" s="31"/>
      <c r="S510" s="31"/>
      <c r="T510" s="31"/>
    </row>
    <row r="511" spans="1:20" ht="15.75">
      <c r="A511" s="11">
        <v>56673</v>
      </c>
      <c r="B511" s="39">
        <v>28</v>
      </c>
      <c r="C511" s="30">
        <v>122.58</v>
      </c>
      <c r="D511" s="30">
        <v>297.94099999999997</v>
      </c>
      <c r="E511" s="36">
        <v>729.47900000000004</v>
      </c>
      <c r="F511" s="30">
        <v>1150</v>
      </c>
      <c r="G511" s="30">
        <v>100</v>
      </c>
      <c r="H511" s="38">
        <v>600</v>
      </c>
      <c r="I511" s="30">
        <v>695</v>
      </c>
      <c r="J511" s="30">
        <v>50</v>
      </c>
      <c r="K511" s="31"/>
      <c r="L511" s="31"/>
      <c r="M511" s="31"/>
      <c r="N511" s="31"/>
      <c r="O511" s="31"/>
      <c r="P511" s="31"/>
      <c r="Q511" s="31"/>
      <c r="R511" s="31"/>
      <c r="S511" s="31"/>
      <c r="T511" s="31"/>
    </row>
    <row r="512" spans="1:20" ht="15.75">
      <c r="A512" s="11">
        <v>56704</v>
      </c>
      <c r="B512" s="39">
        <v>31</v>
      </c>
      <c r="C512" s="30">
        <v>122.58</v>
      </c>
      <c r="D512" s="30">
        <v>297.94099999999997</v>
      </c>
      <c r="E512" s="36">
        <v>729.47900000000004</v>
      </c>
      <c r="F512" s="30">
        <v>1150</v>
      </c>
      <c r="G512" s="30">
        <v>100</v>
      </c>
      <c r="H512" s="38">
        <v>600</v>
      </c>
      <c r="I512" s="30">
        <v>695</v>
      </c>
      <c r="J512" s="30">
        <v>50</v>
      </c>
      <c r="K512" s="31"/>
      <c r="L512" s="31"/>
      <c r="M512" s="31"/>
      <c r="N512" s="31"/>
      <c r="O512" s="31"/>
      <c r="P512" s="31"/>
      <c r="Q512" s="31"/>
      <c r="R512" s="31"/>
      <c r="S512" s="31"/>
      <c r="T512" s="31"/>
    </row>
    <row r="513" spans="1:20" ht="15.75">
      <c r="A513" s="11">
        <v>56734</v>
      </c>
      <c r="B513" s="39">
        <v>30</v>
      </c>
      <c r="C513" s="30">
        <v>141.29300000000001</v>
      </c>
      <c r="D513" s="30">
        <v>267.99299999999999</v>
      </c>
      <c r="E513" s="36">
        <v>829.71400000000006</v>
      </c>
      <c r="F513" s="30">
        <v>1239</v>
      </c>
      <c r="G513" s="30">
        <v>100</v>
      </c>
      <c r="H513" s="38">
        <v>600</v>
      </c>
      <c r="I513" s="30">
        <v>695</v>
      </c>
      <c r="J513" s="30">
        <v>50</v>
      </c>
      <c r="K513" s="31"/>
      <c r="L513" s="31"/>
      <c r="M513" s="31"/>
      <c r="N513" s="31"/>
      <c r="O513" s="31"/>
      <c r="P513" s="31"/>
      <c r="Q513" s="31"/>
      <c r="R513" s="31"/>
      <c r="S513" s="31"/>
      <c r="T513" s="31"/>
    </row>
    <row r="514" spans="1:20" ht="15.75">
      <c r="A514" s="11">
        <v>56765</v>
      </c>
      <c r="B514" s="39">
        <v>31</v>
      </c>
      <c r="C514" s="30">
        <v>194.20500000000001</v>
      </c>
      <c r="D514" s="30">
        <v>267.46600000000001</v>
      </c>
      <c r="E514" s="36">
        <v>812.32899999999995</v>
      </c>
      <c r="F514" s="30">
        <v>1274</v>
      </c>
      <c r="G514" s="30">
        <v>75</v>
      </c>
      <c r="H514" s="38">
        <v>600</v>
      </c>
      <c r="I514" s="30">
        <v>695</v>
      </c>
      <c r="J514" s="30">
        <v>50</v>
      </c>
      <c r="K514" s="31"/>
      <c r="L514" s="31"/>
      <c r="M514" s="31"/>
      <c r="N514" s="31"/>
      <c r="O514" s="31"/>
      <c r="P514" s="31"/>
      <c r="Q514" s="31"/>
      <c r="R514" s="31"/>
      <c r="S514" s="31"/>
      <c r="T514" s="31"/>
    </row>
    <row r="515" spans="1:20" ht="15.75">
      <c r="A515" s="11">
        <v>56795</v>
      </c>
      <c r="B515" s="39">
        <v>30</v>
      </c>
      <c r="C515" s="30">
        <v>194.20500000000001</v>
      </c>
      <c r="D515" s="30">
        <v>267.46600000000001</v>
      </c>
      <c r="E515" s="36">
        <v>812.32899999999995</v>
      </c>
      <c r="F515" s="30">
        <v>1274</v>
      </c>
      <c r="G515" s="30">
        <v>50</v>
      </c>
      <c r="H515" s="38">
        <v>600</v>
      </c>
      <c r="I515" s="30">
        <v>695</v>
      </c>
      <c r="J515" s="30">
        <v>50</v>
      </c>
      <c r="K515" s="31"/>
      <c r="L515" s="31"/>
      <c r="M515" s="31"/>
      <c r="N515" s="31"/>
      <c r="O515" s="31"/>
      <c r="P515" s="31"/>
      <c r="Q515" s="31"/>
      <c r="R515" s="31"/>
      <c r="S515" s="31"/>
      <c r="T515" s="31"/>
    </row>
    <row r="516" spans="1:20" ht="15.75">
      <c r="A516" s="11">
        <v>56826</v>
      </c>
      <c r="B516" s="39">
        <v>31</v>
      </c>
      <c r="C516" s="30">
        <v>194.20500000000001</v>
      </c>
      <c r="D516" s="30">
        <v>267.46600000000001</v>
      </c>
      <c r="E516" s="36">
        <v>812.32899999999995</v>
      </c>
      <c r="F516" s="30">
        <v>1274</v>
      </c>
      <c r="G516" s="30">
        <v>50</v>
      </c>
      <c r="H516" s="38">
        <v>600</v>
      </c>
      <c r="I516" s="30">
        <v>695</v>
      </c>
      <c r="J516" s="30">
        <v>0</v>
      </c>
      <c r="K516" s="31"/>
      <c r="L516" s="31"/>
      <c r="M516" s="31"/>
      <c r="N516" s="31"/>
      <c r="O516" s="31"/>
      <c r="P516" s="31"/>
      <c r="Q516" s="31"/>
      <c r="R516" s="31"/>
      <c r="S516" s="31"/>
      <c r="T516" s="31"/>
    </row>
    <row r="517" spans="1:20" ht="15.75">
      <c r="A517" s="11">
        <v>56857</v>
      </c>
      <c r="B517" s="39">
        <v>31</v>
      </c>
      <c r="C517" s="30">
        <v>194.20500000000001</v>
      </c>
      <c r="D517" s="30">
        <v>267.46600000000001</v>
      </c>
      <c r="E517" s="36">
        <v>812.32899999999995</v>
      </c>
      <c r="F517" s="30">
        <v>1274</v>
      </c>
      <c r="G517" s="30">
        <v>50</v>
      </c>
      <c r="H517" s="38">
        <v>600</v>
      </c>
      <c r="I517" s="30">
        <v>695</v>
      </c>
      <c r="J517" s="30">
        <v>0</v>
      </c>
      <c r="K517" s="31"/>
      <c r="L517" s="31"/>
      <c r="M517" s="31"/>
      <c r="N517" s="31"/>
      <c r="O517" s="31"/>
      <c r="P517" s="31"/>
      <c r="Q517" s="31"/>
      <c r="R517" s="31"/>
      <c r="S517" s="31"/>
      <c r="T517" s="31"/>
    </row>
    <row r="518" spans="1:20" ht="15.75">
      <c r="A518" s="11">
        <v>56887</v>
      </c>
      <c r="B518" s="39">
        <v>30</v>
      </c>
      <c r="C518" s="30">
        <v>194.20500000000001</v>
      </c>
      <c r="D518" s="30">
        <v>267.46600000000001</v>
      </c>
      <c r="E518" s="36">
        <v>812.32899999999995</v>
      </c>
      <c r="F518" s="30">
        <v>1274</v>
      </c>
      <c r="G518" s="30">
        <v>50</v>
      </c>
      <c r="H518" s="38">
        <v>600</v>
      </c>
      <c r="I518" s="30">
        <v>695</v>
      </c>
      <c r="J518" s="30">
        <v>0</v>
      </c>
      <c r="K518" s="31"/>
      <c r="L518" s="31"/>
      <c r="M518" s="31"/>
      <c r="N518" s="31"/>
      <c r="O518" s="31"/>
      <c r="P518" s="31"/>
      <c r="Q518" s="31"/>
      <c r="R518" s="31"/>
      <c r="S518" s="31"/>
      <c r="T518" s="31"/>
    </row>
    <row r="519" spans="1:20" ht="15.75">
      <c r="A519" s="11">
        <v>56918</v>
      </c>
      <c r="B519" s="39">
        <v>31</v>
      </c>
      <c r="C519" s="30">
        <v>131.881</v>
      </c>
      <c r="D519" s="30">
        <v>277.16699999999997</v>
      </c>
      <c r="E519" s="36">
        <v>829.952</v>
      </c>
      <c r="F519" s="30">
        <v>1239</v>
      </c>
      <c r="G519" s="30">
        <v>75</v>
      </c>
      <c r="H519" s="38">
        <v>600</v>
      </c>
      <c r="I519" s="30">
        <v>695</v>
      </c>
      <c r="J519" s="30">
        <v>0</v>
      </c>
      <c r="K519" s="31"/>
      <c r="L519" s="31"/>
      <c r="M519" s="31"/>
      <c r="N519" s="31"/>
      <c r="O519" s="31"/>
      <c r="P519" s="31"/>
      <c r="Q519" s="31"/>
      <c r="R519" s="31"/>
      <c r="S519" s="31"/>
      <c r="T519" s="31"/>
    </row>
    <row r="520" spans="1:20" ht="15.75">
      <c r="A520" s="11">
        <v>56948</v>
      </c>
      <c r="B520" s="39">
        <v>30</v>
      </c>
      <c r="C520" s="30">
        <v>122.58</v>
      </c>
      <c r="D520" s="30">
        <v>297.94099999999997</v>
      </c>
      <c r="E520" s="36">
        <v>729.47900000000004</v>
      </c>
      <c r="F520" s="30">
        <v>1150</v>
      </c>
      <c r="G520" s="30">
        <v>100</v>
      </c>
      <c r="H520" s="38">
        <v>600</v>
      </c>
      <c r="I520" s="30">
        <v>695</v>
      </c>
      <c r="J520" s="30">
        <v>50</v>
      </c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1:20" ht="15.75">
      <c r="A521" s="11">
        <v>56979</v>
      </c>
      <c r="B521" s="39">
        <v>31</v>
      </c>
      <c r="C521" s="30">
        <v>122.58</v>
      </c>
      <c r="D521" s="30">
        <v>297.94099999999997</v>
      </c>
      <c r="E521" s="36">
        <v>729.47900000000004</v>
      </c>
      <c r="F521" s="30">
        <v>1150</v>
      </c>
      <c r="G521" s="30">
        <v>100</v>
      </c>
      <c r="H521" s="38">
        <v>600</v>
      </c>
      <c r="I521" s="30">
        <v>695</v>
      </c>
      <c r="J521" s="30">
        <v>50</v>
      </c>
      <c r="K521" s="31"/>
      <c r="L521" s="31"/>
      <c r="M521" s="31"/>
      <c r="N521" s="31"/>
      <c r="O521" s="31"/>
      <c r="P521" s="31"/>
      <c r="Q521" s="31"/>
      <c r="R521" s="31"/>
      <c r="S521" s="31"/>
      <c r="T521" s="31"/>
    </row>
    <row r="522" spans="1:20" ht="15.75">
      <c r="A522" s="11">
        <v>57010</v>
      </c>
      <c r="B522" s="39">
        <v>31</v>
      </c>
      <c r="C522" s="30">
        <v>122.58</v>
      </c>
      <c r="D522" s="30">
        <v>297.94099999999997</v>
      </c>
      <c r="E522" s="36">
        <v>729.47900000000004</v>
      </c>
      <c r="F522" s="30">
        <v>1150</v>
      </c>
      <c r="G522" s="30">
        <v>100</v>
      </c>
      <c r="H522" s="38">
        <v>600</v>
      </c>
      <c r="I522" s="30">
        <v>695</v>
      </c>
      <c r="J522" s="30">
        <v>50</v>
      </c>
      <c r="K522" s="31"/>
      <c r="L522" s="31"/>
      <c r="M522" s="31"/>
      <c r="N522" s="31"/>
      <c r="O522" s="31"/>
      <c r="P522" s="31"/>
      <c r="Q522" s="31"/>
      <c r="R522" s="31"/>
      <c r="S522" s="31"/>
      <c r="T522" s="31"/>
    </row>
    <row r="523" spans="1:20" ht="15.75">
      <c r="A523" s="11">
        <v>57038</v>
      </c>
      <c r="B523" s="39">
        <v>29</v>
      </c>
      <c r="C523" s="30">
        <v>122.58</v>
      </c>
      <c r="D523" s="30">
        <v>297.94099999999997</v>
      </c>
      <c r="E523" s="36">
        <v>729.47900000000004</v>
      </c>
      <c r="F523" s="30">
        <v>1150</v>
      </c>
      <c r="G523" s="30">
        <v>100</v>
      </c>
      <c r="H523" s="38">
        <v>600</v>
      </c>
      <c r="I523" s="30">
        <v>695</v>
      </c>
      <c r="J523" s="30">
        <v>50</v>
      </c>
      <c r="K523" s="31"/>
      <c r="L523" s="31"/>
      <c r="M523" s="31"/>
      <c r="N523" s="31"/>
      <c r="O523" s="31"/>
      <c r="P523" s="31"/>
      <c r="Q523" s="31"/>
      <c r="R523" s="31"/>
      <c r="S523" s="31"/>
      <c r="T523" s="31"/>
    </row>
    <row r="524" spans="1:20" ht="15.75">
      <c r="A524" s="11">
        <v>57070</v>
      </c>
      <c r="B524" s="39">
        <v>31</v>
      </c>
      <c r="C524" s="30">
        <v>122.58</v>
      </c>
      <c r="D524" s="30">
        <v>297.94099999999997</v>
      </c>
      <c r="E524" s="36">
        <v>729.47900000000004</v>
      </c>
      <c r="F524" s="30">
        <v>1150</v>
      </c>
      <c r="G524" s="30">
        <v>100</v>
      </c>
      <c r="H524" s="38">
        <v>600</v>
      </c>
      <c r="I524" s="30">
        <v>695</v>
      </c>
      <c r="J524" s="30">
        <v>50</v>
      </c>
      <c r="K524" s="31"/>
      <c r="L524" s="31"/>
      <c r="M524" s="31"/>
      <c r="N524" s="31"/>
      <c r="O524" s="31"/>
      <c r="P524" s="31"/>
      <c r="Q524" s="31"/>
      <c r="R524" s="31"/>
      <c r="S524" s="31"/>
      <c r="T524" s="31"/>
    </row>
    <row r="525" spans="1:20" ht="15.75">
      <c r="A525" s="11">
        <v>57100</v>
      </c>
      <c r="B525" s="39">
        <v>30</v>
      </c>
      <c r="C525" s="30">
        <v>141.29300000000001</v>
      </c>
      <c r="D525" s="30">
        <v>267.99299999999999</v>
      </c>
      <c r="E525" s="36">
        <v>829.71400000000006</v>
      </c>
      <c r="F525" s="30">
        <v>1239</v>
      </c>
      <c r="G525" s="30">
        <v>100</v>
      </c>
      <c r="H525" s="38">
        <v>600</v>
      </c>
      <c r="I525" s="30">
        <v>695</v>
      </c>
      <c r="J525" s="30">
        <v>50</v>
      </c>
      <c r="K525" s="31"/>
      <c r="L525" s="31"/>
      <c r="M525" s="31"/>
      <c r="N525" s="31"/>
      <c r="O525" s="31"/>
      <c r="P525" s="31"/>
      <c r="Q525" s="31"/>
      <c r="R525" s="31"/>
      <c r="S525" s="31"/>
      <c r="T525" s="31"/>
    </row>
    <row r="526" spans="1:20" ht="15.75">
      <c r="A526" s="11">
        <v>57131</v>
      </c>
      <c r="B526" s="39">
        <v>31</v>
      </c>
      <c r="C526" s="30">
        <v>194.20500000000001</v>
      </c>
      <c r="D526" s="30">
        <v>267.46600000000001</v>
      </c>
      <c r="E526" s="36">
        <v>812.32899999999995</v>
      </c>
      <c r="F526" s="30">
        <v>1274</v>
      </c>
      <c r="G526" s="30">
        <v>75</v>
      </c>
      <c r="H526" s="38">
        <v>600</v>
      </c>
      <c r="I526" s="30">
        <v>695</v>
      </c>
      <c r="J526" s="30">
        <v>50</v>
      </c>
      <c r="K526" s="31"/>
      <c r="L526" s="31"/>
      <c r="M526" s="31"/>
      <c r="N526" s="31"/>
      <c r="O526" s="31"/>
      <c r="P526" s="31"/>
      <c r="Q526" s="31"/>
      <c r="R526" s="31"/>
      <c r="S526" s="31"/>
      <c r="T526" s="31"/>
    </row>
    <row r="527" spans="1:20" ht="15.75">
      <c r="A527" s="11">
        <v>57161</v>
      </c>
      <c r="B527" s="39">
        <v>30</v>
      </c>
      <c r="C527" s="30">
        <v>194.20500000000001</v>
      </c>
      <c r="D527" s="30">
        <v>267.46600000000001</v>
      </c>
      <c r="E527" s="36">
        <v>812.32899999999995</v>
      </c>
      <c r="F527" s="30">
        <v>1274</v>
      </c>
      <c r="G527" s="30">
        <v>50</v>
      </c>
      <c r="H527" s="38">
        <v>600</v>
      </c>
      <c r="I527" s="30">
        <v>695</v>
      </c>
      <c r="J527" s="30">
        <v>50</v>
      </c>
      <c r="K527" s="31"/>
      <c r="L527" s="31"/>
      <c r="M527" s="31"/>
      <c r="N527" s="31"/>
      <c r="O527" s="31"/>
      <c r="P527" s="31"/>
      <c r="Q527" s="31"/>
      <c r="R527" s="31"/>
      <c r="S527" s="31"/>
      <c r="T527" s="31"/>
    </row>
    <row r="528" spans="1:20" ht="15.75">
      <c r="A528" s="11">
        <v>57192</v>
      </c>
      <c r="B528" s="39">
        <v>31</v>
      </c>
      <c r="C528" s="30">
        <v>194.20500000000001</v>
      </c>
      <c r="D528" s="30">
        <v>267.46600000000001</v>
      </c>
      <c r="E528" s="36">
        <v>812.32899999999995</v>
      </c>
      <c r="F528" s="30">
        <v>1274</v>
      </c>
      <c r="G528" s="30">
        <v>50</v>
      </c>
      <c r="H528" s="38">
        <v>600</v>
      </c>
      <c r="I528" s="30">
        <v>695</v>
      </c>
      <c r="J528" s="30">
        <v>0</v>
      </c>
      <c r="K528" s="31"/>
      <c r="L528" s="31"/>
      <c r="M528" s="31"/>
      <c r="N528" s="31"/>
      <c r="O528" s="31"/>
      <c r="P528" s="31"/>
      <c r="Q528" s="31"/>
      <c r="R528" s="31"/>
      <c r="S528" s="31"/>
      <c r="T528" s="31"/>
    </row>
    <row r="529" spans="1:20" ht="15.75">
      <c r="A529" s="11">
        <v>57223</v>
      </c>
      <c r="B529" s="39">
        <v>31</v>
      </c>
      <c r="C529" s="30">
        <v>194.20500000000001</v>
      </c>
      <c r="D529" s="30">
        <v>267.46600000000001</v>
      </c>
      <c r="E529" s="36">
        <v>812.32899999999995</v>
      </c>
      <c r="F529" s="30">
        <v>1274</v>
      </c>
      <c r="G529" s="30">
        <v>50</v>
      </c>
      <c r="H529" s="38">
        <v>600</v>
      </c>
      <c r="I529" s="30">
        <v>695</v>
      </c>
      <c r="J529" s="30">
        <v>0</v>
      </c>
      <c r="K529" s="31"/>
      <c r="L529" s="31"/>
      <c r="M529" s="31"/>
      <c r="N529" s="31"/>
      <c r="O529" s="31"/>
      <c r="P529" s="31"/>
      <c r="Q529" s="31"/>
      <c r="R529" s="31"/>
      <c r="S529" s="31"/>
      <c r="T529" s="31"/>
    </row>
    <row r="530" spans="1:20" ht="15.75">
      <c r="A530" s="11">
        <v>57253</v>
      </c>
      <c r="B530" s="39">
        <v>30</v>
      </c>
      <c r="C530" s="30">
        <v>194.20500000000001</v>
      </c>
      <c r="D530" s="30">
        <v>267.46600000000001</v>
      </c>
      <c r="E530" s="36">
        <v>812.32899999999995</v>
      </c>
      <c r="F530" s="30">
        <v>1274</v>
      </c>
      <c r="G530" s="30">
        <v>50</v>
      </c>
      <c r="H530" s="38">
        <v>600</v>
      </c>
      <c r="I530" s="30">
        <v>695</v>
      </c>
      <c r="J530" s="30">
        <v>0</v>
      </c>
      <c r="K530" s="31"/>
      <c r="L530" s="31"/>
      <c r="M530" s="31"/>
      <c r="N530" s="31"/>
      <c r="O530" s="31"/>
      <c r="P530" s="31"/>
      <c r="Q530" s="31"/>
      <c r="R530" s="31"/>
      <c r="S530" s="31"/>
      <c r="T530" s="31"/>
    </row>
    <row r="531" spans="1:20" ht="15.75">
      <c r="A531" s="11">
        <v>57284</v>
      </c>
      <c r="B531" s="39">
        <v>31</v>
      </c>
      <c r="C531" s="30">
        <v>131.881</v>
      </c>
      <c r="D531" s="30">
        <v>277.16699999999997</v>
      </c>
      <c r="E531" s="36">
        <v>829.952</v>
      </c>
      <c r="F531" s="30">
        <v>1239</v>
      </c>
      <c r="G531" s="30">
        <v>75</v>
      </c>
      <c r="H531" s="38">
        <v>600</v>
      </c>
      <c r="I531" s="30">
        <v>695</v>
      </c>
      <c r="J531" s="30">
        <v>0</v>
      </c>
      <c r="K531" s="31"/>
      <c r="L531" s="31"/>
      <c r="M531" s="31"/>
      <c r="N531" s="31"/>
      <c r="O531" s="31"/>
      <c r="P531" s="31"/>
      <c r="Q531" s="31"/>
      <c r="R531" s="31"/>
      <c r="S531" s="31"/>
      <c r="T531" s="31"/>
    </row>
    <row r="532" spans="1:20" ht="15.75">
      <c r="A532" s="11">
        <v>57314</v>
      </c>
      <c r="B532" s="39">
        <v>30</v>
      </c>
      <c r="C532" s="30">
        <v>122.58</v>
      </c>
      <c r="D532" s="30">
        <v>297.94099999999997</v>
      </c>
      <c r="E532" s="36">
        <v>729.47900000000004</v>
      </c>
      <c r="F532" s="30">
        <v>1150</v>
      </c>
      <c r="G532" s="30">
        <v>100</v>
      </c>
      <c r="H532" s="38">
        <v>600</v>
      </c>
      <c r="I532" s="30">
        <v>695</v>
      </c>
      <c r="J532" s="30">
        <v>50</v>
      </c>
      <c r="K532" s="31"/>
      <c r="L532" s="31"/>
      <c r="M532" s="31"/>
      <c r="N532" s="31"/>
      <c r="O532" s="31"/>
      <c r="P532" s="31"/>
      <c r="Q532" s="31"/>
      <c r="R532" s="31"/>
      <c r="S532" s="31"/>
      <c r="T532" s="31"/>
    </row>
    <row r="533" spans="1:20" ht="15.75">
      <c r="A533" s="11">
        <v>57345</v>
      </c>
      <c r="B533" s="39">
        <v>31</v>
      </c>
      <c r="C533" s="30">
        <v>122.58</v>
      </c>
      <c r="D533" s="30">
        <v>297.94099999999997</v>
      </c>
      <c r="E533" s="36">
        <v>729.47900000000004</v>
      </c>
      <c r="F533" s="30">
        <v>1150</v>
      </c>
      <c r="G533" s="30">
        <v>100</v>
      </c>
      <c r="H533" s="38">
        <v>600</v>
      </c>
      <c r="I533" s="30">
        <v>695</v>
      </c>
      <c r="J533" s="30">
        <v>50</v>
      </c>
      <c r="K533" s="31"/>
      <c r="L533" s="31"/>
      <c r="M533" s="31"/>
      <c r="N533" s="31"/>
      <c r="O533" s="31"/>
      <c r="P533" s="31"/>
      <c r="Q533" s="31"/>
      <c r="R533" s="31"/>
      <c r="S533" s="31"/>
      <c r="T533" s="31"/>
    </row>
    <row r="534" spans="1:20" ht="15.75">
      <c r="A534" s="11">
        <v>57376</v>
      </c>
      <c r="B534" s="39">
        <v>31</v>
      </c>
      <c r="C534" s="30">
        <v>122.58</v>
      </c>
      <c r="D534" s="30">
        <v>297.94099999999997</v>
      </c>
      <c r="E534" s="36">
        <v>729.47900000000004</v>
      </c>
      <c r="F534" s="30">
        <v>1150</v>
      </c>
      <c r="G534" s="30">
        <v>100</v>
      </c>
      <c r="H534" s="38">
        <v>600</v>
      </c>
      <c r="I534" s="30">
        <v>695</v>
      </c>
      <c r="J534" s="30">
        <v>50</v>
      </c>
      <c r="K534" s="31"/>
      <c r="L534" s="31"/>
      <c r="M534" s="31"/>
      <c r="N534" s="31"/>
      <c r="O534" s="31"/>
      <c r="P534" s="31"/>
      <c r="Q534" s="31"/>
      <c r="R534" s="31"/>
      <c r="S534" s="31"/>
      <c r="T534" s="31"/>
    </row>
    <row r="535" spans="1:20" ht="15.75">
      <c r="A535" s="11">
        <v>57404</v>
      </c>
      <c r="B535" s="39">
        <v>28</v>
      </c>
      <c r="C535" s="30">
        <v>122.58</v>
      </c>
      <c r="D535" s="30">
        <v>297.94099999999997</v>
      </c>
      <c r="E535" s="36">
        <v>729.47900000000004</v>
      </c>
      <c r="F535" s="30">
        <v>1150</v>
      </c>
      <c r="G535" s="30">
        <v>100</v>
      </c>
      <c r="H535" s="38">
        <v>600</v>
      </c>
      <c r="I535" s="30">
        <v>695</v>
      </c>
      <c r="J535" s="30">
        <v>50</v>
      </c>
      <c r="K535" s="31"/>
      <c r="L535" s="31"/>
      <c r="M535" s="31"/>
      <c r="N535" s="31"/>
      <c r="O535" s="31"/>
      <c r="P535" s="31"/>
      <c r="Q535" s="31"/>
      <c r="R535" s="31"/>
      <c r="S535" s="31"/>
      <c r="T535" s="31"/>
    </row>
    <row r="536" spans="1:20" ht="15.75">
      <c r="A536" s="11">
        <v>57435</v>
      </c>
      <c r="B536" s="39">
        <v>31</v>
      </c>
      <c r="C536" s="30">
        <v>122.58</v>
      </c>
      <c r="D536" s="30">
        <v>297.94099999999997</v>
      </c>
      <c r="E536" s="36">
        <v>729.47900000000004</v>
      </c>
      <c r="F536" s="30">
        <v>1150</v>
      </c>
      <c r="G536" s="30">
        <v>100</v>
      </c>
      <c r="H536" s="38">
        <v>600</v>
      </c>
      <c r="I536" s="30">
        <v>695</v>
      </c>
      <c r="J536" s="30">
        <v>50</v>
      </c>
      <c r="K536" s="31"/>
      <c r="L536" s="31"/>
      <c r="M536" s="31"/>
      <c r="N536" s="31"/>
      <c r="O536" s="31"/>
      <c r="P536" s="31"/>
      <c r="Q536" s="31"/>
      <c r="R536" s="31"/>
      <c r="S536" s="31"/>
      <c r="T536" s="31"/>
    </row>
    <row r="537" spans="1:20" ht="15.75">
      <c r="A537" s="11">
        <v>57465</v>
      </c>
      <c r="B537" s="39">
        <v>30</v>
      </c>
      <c r="C537" s="30">
        <v>141.29300000000001</v>
      </c>
      <c r="D537" s="30">
        <v>267.99299999999999</v>
      </c>
      <c r="E537" s="36">
        <v>829.71400000000006</v>
      </c>
      <c r="F537" s="30">
        <v>1239</v>
      </c>
      <c r="G537" s="30">
        <v>100</v>
      </c>
      <c r="H537" s="38">
        <v>600</v>
      </c>
      <c r="I537" s="30">
        <v>695</v>
      </c>
      <c r="J537" s="30">
        <v>50</v>
      </c>
      <c r="K537" s="31"/>
      <c r="L537" s="31"/>
      <c r="M537" s="31"/>
      <c r="N537" s="31"/>
      <c r="O537" s="31"/>
      <c r="P537" s="31"/>
      <c r="Q537" s="31"/>
      <c r="R537" s="31"/>
      <c r="S537" s="31"/>
      <c r="T537" s="31"/>
    </row>
    <row r="538" spans="1:20" ht="15.75">
      <c r="A538" s="11">
        <v>57496</v>
      </c>
      <c r="B538" s="39">
        <v>31</v>
      </c>
      <c r="C538" s="30">
        <v>194.20500000000001</v>
      </c>
      <c r="D538" s="30">
        <v>267.46600000000001</v>
      </c>
      <c r="E538" s="36">
        <v>812.32899999999995</v>
      </c>
      <c r="F538" s="30">
        <v>1274</v>
      </c>
      <c r="G538" s="30">
        <v>75</v>
      </c>
      <c r="H538" s="38">
        <v>600</v>
      </c>
      <c r="I538" s="30">
        <v>695</v>
      </c>
      <c r="J538" s="30">
        <v>50</v>
      </c>
      <c r="K538" s="31"/>
      <c r="L538" s="31"/>
      <c r="M538" s="31"/>
      <c r="N538" s="31"/>
      <c r="O538" s="31"/>
      <c r="P538" s="31"/>
      <c r="Q538" s="31"/>
      <c r="R538" s="31"/>
      <c r="S538" s="31"/>
      <c r="T538" s="31"/>
    </row>
    <row r="539" spans="1:20" ht="15.75">
      <c r="A539" s="11">
        <v>57526</v>
      </c>
      <c r="B539" s="39">
        <v>30</v>
      </c>
      <c r="C539" s="30">
        <v>194.20500000000001</v>
      </c>
      <c r="D539" s="30">
        <v>267.46600000000001</v>
      </c>
      <c r="E539" s="36">
        <v>812.32899999999995</v>
      </c>
      <c r="F539" s="30">
        <v>1274</v>
      </c>
      <c r="G539" s="30">
        <v>50</v>
      </c>
      <c r="H539" s="38">
        <v>600</v>
      </c>
      <c r="I539" s="30">
        <v>695</v>
      </c>
      <c r="J539" s="30">
        <v>50</v>
      </c>
      <c r="K539" s="31"/>
      <c r="L539" s="31"/>
      <c r="M539" s="31"/>
      <c r="N539" s="31"/>
      <c r="O539" s="31"/>
      <c r="P539" s="31"/>
      <c r="Q539" s="31"/>
      <c r="R539" s="31"/>
      <c r="S539" s="31"/>
      <c r="T539" s="31"/>
    </row>
    <row r="540" spans="1:20" ht="15.75">
      <c r="A540" s="11">
        <v>57557</v>
      </c>
      <c r="B540" s="39">
        <v>31</v>
      </c>
      <c r="C540" s="30">
        <v>194.20500000000001</v>
      </c>
      <c r="D540" s="30">
        <v>267.46600000000001</v>
      </c>
      <c r="E540" s="36">
        <v>812.32899999999995</v>
      </c>
      <c r="F540" s="30">
        <v>1274</v>
      </c>
      <c r="G540" s="30">
        <v>50</v>
      </c>
      <c r="H540" s="38">
        <v>600</v>
      </c>
      <c r="I540" s="30">
        <v>695</v>
      </c>
      <c r="J540" s="30">
        <v>0</v>
      </c>
      <c r="K540" s="31"/>
      <c r="L540" s="31"/>
      <c r="M540" s="31"/>
      <c r="N540" s="31"/>
      <c r="O540" s="31"/>
      <c r="P540" s="31"/>
      <c r="Q540" s="31"/>
      <c r="R540" s="31"/>
      <c r="S540" s="31"/>
      <c r="T540" s="31"/>
    </row>
    <row r="541" spans="1:20" ht="15.75">
      <c r="A541" s="11">
        <v>57588</v>
      </c>
      <c r="B541" s="39">
        <v>31</v>
      </c>
      <c r="C541" s="30">
        <v>194.20500000000001</v>
      </c>
      <c r="D541" s="30">
        <v>267.46600000000001</v>
      </c>
      <c r="E541" s="36">
        <v>812.32899999999995</v>
      </c>
      <c r="F541" s="30">
        <v>1274</v>
      </c>
      <c r="G541" s="30">
        <v>50</v>
      </c>
      <c r="H541" s="38">
        <v>600</v>
      </c>
      <c r="I541" s="30">
        <v>695</v>
      </c>
      <c r="J541" s="30">
        <v>0</v>
      </c>
      <c r="K541" s="31"/>
      <c r="L541" s="31"/>
      <c r="M541" s="31"/>
      <c r="N541" s="31"/>
      <c r="O541" s="31"/>
      <c r="P541" s="31"/>
      <c r="Q541" s="31"/>
      <c r="R541" s="31"/>
      <c r="S541" s="31"/>
      <c r="T541" s="31"/>
    </row>
    <row r="542" spans="1:20" ht="15.75">
      <c r="A542" s="11">
        <v>57618</v>
      </c>
      <c r="B542" s="39">
        <v>30</v>
      </c>
      <c r="C542" s="30">
        <v>194.20500000000001</v>
      </c>
      <c r="D542" s="30">
        <v>267.46600000000001</v>
      </c>
      <c r="E542" s="36">
        <v>812.32899999999995</v>
      </c>
      <c r="F542" s="30">
        <v>1274</v>
      </c>
      <c r="G542" s="30">
        <v>50</v>
      </c>
      <c r="H542" s="38">
        <v>600</v>
      </c>
      <c r="I542" s="30">
        <v>695</v>
      </c>
      <c r="J542" s="30">
        <v>0</v>
      </c>
      <c r="K542" s="31"/>
      <c r="L542" s="31"/>
      <c r="M542" s="31"/>
      <c r="N542" s="31"/>
      <c r="O542" s="31"/>
      <c r="P542" s="31"/>
      <c r="Q542" s="31"/>
      <c r="R542" s="31"/>
      <c r="S542" s="31"/>
      <c r="T542" s="31"/>
    </row>
    <row r="543" spans="1:20" ht="15.75">
      <c r="A543" s="11">
        <v>57649</v>
      </c>
      <c r="B543" s="39">
        <v>31</v>
      </c>
      <c r="C543" s="30">
        <v>131.881</v>
      </c>
      <c r="D543" s="30">
        <v>277.16699999999997</v>
      </c>
      <c r="E543" s="36">
        <v>829.952</v>
      </c>
      <c r="F543" s="30">
        <v>1239</v>
      </c>
      <c r="G543" s="30">
        <v>75</v>
      </c>
      <c r="H543" s="38">
        <v>600</v>
      </c>
      <c r="I543" s="30">
        <v>695</v>
      </c>
      <c r="J543" s="30">
        <v>0</v>
      </c>
      <c r="K543" s="31"/>
      <c r="L543" s="31"/>
      <c r="M543" s="31"/>
      <c r="N543" s="31"/>
      <c r="O543" s="31"/>
      <c r="P543" s="31"/>
      <c r="Q543" s="31"/>
      <c r="R543" s="31"/>
      <c r="S543" s="31"/>
      <c r="T543" s="31"/>
    </row>
    <row r="544" spans="1:20" ht="15.75">
      <c r="A544" s="11">
        <v>57679</v>
      </c>
      <c r="B544" s="39">
        <v>30</v>
      </c>
      <c r="C544" s="30">
        <v>122.58</v>
      </c>
      <c r="D544" s="30">
        <v>297.94099999999997</v>
      </c>
      <c r="E544" s="36">
        <v>729.47900000000004</v>
      </c>
      <c r="F544" s="30">
        <v>1150</v>
      </c>
      <c r="G544" s="30">
        <v>100</v>
      </c>
      <c r="H544" s="38">
        <v>600</v>
      </c>
      <c r="I544" s="30">
        <v>695</v>
      </c>
      <c r="J544" s="30">
        <v>50</v>
      </c>
      <c r="K544" s="31"/>
      <c r="L544" s="31"/>
      <c r="M544" s="31"/>
      <c r="N544" s="31"/>
      <c r="O544" s="31"/>
      <c r="P544" s="31"/>
      <c r="Q544" s="31"/>
      <c r="R544" s="31"/>
      <c r="S544" s="31"/>
      <c r="T544" s="31"/>
    </row>
    <row r="545" spans="1:20" ht="15.75">
      <c r="A545" s="11">
        <v>57710</v>
      </c>
      <c r="B545" s="39">
        <v>31</v>
      </c>
      <c r="C545" s="30">
        <v>122.58</v>
      </c>
      <c r="D545" s="30">
        <v>297.94099999999997</v>
      </c>
      <c r="E545" s="36">
        <v>729.47900000000004</v>
      </c>
      <c r="F545" s="30">
        <v>1150</v>
      </c>
      <c r="G545" s="30">
        <v>100</v>
      </c>
      <c r="H545" s="38">
        <v>600</v>
      </c>
      <c r="I545" s="30">
        <v>695</v>
      </c>
      <c r="J545" s="30">
        <v>50</v>
      </c>
      <c r="K545" s="31"/>
      <c r="L545" s="31"/>
      <c r="M545" s="31"/>
      <c r="N545" s="31"/>
      <c r="O545" s="31"/>
      <c r="P545" s="31"/>
      <c r="Q545" s="31"/>
      <c r="R545" s="31"/>
      <c r="S545" s="31"/>
      <c r="T545" s="31"/>
    </row>
    <row r="546" spans="1:20" ht="15.75">
      <c r="A546" s="11">
        <v>57741</v>
      </c>
      <c r="B546" s="39">
        <v>31</v>
      </c>
      <c r="C546" s="30">
        <v>122.58</v>
      </c>
      <c r="D546" s="30">
        <v>297.94099999999997</v>
      </c>
      <c r="E546" s="36">
        <v>729.47900000000004</v>
      </c>
      <c r="F546" s="30">
        <v>1150</v>
      </c>
      <c r="G546" s="30">
        <v>100</v>
      </c>
      <c r="H546" s="38">
        <v>600</v>
      </c>
      <c r="I546" s="30">
        <v>695</v>
      </c>
      <c r="J546" s="30">
        <v>50</v>
      </c>
      <c r="K546" s="31"/>
      <c r="L546" s="31"/>
      <c r="M546" s="31"/>
      <c r="N546" s="31"/>
      <c r="O546" s="31"/>
      <c r="P546" s="31"/>
      <c r="Q546" s="31"/>
      <c r="R546" s="31"/>
      <c r="S546" s="31"/>
      <c r="T546" s="31"/>
    </row>
    <row r="547" spans="1:20" ht="15.75">
      <c r="A547" s="11">
        <v>57769</v>
      </c>
      <c r="B547" s="39">
        <v>28</v>
      </c>
      <c r="C547" s="30">
        <v>122.58</v>
      </c>
      <c r="D547" s="30">
        <v>297.94099999999997</v>
      </c>
      <c r="E547" s="36">
        <v>729.47900000000004</v>
      </c>
      <c r="F547" s="30">
        <v>1150</v>
      </c>
      <c r="G547" s="30">
        <v>100</v>
      </c>
      <c r="H547" s="38">
        <v>600</v>
      </c>
      <c r="I547" s="30">
        <v>695</v>
      </c>
      <c r="J547" s="30">
        <v>50</v>
      </c>
      <c r="K547" s="31"/>
      <c r="L547" s="31"/>
      <c r="M547" s="31"/>
      <c r="N547" s="31"/>
      <c r="O547" s="31"/>
      <c r="P547" s="31"/>
      <c r="Q547" s="31"/>
      <c r="R547" s="31"/>
      <c r="S547" s="31"/>
      <c r="T547" s="31"/>
    </row>
    <row r="548" spans="1:20" ht="15.75">
      <c r="A548" s="11">
        <v>57800</v>
      </c>
      <c r="B548" s="39">
        <v>31</v>
      </c>
      <c r="C548" s="30">
        <v>122.58</v>
      </c>
      <c r="D548" s="30">
        <v>297.94099999999997</v>
      </c>
      <c r="E548" s="36">
        <v>729.47900000000004</v>
      </c>
      <c r="F548" s="30">
        <v>1150</v>
      </c>
      <c r="G548" s="30">
        <v>100</v>
      </c>
      <c r="H548" s="38">
        <v>600</v>
      </c>
      <c r="I548" s="30">
        <v>695</v>
      </c>
      <c r="J548" s="30">
        <v>50</v>
      </c>
      <c r="K548" s="31"/>
      <c r="L548" s="31"/>
      <c r="M548" s="31"/>
      <c r="N548" s="31"/>
      <c r="O548" s="31"/>
      <c r="P548" s="31"/>
      <c r="Q548" s="31"/>
      <c r="R548" s="31"/>
      <c r="S548" s="31"/>
      <c r="T548" s="31"/>
    </row>
    <row r="549" spans="1:20" ht="15.75">
      <c r="A549" s="11">
        <v>57830</v>
      </c>
      <c r="B549" s="39">
        <v>30</v>
      </c>
      <c r="C549" s="30">
        <v>141.29300000000001</v>
      </c>
      <c r="D549" s="30">
        <v>267.99299999999999</v>
      </c>
      <c r="E549" s="36">
        <v>829.71400000000006</v>
      </c>
      <c r="F549" s="30">
        <v>1239</v>
      </c>
      <c r="G549" s="30">
        <v>100</v>
      </c>
      <c r="H549" s="38">
        <v>600</v>
      </c>
      <c r="I549" s="30">
        <v>695</v>
      </c>
      <c r="J549" s="30">
        <v>50</v>
      </c>
      <c r="K549" s="31"/>
      <c r="L549" s="31"/>
      <c r="M549" s="31"/>
      <c r="N549" s="31"/>
      <c r="O549" s="31"/>
      <c r="P549" s="31"/>
      <c r="Q549" s="31"/>
      <c r="R549" s="31"/>
      <c r="S549" s="31"/>
      <c r="T549" s="31"/>
    </row>
    <row r="550" spans="1:20" ht="15.75">
      <c r="A550" s="11">
        <v>57861</v>
      </c>
      <c r="B550" s="39">
        <v>31</v>
      </c>
      <c r="C550" s="30">
        <v>194.20500000000001</v>
      </c>
      <c r="D550" s="30">
        <v>267.46600000000001</v>
      </c>
      <c r="E550" s="36">
        <v>812.32899999999995</v>
      </c>
      <c r="F550" s="30">
        <v>1274</v>
      </c>
      <c r="G550" s="30">
        <v>75</v>
      </c>
      <c r="H550" s="38">
        <v>600</v>
      </c>
      <c r="I550" s="30">
        <v>695</v>
      </c>
      <c r="J550" s="30">
        <v>50</v>
      </c>
      <c r="K550" s="31"/>
      <c r="L550" s="31"/>
      <c r="M550" s="31"/>
      <c r="N550" s="31"/>
      <c r="O550" s="31"/>
      <c r="P550" s="31"/>
      <c r="Q550" s="31"/>
      <c r="R550" s="31"/>
      <c r="S550" s="31"/>
      <c r="T550" s="31"/>
    </row>
    <row r="551" spans="1:20" ht="15.75">
      <c r="A551" s="11">
        <v>57891</v>
      </c>
      <c r="B551" s="39">
        <v>30</v>
      </c>
      <c r="C551" s="30">
        <v>194.20500000000001</v>
      </c>
      <c r="D551" s="30">
        <v>267.46600000000001</v>
      </c>
      <c r="E551" s="36">
        <v>812.32899999999995</v>
      </c>
      <c r="F551" s="30">
        <v>1274</v>
      </c>
      <c r="G551" s="30">
        <v>50</v>
      </c>
      <c r="H551" s="38">
        <v>600</v>
      </c>
      <c r="I551" s="30">
        <v>695</v>
      </c>
      <c r="J551" s="30">
        <v>50</v>
      </c>
      <c r="K551" s="31"/>
      <c r="L551" s="31"/>
      <c r="M551" s="31"/>
      <c r="N551" s="31"/>
      <c r="O551" s="31"/>
      <c r="P551" s="31"/>
      <c r="Q551" s="31"/>
      <c r="R551" s="31"/>
      <c r="S551" s="31"/>
      <c r="T551" s="31"/>
    </row>
    <row r="552" spans="1:20" ht="15.75">
      <c r="A552" s="11">
        <v>57922</v>
      </c>
      <c r="B552" s="39">
        <v>31</v>
      </c>
      <c r="C552" s="30">
        <v>194.20500000000001</v>
      </c>
      <c r="D552" s="30">
        <v>267.46600000000001</v>
      </c>
      <c r="E552" s="36">
        <v>812.32899999999995</v>
      </c>
      <c r="F552" s="30">
        <v>1274</v>
      </c>
      <c r="G552" s="30">
        <v>50</v>
      </c>
      <c r="H552" s="38">
        <v>600</v>
      </c>
      <c r="I552" s="30">
        <v>695</v>
      </c>
      <c r="J552" s="30">
        <v>0</v>
      </c>
      <c r="K552" s="31"/>
      <c r="L552" s="31"/>
      <c r="M552" s="31"/>
      <c r="N552" s="31"/>
      <c r="O552" s="31"/>
      <c r="P552" s="31"/>
      <c r="Q552" s="31"/>
      <c r="R552" s="31"/>
      <c r="S552" s="31"/>
      <c r="T552" s="31"/>
    </row>
    <row r="553" spans="1:20" ht="15.75">
      <c r="A553" s="11">
        <v>57953</v>
      </c>
      <c r="B553" s="39">
        <v>31</v>
      </c>
      <c r="C553" s="30">
        <v>194.20500000000001</v>
      </c>
      <c r="D553" s="30">
        <v>267.46600000000001</v>
      </c>
      <c r="E553" s="36">
        <v>812.32899999999995</v>
      </c>
      <c r="F553" s="30">
        <v>1274</v>
      </c>
      <c r="G553" s="30">
        <v>50</v>
      </c>
      <c r="H553" s="38">
        <v>600</v>
      </c>
      <c r="I553" s="30">
        <v>695</v>
      </c>
      <c r="J553" s="30">
        <v>0</v>
      </c>
      <c r="K553" s="31"/>
      <c r="L553" s="31"/>
      <c r="M553" s="31"/>
      <c r="N553" s="31"/>
      <c r="O553" s="31"/>
      <c r="P553" s="31"/>
      <c r="Q553" s="31"/>
      <c r="R553" s="31"/>
      <c r="S553" s="31"/>
      <c r="T553" s="31"/>
    </row>
    <row r="554" spans="1:20" ht="15.75">
      <c r="A554" s="11">
        <v>57983</v>
      </c>
      <c r="B554" s="39">
        <v>30</v>
      </c>
      <c r="C554" s="30">
        <v>194.20500000000001</v>
      </c>
      <c r="D554" s="30">
        <v>267.46600000000001</v>
      </c>
      <c r="E554" s="36">
        <v>812.32899999999995</v>
      </c>
      <c r="F554" s="30">
        <v>1274</v>
      </c>
      <c r="G554" s="30">
        <v>50</v>
      </c>
      <c r="H554" s="38">
        <v>600</v>
      </c>
      <c r="I554" s="30">
        <v>695</v>
      </c>
      <c r="J554" s="30">
        <v>0</v>
      </c>
      <c r="K554" s="31"/>
      <c r="L554" s="31"/>
      <c r="M554" s="31"/>
      <c r="N554" s="31"/>
      <c r="O554" s="31"/>
      <c r="P554" s="31"/>
      <c r="Q554" s="31"/>
      <c r="R554" s="31"/>
      <c r="S554" s="31"/>
      <c r="T554" s="31"/>
    </row>
    <row r="555" spans="1:20" ht="15.75">
      <c r="A555" s="11">
        <v>58014</v>
      </c>
      <c r="B555" s="39">
        <v>31</v>
      </c>
      <c r="C555" s="30">
        <v>131.881</v>
      </c>
      <c r="D555" s="30">
        <v>277.16699999999997</v>
      </c>
      <c r="E555" s="36">
        <v>829.952</v>
      </c>
      <c r="F555" s="30">
        <v>1239</v>
      </c>
      <c r="G555" s="30">
        <v>75</v>
      </c>
      <c r="H555" s="38">
        <v>600</v>
      </c>
      <c r="I555" s="30">
        <v>695</v>
      </c>
      <c r="J555" s="30">
        <v>0</v>
      </c>
      <c r="K555" s="31"/>
      <c r="L555" s="31"/>
      <c r="M555" s="31"/>
      <c r="N555" s="31"/>
      <c r="O555" s="31"/>
      <c r="P555" s="31"/>
      <c r="Q555" s="31"/>
      <c r="R555" s="31"/>
      <c r="S555" s="31"/>
      <c r="T555" s="31"/>
    </row>
    <row r="556" spans="1:20" ht="15.75">
      <c r="A556" s="11">
        <v>58044</v>
      </c>
      <c r="B556" s="39">
        <v>30</v>
      </c>
      <c r="C556" s="30">
        <v>122.58</v>
      </c>
      <c r="D556" s="30">
        <v>297.94099999999997</v>
      </c>
      <c r="E556" s="36">
        <v>729.47900000000004</v>
      </c>
      <c r="F556" s="30">
        <v>1150</v>
      </c>
      <c r="G556" s="30">
        <v>100</v>
      </c>
      <c r="H556" s="38">
        <v>600</v>
      </c>
      <c r="I556" s="30">
        <v>695</v>
      </c>
      <c r="J556" s="30">
        <v>50</v>
      </c>
      <c r="K556" s="31"/>
      <c r="L556" s="31"/>
      <c r="M556" s="31"/>
      <c r="N556" s="31"/>
      <c r="O556" s="31"/>
      <c r="P556" s="31"/>
      <c r="Q556" s="31"/>
      <c r="R556" s="31"/>
      <c r="S556" s="31"/>
      <c r="T556" s="31"/>
    </row>
    <row r="557" spans="1:20" ht="15.75">
      <c r="A557" s="11">
        <v>58075</v>
      </c>
      <c r="B557" s="39">
        <v>31</v>
      </c>
      <c r="C557" s="30">
        <v>122.58</v>
      </c>
      <c r="D557" s="30">
        <v>297.94099999999997</v>
      </c>
      <c r="E557" s="36">
        <v>729.47900000000004</v>
      </c>
      <c r="F557" s="30">
        <v>1150</v>
      </c>
      <c r="G557" s="30">
        <v>100</v>
      </c>
      <c r="H557" s="38">
        <v>600</v>
      </c>
      <c r="I557" s="30">
        <v>695</v>
      </c>
      <c r="J557" s="30">
        <v>50</v>
      </c>
      <c r="K557" s="31"/>
      <c r="L557" s="31"/>
      <c r="M557" s="31"/>
      <c r="N557" s="31"/>
      <c r="O557" s="31"/>
      <c r="P557" s="31"/>
      <c r="Q557" s="31"/>
      <c r="R557" s="31"/>
      <c r="S557" s="31"/>
      <c r="T557" s="31"/>
    </row>
    <row r="558" spans="1:20" ht="15.75">
      <c r="A558" s="11">
        <v>58106</v>
      </c>
      <c r="B558" s="39">
        <v>31</v>
      </c>
      <c r="C558" s="30">
        <v>122.58</v>
      </c>
      <c r="D558" s="30">
        <v>297.94099999999997</v>
      </c>
      <c r="E558" s="36">
        <v>729.47900000000004</v>
      </c>
      <c r="F558" s="30">
        <v>1150</v>
      </c>
      <c r="G558" s="30">
        <v>100</v>
      </c>
      <c r="H558" s="38">
        <v>600</v>
      </c>
      <c r="I558" s="30">
        <v>695</v>
      </c>
      <c r="J558" s="30">
        <v>50</v>
      </c>
      <c r="K558" s="31"/>
      <c r="L558" s="31"/>
      <c r="M558" s="31"/>
      <c r="N558" s="31"/>
      <c r="O558" s="31"/>
      <c r="P558" s="31"/>
      <c r="Q558" s="31"/>
      <c r="R558" s="31"/>
      <c r="S558" s="31"/>
      <c r="T558" s="31"/>
    </row>
    <row r="559" spans="1:20" ht="15.75">
      <c r="A559" s="11">
        <v>58134</v>
      </c>
      <c r="B559" s="39">
        <v>28</v>
      </c>
      <c r="C559" s="30">
        <v>122.58</v>
      </c>
      <c r="D559" s="30">
        <v>297.94099999999997</v>
      </c>
      <c r="E559" s="36">
        <v>729.47900000000004</v>
      </c>
      <c r="F559" s="30">
        <v>1150</v>
      </c>
      <c r="G559" s="30">
        <v>100</v>
      </c>
      <c r="H559" s="38">
        <v>600</v>
      </c>
      <c r="I559" s="30">
        <v>695</v>
      </c>
      <c r="J559" s="30">
        <v>50</v>
      </c>
      <c r="K559" s="31"/>
      <c r="L559" s="31"/>
      <c r="M559" s="31"/>
      <c r="N559" s="31"/>
      <c r="O559" s="31"/>
      <c r="P559" s="31"/>
      <c r="Q559" s="31"/>
      <c r="R559" s="31"/>
      <c r="S559" s="31"/>
      <c r="T559" s="31"/>
    </row>
    <row r="560" spans="1:20" ht="15.75">
      <c r="A560" s="11">
        <v>58165</v>
      </c>
      <c r="B560" s="39">
        <v>31</v>
      </c>
      <c r="C560" s="30">
        <v>122.58</v>
      </c>
      <c r="D560" s="30">
        <v>297.94099999999997</v>
      </c>
      <c r="E560" s="36">
        <v>729.47900000000004</v>
      </c>
      <c r="F560" s="30">
        <v>1150</v>
      </c>
      <c r="G560" s="30">
        <v>100</v>
      </c>
      <c r="H560" s="38">
        <v>600</v>
      </c>
      <c r="I560" s="30">
        <v>695</v>
      </c>
      <c r="J560" s="30">
        <v>50</v>
      </c>
      <c r="K560" s="31"/>
      <c r="L560" s="31"/>
      <c r="M560" s="31"/>
      <c r="N560" s="31"/>
      <c r="O560" s="31"/>
      <c r="P560" s="31"/>
      <c r="Q560" s="31"/>
      <c r="R560" s="31"/>
      <c r="S560" s="31"/>
      <c r="T560" s="31"/>
    </row>
    <row r="561" spans="1:20" ht="15.75">
      <c r="A561" s="11">
        <v>58195</v>
      </c>
      <c r="B561" s="39">
        <v>30</v>
      </c>
      <c r="C561" s="30">
        <v>141.29300000000001</v>
      </c>
      <c r="D561" s="30">
        <v>267.99299999999999</v>
      </c>
      <c r="E561" s="36">
        <v>829.71400000000006</v>
      </c>
      <c r="F561" s="30">
        <v>1239</v>
      </c>
      <c r="G561" s="30">
        <v>100</v>
      </c>
      <c r="H561" s="38">
        <v>600</v>
      </c>
      <c r="I561" s="30">
        <v>695</v>
      </c>
      <c r="J561" s="30">
        <v>50</v>
      </c>
      <c r="K561" s="31"/>
      <c r="L561" s="31"/>
      <c r="M561" s="31"/>
      <c r="N561" s="31"/>
      <c r="O561" s="31"/>
      <c r="P561" s="31"/>
      <c r="Q561" s="31"/>
      <c r="R561" s="31"/>
      <c r="S561" s="31"/>
      <c r="T561" s="31"/>
    </row>
    <row r="562" spans="1:20" ht="15.75">
      <c r="A562" s="11">
        <v>58226</v>
      </c>
      <c r="B562" s="39">
        <v>31</v>
      </c>
      <c r="C562" s="30">
        <v>194.20500000000001</v>
      </c>
      <c r="D562" s="30">
        <v>267.46600000000001</v>
      </c>
      <c r="E562" s="36">
        <v>812.32899999999995</v>
      </c>
      <c r="F562" s="30">
        <v>1274</v>
      </c>
      <c r="G562" s="30">
        <v>75</v>
      </c>
      <c r="H562" s="38">
        <v>600</v>
      </c>
      <c r="I562" s="30">
        <v>695</v>
      </c>
      <c r="J562" s="30">
        <v>50</v>
      </c>
      <c r="K562" s="31"/>
      <c r="L562" s="31"/>
      <c r="M562" s="31"/>
      <c r="N562" s="31"/>
      <c r="O562" s="31"/>
      <c r="P562" s="31"/>
      <c r="Q562" s="31"/>
      <c r="R562" s="31"/>
      <c r="S562" s="31"/>
      <c r="T562" s="31"/>
    </row>
    <row r="563" spans="1:20" ht="15.75">
      <c r="A563" s="11">
        <v>58256</v>
      </c>
      <c r="B563" s="39">
        <v>30</v>
      </c>
      <c r="C563" s="30">
        <v>194.20500000000001</v>
      </c>
      <c r="D563" s="30">
        <v>267.46600000000001</v>
      </c>
      <c r="E563" s="36">
        <v>812.32899999999995</v>
      </c>
      <c r="F563" s="30">
        <v>1274</v>
      </c>
      <c r="G563" s="30">
        <v>50</v>
      </c>
      <c r="H563" s="38">
        <v>600</v>
      </c>
      <c r="I563" s="30">
        <v>695</v>
      </c>
      <c r="J563" s="30">
        <v>50</v>
      </c>
      <c r="K563" s="31"/>
      <c r="L563" s="31"/>
      <c r="M563" s="31"/>
      <c r="N563" s="31"/>
      <c r="O563" s="31"/>
      <c r="P563" s="31"/>
      <c r="Q563" s="31"/>
      <c r="R563" s="31"/>
      <c r="S563" s="31"/>
      <c r="T563" s="31"/>
    </row>
    <row r="564" spans="1:20" ht="15.75">
      <c r="A564" s="11">
        <v>58287</v>
      </c>
      <c r="B564" s="39">
        <v>31</v>
      </c>
      <c r="C564" s="30">
        <v>194.20500000000001</v>
      </c>
      <c r="D564" s="30">
        <v>267.46600000000001</v>
      </c>
      <c r="E564" s="36">
        <v>812.32899999999995</v>
      </c>
      <c r="F564" s="30">
        <v>1274</v>
      </c>
      <c r="G564" s="30">
        <v>50</v>
      </c>
      <c r="H564" s="38">
        <v>600</v>
      </c>
      <c r="I564" s="30">
        <v>695</v>
      </c>
      <c r="J564" s="30">
        <v>0</v>
      </c>
      <c r="K564" s="31"/>
      <c r="L564" s="31"/>
      <c r="M564" s="31"/>
      <c r="N564" s="31"/>
      <c r="O564" s="31"/>
      <c r="P564" s="31"/>
      <c r="Q564" s="31"/>
      <c r="R564" s="31"/>
      <c r="S564" s="31"/>
      <c r="T564" s="31"/>
    </row>
    <row r="565" spans="1:20" ht="15.75">
      <c r="A565" s="11">
        <v>58318</v>
      </c>
      <c r="B565" s="39">
        <v>31</v>
      </c>
      <c r="C565" s="30">
        <v>194.20500000000001</v>
      </c>
      <c r="D565" s="30">
        <v>267.46600000000001</v>
      </c>
      <c r="E565" s="36">
        <v>812.32899999999995</v>
      </c>
      <c r="F565" s="30">
        <v>1274</v>
      </c>
      <c r="G565" s="30">
        <v>50</v>
      </c>
      <c r="H565" s="38">
        <v>600</v>
      </c>
      <c r="I565" s="30">
        <v>695</v>
      </c>
      <c r="J565" s="30">
        <v>0</v>
      </c>
      <c r="K565" s="31"/>
      <c r="L565" s="31"/>
      <c r="M565" s="31"/>
      <c r="N565" s="31"/>
      <c r="O565" s="31"/>
      <c r="P565" s="31"/>
      <c r="Q565" s="31"/>
      <c r="R565" s="31"/>
      <c r="S565" s="31"/>
      <c r="T565" s="31"/>
    </row>
    <row r="566" spans="1:20" ht="15.75">
      <c r="A566" s="11">
        <v>58348</v>
      </c>
      <c r="B566" s="39">
        <v>30</v>
      </c>
      <c r="C566" s="30">
        <v>194.20500000000001</v>
      </c>
      <c r="D566" s="30">
        <v>267.46600000000001</v>
      </c>
      <c r="E566" s="36">
        <v>812.32899999999995</v>
      </c>
      <c r="F566" s="30">
        <v>1274</v>
      </c>
      <c r="G566" s="30">
        <v>50</v>
      </c>
      <c r="H566" s="38">
        <v>600</v>
      </c>
      <c r="I566" s="30">
        <v>695</v>
      </c>
      <c r="J566" s="30">
        <v>0</v>
      </c>
      <c r="K566" s="31"/>
      <c r="L566" s="31"/>
      <c r="M566" s="31"/>
      <c r="N566" s="31"/>
      <c r="O566" s="31"/>
      <c r="P566" s="31"/>
      <c r="Q566" s="31"/>
      <c r="R566" s="31"/>
      <c r="S566" s="31"/>
      <c r="T566" s="31"/>
    </row>
    <row r="567" spans="1:20" ht="15.75">
      <c r="A567" s="11">
        <v>58379</v>
      </c>
      <c r="B567" s="39">
        <v>31</v>
      </c>
      <c r="C567" s="30">
        <v>131.881</v>
      </c>
      <c r="D567" s="30">
        <v>277.16699999999997</v>
      </c>
      <c r="E567" s="36">
        <v>829.952</v>
      </c>
      <c r="F567" s="30">
        <v>1239</v>
      </c>
      <c r="G567" s="30">
        <v>75</v>
      </c>
      <c r="H567" s="38">
        <v>600</v>
      </c>
      <c r="I567" s="30">
        <v>695</v>
      </c>
      <c r="J567" s="30">
        <v>0</v>
      </c>
      <c r="K567" s="31"/>
      <c r="L567" s="31"/>
      <c r="M567" s="31"/>
      <c r="N567" s="31"/>
      <c r="O567" s="31"/>
      <c r="P567" s="31"/>
      <c r="Q567" s="31"/>
      <c r="R567" s="31"/>
      <c r="S567" s="31"/>
      <c r="T567" s="31"/>
    </row>
    <row r="568" spans="1:20" ht="15.75">
      <c r="A568" s="11">
        <v>58409</v>
      </c>
      <c r="B568" s="39">
        <v>30</v>
      </c>
      <c r="C568" s="30">
        <v>122.58</v>
      </c>
      <c r="D568" s="30">
        <v>297.94099999999997</v>
      </c>
      <c r="E568" s="36">
        <v>729.47900000000004</v>
      </c>
      <c r="F568" s="30">
        <v>1150</v>
      </c>
      <c r="G568" s="30">
        <v>100</v>
      </c>
      <c r="H568" s="38">
        <v>600</v>
      </c>
      <c r="I568" s="30">
        <v>695</v>
      </c>
      <c r="J568" s="30">
        <v>50</v>
      </c>
      <c r="K568" s="31"/>
      <c r="L568" s="31"/>
      <c r="M568" s="31"/>
      <c r="N568" s="31"/>
      <c r="O568" s="31"/>
      <c r="P568" s="31"/>
      <c r="Q568" s="31"/>
      <c r="R568" s="31"/>
      <c r="S568" s="31"/>
      <c r="T568" s="31"/>
    </row>
    <row r="569" spans="1:20" ht="15.75">
      <c r="A569" s="11">
        <v>58440</v>
      </c>
      <c r="B569" s="39">
        <v>31</v>
      </c>
      <c r="C569" s="30">
        <v>122.58</v>
      </c>
      <c r="D569" s="30">
        <v>297.94099999999997</v>
      </c>
      <c r="E569" s="36">
        <v>729.47900000000004</v>
      </c>
      <c r="F569" s="30">
        <v>1150</v>
      </c>
      <c r="G569" s="30">
        <v>100</v>
      </c>
      <c r="H569" s="38">
        <v>600</v>
      </c>
      <c r="I569" s="30">
        <v>695</v>
      </c>
      <c r="J569" s="30">
        <v>50</v>
      </c>
      <c r="K569" s="31"/>
      <c r="L569" s="31"/>
      <c r="M569" s="31"/>
      <c r="N569" s="31"/>
      <c r="O569" s="31"/>
      <c r="P569" s="31"/>
      <c r="Q569" s="31"/>
      <c r="R569" s="31"/>
      <c r="S569" s="31"/>
      <c r="T569" s="31"/>
    </row>
    <row r="570" spans="1:20" ht="15.75">
      <c r="A570" s="11">
        <v>58471</v>
      </c>
      <c r="B570" s="39">
        <v>31</v>
      </c>
      <c r="C570" s="30">
        <v>122.58</v>
      </c>
      <c r="D570" s="30">
        <v>297.94099999999997</v>
      </c>
      <c r="E570" s="36">
        <v>729.47900000000004</v>
      </c>
      <c r="F570" s="30">
        <v>1150</v>
      </c>
      <c r="G570" s="30">
        <v>100</v>
      </c>
      <c r="H570" s="38">
        <v>600</v>
      </c>
      <c r="I570" s="30">
        <v>695</v>
      </c>
      <c r="J570" s="30">
        <v>50</v>
      </c>
      <c r="K570" s="31"/>
      <c r="L570" s="31"/>
      <c r="M570" s="31"/>
      <c r="N570" s="31"/>
      <c r="O570" s="31"/>
      <c r="P570" s="31"/>
      <c r="Q570" s="31"/>
      <c r="R570" s="31"/>
      <c r="S570" s="31"/>
      <c r="T570" s="31"/>
    </row>
    <row r="571" spans="1:20" ht="15.75">
      <c r="A571" s="11">
        <v>58499</v>
      </c>
      <c r="B571" s="39">
        <v>29</v>
      </c>
      <c r="C571" s="30">
        <v>122.58</v>
      </c>
      <c r="D571" s="30">
        <v>297.94099999999997</v>
      </c>
      <c r="E571" s="36">
        <v>729.47900000000004</v>
      </c>
      <c r="F571" s="30">
        <v>1150</v>
      </c>
      <c r="G571" s="30">
        <v>100</v>
      </c>
      <c r="H571" s="38">
        <v>600</v>
      </c>
      <c r="I571" s="30">
        <v>695</v>
      </c>
      <c r="J571" s="30">
        <v>50</v>
      </c>
      <c r="K571" s="31"/>
      <c r="L571" s="31"/>
      <c r="M571" s="31"/>
      <c r="N571" s="31"/>
      <c r="O571" s="31"/>
      <c r="P571" s="31"/>
      <c r="Q571" s="31"/>
      <c r="R571" s="31"/>
      <c r="S571" s="31"/>
      <c r="T571" s="31"/>
    </row>
    <row r="572" spans="1:20" ht="15.75">
      <c r="A572" s="11">
        <v>58531</v>
      </c>
      <c r="B572" s="39">
        <v>31</v>
      </c>
      <c r="C572" s="30">
        <v>122.58</v>
      </c>
      <c r="D572" s="30">
        <v>297.94099999999997</v>
      </c>
      <c r="E572" s="36">
        <v>729.47900000000004</v>
      </c>
      <c r="F572" s="30">
        <v>1150</v>
      </c>
      <c r="G572" s="30">
        <v>100</v>
      </c>
      <c r="H572" s="38">
        <v>600</v>
      </c>
      <c r="I572" s="30">
        <v>695</v>
      </c>
      <c r="J572" s="30">
        <v>50</v>
      </c>
      <c r="K572" s="31"/>
      <c r="L572" s="31"/>
      <c r="M572" s="31"/>
      <c r="N572" s="31"/>
      <c r="O572" s="31"/>
      <c r="P572" s="31"/>
      <c r="Q572" s="31"/>
      <c r="R572" s="31"/>
      <c r="S572" s="31"/>
      <c r="T572" s="31"/>
    </row>
    <row r="573" spans="1:20" ht="15.75">
      <c r="A573" s="11">
        <v>58561</v>
      </c>
      <c r="B573" s="39">
        <v>30</v>
      </c>
      <c r="C573" s="30">
        <v>141.29300000000001</v>
      </c>
      <c r="D573" s="30">
        <v>267.99299999999999</v>
      </c>
      <c r="E573" s="36">
        <v>829.71400000000006</v>
      </c>
      <c r="F573" s="30">
        <v>1239</v>
      </c>
      <c r="G573" s="30">
        <v>100</v>
      </c>
      <c r="H573" s="38">
        <v>600</v>
      </c>
      <c r="I573" s="30">
        <v>695</v>
      </c>
      <c r="J573" s="30">
        <v>50</v>
      </c>
      <c r="K573" s="31"/>
      <c r="L573" s="31"/>
      <c r="M573" s="31"/>
      <c r="N573" s="31"/>
      <c r="O573" s="31"/>
      <c r="P573" s="31"/>
      <c r="Q573" s="31"/>
      <c r="R573" s="31"/>
      <c r="S573" s="31"/>
      <c r="T573" s="31"/>
    </row>
    <row r="574" spans="1:20" ht="15.75">
      <c r="A574" s="11">
        <v>58592</v>
      </c>
      <c r="B574" s="39">
        <v>31</v>
      </c>
      <c r="C574" s="30">
        <v>194.20500000000001</v>
      </c>
      <c r="D574" s="30">
        <v>267.46600000000001</v>
      </c>
      <c r="E574" s="36">
        <v>812.32899999999995</v>
      </c>
      <c r="F574" s="30">
        <v>1274</v>
      </c>
      <c r="G574" s="30">
        <v>75</v>
      </c>
      <c r="H574" s="38">
        <v>600</v>
      </c>
      <c r="I574" s="30">
        <v>695</v>
      </c>
      <c r="J574" s="30">
        <v>50</v>
      </c>
      <c r="K574" s="31"/>
      <c r="L574" s="31"/>
      <c r="M574" s="31"/>
      <c r="N574" s="31"/>
      <c r="O574" s="31"/>
      <c r="P574" s="31"/>
      <c r="Q574" s="31"/>
      <c r="R574" s="31"/>
      <c r="S574" s="31"/>
      <c r="T574" s="31"/>
    </row>
    <row r="575" spans="1:20" ht="15.75">
      <c r="A575" s="11">
        <v>58622</v>
      </c>
      <c r="B575" s="39">
        <v>30</v>
      </c>
      <c r="C575" s="30">
        <v>194.20500000000001</v>
      </c>
      <c r="D575" s="30">
        <v>267.46600000000001</v>
      </c>
      <c r="E575" s="36">
        <v>812.32899999999995</v>
      </c>
      <c r="F575" s="30">
        <v>1274</v>
      </c>
      <c r="G575" s="30">
        <v>50</v>
      </c>
      <c r="H575" s="38">
        <v>600</v>
      </c>
      <c r="I575" s="30">
        <v>695</v>
      </c>
      <c r="J575" s="30">
        <v>50</v>
      </c>
      <c r="K575" s="31"/>
      <c r="L575" s="31"/>
      <c r="M575" s="31"/>
      <c r="N575" s="31"/>
      <c r="O575" s="31"/>
      <c r="P575" s="31"/>
      <c r="Q575" s="31"/>
      <c r="R575" s="31"/>
      <c r="S575" s="31"/>
      <c r="T575" s="31"/>
    </row>
    <row r="576" spans="1:20" ht="15.75">
      <c r="A576" s="11">
        <v>58653</v>
      </c>
      <c r="B576" s="39">
        <v>31</v>
      </c>
      <c r="C576" s="30">
        <v>194.20500000000001</v>
      </c>
      <c r="D576" s="30">
        <v>267.46600000000001</v>
      </c>
      <c r="E576" s="36">
        <v>812.32899999999995</v>
      </c>
      <c r="F576" s="30">
        <v>1274</v>
      </c>
      <c r="G576" s="30">
        <v>50</v>
      </c>
      <c r="H576" s="38">
        <v>600</v>
      </c>
      <c r="I576" s="30">
        <v>695</v>
      </c>
      <c r="J576" s="30">
        <v>0</v>
      </c>
      <c r="K576" s="31"/>
      <c r="L576" s="31"/>
      <c r="M576" s="31"/>
      <c r="N576" s="31"/>
      <c r="O576" s="31"/>
      <c r="P576" s="31"/>
      <c r="Q576" s="31"/>
      <c r="R576" s="31"/>
      <c r="S576" s="31"/>
      <c r="T576" s="31"/>
    </row>
    <row r="577" spans="1:20" ht="15.75">
      <c r="A577" s="11">
        <v>58684</v>
      </c>
      <c r="B577" s="39">
        <v>31</v>
      </c>
      <c r="C577" s="30">
        <v>194.20500000000001</v>
      </c>
      <c r="D577" s="30">
        <v>267.46600000000001</v>
      </c>
      <c r="E577" s="36">
        <v>812.32899999999995</v>
      </c>
      <c r="F577" s="30">
        <v>1274</v>
      </c>
      <c r="G577" s="30">
        <v>50</v>
      </c>
      <c r="H577" s="38">
        <v>600</v>
      </c>
      <c r="I577" s="30">
        <v>695</v>
      </c>
      <c r="J577" s="30">
        <v>0</v>
      </c>
      <c r="K577" s="31"/>
      <c r="L577" s="31"/>
      <c r="M577" s="31"/>
      <c r="N577" s="31"/>
      <c r="O577" s="31"/>
      <c r="P577" s="31"/>
      <c r="Q577" s="31"/>
      <c r="R577" s="31"/>
      <c r="S577" s="31"/>
      <c r="T577" s="31"/>
    </row>
    <row r="578" spans="1:20" ht="15.75">
      <c r="A578" s="11">
        <v>58714</v>
      </c>
      <c r="B578" s="39">
        <v>30</v>
      </c>
      <c r="C578" s="30">
        <v>194.20500000000001</v>
      </c>
      <c r="D578" s="30">
        <v>267.46600000000001</v>
      </c>
      <c r="E578" s="36">
        <v>812.32899999999995</v>
      </c>
      <c r="F578" s="30">
        <v>1274</v>
      </c>
      <c r="G578" s="30">
        <v>50</v>
      </c>
      <c r="H578" s="38">
        <v>600</v>
      </c>
      <c r="I578" s="30">
        <v>695</v>
      </c>
      <c r="J578" s="30">
        <v>0</v>
      </c>
      <c r="K578" s="31"/>
      <c r="L578" s="31"/>
      <c r="M578" s="31"/>
      <c r="N578" s="31"/>
      <c r="O578" s="31"/>
      <c r="P578" s="31"/>
      <c r="Q578" s="31"/>
      <c r="R578" s="31"/>
      <c r="S578" s="31"/>
      <c r="T578" s="31"/>
    </row>
    <row r="579" spans="1:20" ht="15.75">
      <c r="A579" s="11">
        <v>58745</v>
      </c>
      <c r="B579" s="39">
        <v>31</v>
      </c>
      <c r="C579" s="30">
        <v>131.881</v>
      </c>
      <c r="D579" s="30">
        <v>277.16699999999997</v>
      </c>
      <c r="E579" s="36">
        <v>829.952</v>
      </c>
      <c r="F579" s="30">
        <v>1239</v>
      </c>
      <c r="G579" s="30">
        <v>75</v>
      </c>
      <c r="H579" s="38">
        <v>600</v>
      </c>
      <c r="I579" s="30">
        <v>695</v>
      </c>
      <c r="J579" s="30">
        <v>0</v>
      </c>
      <c r="K579" s="31"/>
      <c r="L579" s="31"/>
      <c r="M579" s="31"/>
      <c r="N579" s="31"/>
      <c r="O579" s="31"/>
      <c r="P579" s="31"/>
      <c r="Q579" s="31"/>
      <c r="R579" s="31"/>
      <c r="S579" s="31"/>
      <c r="T579" s="31"/>
    </row>
    <row r="580" spans="1:20" ht="15.75">
      <c r="A580" s="11">
        <v>58775</v>
      </c>
      <c r="B580" s="39">
        <v>30</v>
      </c>
      <c r="C580" s="30">
        <v>122.58</v>
      </c>
      <c r="D580" s="30">
        <v>297.94099999999997</v>
      </c>
      <c r="E580" s="36">
        <v>729.47900000000004</v>
      </c>
      <c r="F580" s="30">
        <v>1150</v>
      </c>
      <c r="G580" s="30">
        <v>100</v>
      </c>
      <c r="H580" s="38">
        <v>600</v>
      </c>
      <c r="I580" s="30">
        <v>695</v>
      </c>
      <c r="J580" s="30">
        <v>50</v>
      </c>
      <c r="K580" s="31"/>
      <c r="L580" s="31"/>
      <c r="M580" s="31"/>
      <c r="N580" s="31"/>
      <c r="O580" s="31"/>
      <c r="P580" s="31"/>
      <c r="Q580" s="31"/>
      <c r="R580" s="31"/>
      <c r="S580" s="31"/>
      <c r="T580" s="31"/>
    </row>
    <row r="581" spans="1:20" ht="15.75">
      <c r="A581" s="11">
        <v>58806</v>
      </c>
      <c r="B581" s="39">
        <v>31</v>
      </c>
      <c r="C581" s="30">
        <v>122.58</v>
      </c>
      <c r="D581" s="30">
        <v>297.94099999999997</v>
      </c>
      <c r="E581" s="36">
        <v>729.47900000000004</v>
      </c>
      <c r="F581" s="30">
        <v>1150</v>
      </c>
      <c r="G581" s="30">
        <v>100</v>
      </c>
      <c r="H581" s="38">
        <v>600</v>
      </c>
      <c r="I581" s="30">
        <v>695</v>
      </c>
      <c r="J581" s="30">
        <v>50</v>
      </c>
      <c r="K581" s="31"/>
      <c r="L581" s="31"/>
      <c r="M581" s="31"/>
      <c r="N581" s="31"/>
      <c r="O581" s="31"/>
      <c r="P581" s="31"/>
      <c r="Q581" s="31"/>
      <c r="R581" s="31"/>
      <c r="S581" s="31"/>
      <c r="T581" s="31"/>
    </row>
    <row r="582" spans="1:20" ht="15.75">
      <c r="A582" s="11">
        <v>58837</v>
      </c>
      <c r="B582" s="39">
        <v>31</v>
      </c>
      <c r="C582" s="30">
        <v>122.58</v>
      </c>
      <c r="D582" s="30">
        <v>297.94099999999997</v>
      </c>
      <c r="E582" s="36">
        <v>729.47900000000004</v>
      </c>
      <c r="F582" s="30">
        <v>1150</v>
      </c>
      <c r="G582" s="30">
        <v>100</v>
      </c>
      <c r="H582" s="38">
        <v>600</v>
      </c>
      <c r="I582" s="30">
        <v>695</v>
      </c>
      <c r="J582" s="30">
        <v>50</v>
      </c>
      <c r="K582" s="31"/>
      <c r="L582" s="31"/>
      <c r="M582" s="31"/>
      <c r="N582" s="31"/>
      <c r="O582" s="31"/>
      <c r="P582" s="31"/>
      <c r="Q582" s="31"/>
      <c r="R582" s="31"/>
      <c r="S582" s="31"/>
      <c r="T582" s="31"/>
    </row>
    <row r="583" spans="1:20" ht="15.75">
      <c r="A583" s="11">
        <v>58865</v>
      </c>
      <c r="B583" s="39">
        <v>28</v>
      </c>
      <c r="C583" s="30">
        <v>122.58</v>
      </c>
      <c r="D583" s="30">
        <v>297.94099999999997</v>
      </c>
      <c r="E583" s="36">
        <v>729.47900000000004</v>
      </c>
      <c r="F583" s="30">
        <v>1150</v>
      </c>
      <c r="G583" s="30">
        <v>100</v>
      </c>
      <c r="H583" s="38">
        <v>600</v>
      </c>
      <c r="I583" s="30">
        <v>695</v>
      </c>
      <c r="J583" s="30">
        <v>50</v>
      </c>
      <c r="K583" s="31"/>
      <c r="L583" s="31"/>
      <c r="M583" s="31"/>
      <c r="N583" s="31"/>
      <c r="O583" s="31"/>
      <c r="P583" s="31"/>
      <c r="Q583" s="31"/>
      <c r="R583" s="31"/>
      <c r="S583" s="31"/>
      <c r="T583" s="31"/>
    </row>
    <row r="584" spans="1:20" ht="15.75">
      <c r="A584" s="11">
        <v>58893</v>
      </c>
      <c r="B584" s="39">
        <v>31</v>
      </c>
      <c r="C584" s="30">
        <v>122.58</v>
      </c>
      <c r="D584" s="30">
        <v>297.94099999999997</v>
      </c>
      <c r="E584" s="36">
        <v>729.47900000000004</v>
      </c>
      <c r="F584" s="30">
        <v>1150</v>
      </c>
      <c r="G584" s="30">
        <v>100</v>
      </c>
      <c r="H584" s="38">
        <v>600</v>
      </c>
      <c r="I584" s="30">
        <v>695</v>
      </c>
      <c r="J584" s="30">
        <v>50</v>
      </c>
      <c r="K584" s="31"/>
      <c r="L584" s="31"/>
      <c r="M584" s="31"/>
      <c r="N584" s="31"/>
      <c r="O584" s="31"/>
      <c r="P584" s="31"/>
      <c r="Q584" s="31"/>
      <c r="R584" s="31"/>
      <c r="S584" s="31"/>
      <c r="T584" s="31"/>
    </row>
    <row r="585" spans="1:20" ht="15.75">
      <c r="A585" s="11">
        <v>58926</v>
      </c>
      <c r="B585" s="39">
        <v>30</v>
      </c>
      <c r="C585" s="30">
        <v>141.29300000000001</v>
      </c>
      <c r="D585" s="30">
        <v>267.99299999999999</v>
      </c>
      <c r="E585" s="36">
        <v>829.71400000000006</v>
      </c>
      <c r="F585" s="30">
        <v>1239</v>
      </c>
      <c r="G585" s="30">
        <v>100</v>
      </c>
      <c r="H585" s="38">
        <v>600</v>
      </c>
      <c r="I585" s="30">
        <v>695</v>
      </c>
      <c r="J585" s="30">
        <v>50</v>
      </c>
      <c r="K585" s="31"/>
      <c r="L585" s="31"/>
      <c r="M585" s="31"/>
      <c r="N585" s="31"/>
      <c r="O585" s="31"/>
      <c r="P585" s="31"/>
      <c r="Q585" s="31"/>
      <c r="R585" s="31"/>
      <c r="S585" s="31"/>
      <c r="T585" s="31"/>
    </row>
    <row r="586" spans="1:20" ht="15.75">
      <c r="A586" s="11">
        <v>58957</v>
      </c>
      <c r="B586" s="39">
        <v>31</v>
      </c>
      <c r="C586" s="30">
        <v>194.20500000000001</v>
      </c>
      <c r="D586" s="30">
        <v>267.46600000000001</v>
      </c>
      <c r="E586" s="36">
        <v>812.32899999999995</v>
      </c>
      <c r="F586" s="30">
        <v>1274</v>
      </c>
      <c r="G586" s="30">
        <v>75</v>
      </c>
      <c r="H586" s="38">
        <v>600</v>
      </c>
      <c r="I586" s="30">
        <v>695</v>
      </c>
      <c r="J586" s="30">
        <v>50</v>
      </c>
      <c r="K586" s="31"/>
      <c r="L586" s="31"/>
      <c r="M586" s="31"/>
      <c r="N586" s="31"/>
      <c r="O586" s="31"/>
      <c r="P586" s="31"/>
      <c r="Q586" s="31"/>
      <c r="R586" s="31"/>
      <c r="S586" s="31"/>
      <c r="T586" s="31"/>
    </row>
    <row r="587" spans="1:20" ht="15.75">
      <c r="A587" s="11">
        <v>58987</v>
      </c>
      <c r="B587" s="39">
        <v>30</v>
      </c>
      <c r="C587" s="30">
        <v>194.20500000000001</v>
      </c>
      <c r="D587" s="30">
        <v>267.46600000000001</v>
      </c>
      <c r="E587" s="36">
        <v>812.32899999999995</v>
      </c>
      <c r="F587" s="30">
        <v>1274</v>
      </c>
      <c r="G587" s="30">
        <v>50</v>
      </c>
      <c r="H587" s="38">
        <v>600</v>
      </c>
      <c r="I587" s="30">
        <v>695</v>
      </c>
      <c r="J587" s="30">
        <v>50</v>
      </c>
      <c r="K587" s="31"/>
      <c r="L587" s="31"/>
      <c r="M587" s="31"/>
      <c r="N587" s="31"/>
      <c r="O587" s="31"/>
      <c r="P587" s="31"/>
      <c r="Q587" s="31"/>
      <c r="R587" s="31"/>
      <c r="S587" s="31"/>
      <c r="T587" s="31"/>
    </row>
    <row r="588" spans="1:20" ht="15.75">
      <c r="A588" s="11">
        <v>59018</v>
      </c>
      <c r="B588" s="39">
        <v>31</v>
      </c>
      <c r="C588" s="30">
        <v>194.20500000000001</v>
      </c>
      <c r="D588" s="30">
        <v>267.46600000000001</v>
      </c>
      <c r="E588" s="36">
        <v>812.32899999999995</v>
      </c>
      <c r="F588" s="30">
        <v>1274</v>
      </c>
      <c r="G588" s="30">
        <v>50</v>
      </c>
      <c r="H588" s="38">
        <v>600</v>
      </c>
      <c r="I588" s="30">
        <v>695</v>
      </c>
      <c r="J588" s="30">
        <v>0</v>
      </c>
      <c r="K588" s="31"/>
      <c r="L588" s="31"/>
      <c r="M588" s="31"/>
      <c r="N588" s="31"/>
      <c r="O588" s="31"/>
      <c r="P588" s="31"/>
      <c r="Q588" s="31"/>
      <c r="R588" s="31"/>
      <c r="S588" s="31"/>
      <c r="T588" s="31"/>
    </row>
    <row r="589" spans="1:20" ht="15.75">
      <c r="A589" s="11">
        <v>59049</v>
      </c>
      <c r="B589" s="39">
        <v>31</v>
      </c>
      <c r="C589" s="30">
        <v>194.20500000000001</v>
      </c>
      <c r="D589" s="30">
        <v>267.46600000000001</v>
      </c>
      <c r="E589" s="36">
        <v>812.32899999999995</v>
      </c>
      <c r="F589" s="30">
        <v>1274</v>
      </c>
      <c r="G589" s="30">
        <v>50</v>
      </c>
      <c r="H589" s="38">
        <v>600</v>
      </c>
      <c r="I589" s="30">
        <v>695</v>
      </c>
      <c r="J589" s="30">
        <v>0</v>
      </c>
      <c r="K589" s="31"/>
      <c r="L589" s="31"/>
      <c r="M589" s="31"/>
      <c r="N589" s="31"/>
      <c r="O589" s="31"/>
      <c r="P589" s="31"/>
      <c r="Q589" s="31"/>
      <c r="R589" s="31"/>
      <c r="S589" s="31"/>
      <c r="T589" s="31"/>
    </row>
    <row r="590" spans="1:20" ht="15.75">
      <c r="A590" s="11">
        <v>59079</v>
      </c>
      <c r="B590" s="39">
        <v>30</v>
      </c>
      <c r="C590" s="30">
        <v>194.20500000000001</v>
      </c>
      <c r="D590" s="30">
        <v>267.46600000000001</v>
      </c>
      <c r="E590" s="36">
        <v>812.32899999999995</v>
      </c>
      <c r="F590" s="30">
        <v>1274</v>
      </c>
      <c r="G590" s="30">
        <v>50</v>
      </c>
      <c r="H590" s="38">
        <v>600</v>
      </c>
      <c r="I590" s="30">
        <v>695</v>
      </c>
      <c r="J590" s="30">
        <v>0</v>
      </c>
      <c r="K590" s="31"/>
      <c r="L590" s="31"/>
      <c r="M590" s="31"/>
      <c r="N590" s="31"/>
      <c r="O590" s="31"/>
      <c r="P590" s="31"/>
      <c r="Q590" s="31"/>
      <c r="R590" s="31"/>
      <c r="S590" s="31"/>
      <c r="T590" s="31"/>
    </row>
    <row r="591" spans="1:20" ht="15.75">
      <c r="A591" s="11">
        <v>59110</v>
      </c>
      <c r="B591" s="39">
        <v>31</v>
      </c>
      <c r="C591" s="30">
        <v>131.881</v>
      </c>
      <c r="D591" s="30">
        <v>277.16699999999997</v>
      </c>
      <c r="E591" s="36">
        <v>829.952</v>
      </c>
      <c r="F591" s="30">
        <v>1239</v>
      </c>
      <c r="G591" s="30">
        <v>75</v>
      </c>
      <c r="H591" s="38">
        <v>600</v>
      </c>
      <c r="I591" s="30">
        <v>695</v>
      </c>
      <c r="J591" s="30">
        <v>0</v>
      </c>
      <c r="K591" s="31"/>
      <c r="L591" s="31"/>
      <c r="M591" s="31"/>
      <c r="N591" s="31"/>
      <c r="O591" s="31"/>
      <c r="P591" s="31"/>
      <c r="Q591" s="31"/>
      <c r="R591" s="31"/>
      <c r="S591" s="31"/>
      <c r="T591" s="31"/>
    </row>
    <row r="592" spans="1:20" ht="15.75">
      <c r="A592" s="11">
        <v>59140</v>
      </c>
      <c r="B592" s="39">
        <v>30</v>
      </c>
      <c r="C592" s="30">
        <v>122.58</v>
      </c>
      <c r="D592" s="30">
        <v>297.94099999999997</v>
      </c>
      <c r="E592" s="36">
        <v>729.47900000000004</v>
      </c>
      <c r="F592" s="30">
        <v>1150</v>
      </c>
      <c r="G592" s="30">
        <v>100</v>
      </c>
      <c r="H592" s="38">
        <v>600</v>
      </c>
      <c r="I592" s="30">
        <v>695</v>
      </c>
      <c r="J592" s="30">
        <v>50</v>
      </c>
      <c r="K592" s="31"/>
      <c r="L592" s="31"/>
      <c r="M592" s="31"/>
      <c r="N592" s="31"/>
      <c r="O592" s="31"/>
      <c r="P592" s="31"/>
      <c r="Q592" s="31"/>
      <c r="R592" s="31"/>
      <c r="S592" s="31"/>
      <c r="T592" s="31"/>
    </row>
    <row r="593" spans="1:20" ht="15.75">
      <c r="A593" s="11">
        <v>59171</v>
      </c>
      <c r="B593" s="39">
        <v>31</v>
      </c>
      <c r="C593" s="30">
        <v>122.58</v>
      </c>
      <c r="D593" s="30">
        <v>297.94099999999997</v>
      </c>
      <c r="E593" s="36">
        <v>729.47900000000004</v>
      </c>
      <c r="F593" s="30">
        <v>1150</v>
      </c>
      <c r="G593" s="30">
        <v>100</v>
      </c>
      <c r="H593" s="38">
        <v>600</v>
      </c>
      <c r="I593" s="30">
        <v>695</v>
      </c>
      <c r="J593" s="30">
        <v>50</v>
      </c>
      <c r="K593" s="31"/>
      <c r="L593" s="31"/>
      <c r="M593" s="31"/>
      <c r="N593" s="31"/>
      <c r="O593" s="31"/>
      <c r="P593" s="31"/>
      <c r="Q593" s="31"/>
      <c r="R593" s="31"/>
      <c r="S593" s="31"/>
      <c r="T593" s="31"/>
    </row>
    <row r="594" spans="1:20" ht="15.75">
      <c r="A594" s="11">
        <v>59202</v>
      </c>
      <c r="B594" s="39">
        <f t="shared" ref="B594:B657" si="0">EOMONTH(A594,0)-EOMONTH(A594,-1)</f>
        <v>31</v>
      </c>
      <c r="C594" s="30">
        <v>122.58</v>
      </c>
      <c r="D594" s="30">
        <v>297.94099999999997</v>
      </c>
      <c r="E594" s="36">
        <v>729.47900000000004</v>
      </c>
      <c r="F594" s="30">
        <v>1150</v>
      </c>
      <c r="G594" s="30">
        <v>100</v>
      </c>
      <c r="H594" s="38">
        <v>600</v>
      </c>
      <c r="I594" s="30">
        <v>695</v>
      </c>
      <c r="J594" s="30">
        <v>50</v>
      </c>
      <c r="K594" s="31"/>
      <c r="L594" s="31"/>
      <c r="M594" s="31"/>
      <c r="N594" s="31"/>
      <c r="O594" s="31"/>
      <c r="P594" s="31"/>
      <c r="Q594" s="31"/>
      <c r="R594" s="31"/>
      <c r="S594" s="31"/>
      <c r="T594" s="31"/>
    </row>
    <row r="595" spans="1:20" ht="15.75">
      <c r="A595" s="11">
        <v>59230</v>
      </c>
      <c r="B595" s="39">
        <f t="shared" si="0"/>
        <v>28</v>
      </c>
      <c r="C595" s="30">
        <v>122.58</v>
      </c>
      <c r="D595" s="30">
        <v>297.94099999999997</v>
      </c>
      <c r="E595" s="36">
        <v>729.47900000000004</v>
      </c>
      <c r="F595" s="30">
        <v>1150</v>
      </c>
      <c r="G595" s="30">
        <v>100</v>
      </c>
      <c r="H595" s="38">
        <v>600</v>
      </c>
      <c r="I595" s="30">
        <v>695</v>
      </c>
      <c r="J595" s="30">
        <v>50</v>
      </c>
      <c r="K595" s="31"/>
      <c r="L595" s="31"/>
      <c r="M595" s="31"/>
      <c r="N595" s="31"/>
      <c r="O595" s="31"/>
      <c r="P595" s="31"/>
      <c r="Q595" s="31"/>
      <c r="R595" s="31"/>
      <c r="S595" s="31"/>
      <c r="T595" s="31"/>
    </row>
    <row r="596" spans="1:20" ht="15.75">
      <c r="A596" s="11">
        <v>59261</v>
      </c>
      <c r="B596" s="39">
        <f t="shared" si="0"/>
        <v>31</v>
      </c>
      <c r="C596" s="30">
        <v>122.58</v>
      </c>
      <c r="D596" s="30">
        <v>297.94099999999997</v>
      </c>
      <c r="E596" s="36">
        <v>729.47900000000004</v>
      </c>
      <c r="F596" s="30">
        <v>1150</v>
      </c>
      <c r="G596" s="30">
        <v>100</v>
      </c>
      <c r="H596" s="38">
        <v>600</v>
      </c>
      <c r="I596" s="30">
        <v>695</v>
      </c>
      <c r="J596" s="30">
        <v>50</v>
      </c>
      <c r="K596" s="31"/>
      <c r="L596" s="31"/>
      <c r="M596" s="31"/>
      <c r="N596" s="31"/>
      <c r="O596" s="31"/>
      <c r="P596" s="31"/>
      <c r="Q596" s="31"/>
      <c r="R596" s="31"/>
      <c r="S596" s="31"/>
      <c r="T596" s="31"/>
    </row>
    <row r="597" spans="1:20" ht="15.75">
      <c r="A597" s="11">
        <v>59291</v>
      </c>
      <c r="B597" s="39">
        <f t="shared" si="0"/>
        <v>30</v>
      </c>
      <c r="C597" s="30">
        <v>141.29300000000001</v>
      </c>
      <c r="D597" s="30">
        <v>267.99299999999999</v>
      </c>
      <c r="E597" s="36">
        <v>829.71400000000006</v>
      </c>
      <c r="F597" s="30">
        <v>1239</v>
      </c>
      <c r="G597" s="30">
        <v>100</v>
      </c>
      <c r="H597" s="38">
        <v>600</v>
      </c>
      <c r="I597" s="30">
        <v>695</v>
      </c>
      <c r="J597" s="30">
        <v>50</v>
      </c>
      <c r="K597" s="31"/>
      <c r="L597" s="31"/>
      <c r="M597" s="31"/>
      <c r="N597" s="31"/>
      <c r="O597" s="31"/>
      <c r="P597" s="31"/>
      <c r="Q597" s="31"/>
      <c r="R597" s="31"/>
      <c r="S597" s="31"/>
      <c r="T597" s="31"/>
    </row>
    <row r="598" spans="1:20" ht="15.75">
      <c r="A598" s="11">
        <v>59322</v>
      </c>
      <c r="B598" s="39">
        <f t="shared" si="0"/>
        <v>31</v>
      </c>
      <c r="C598" s="30">
        <v>194.20500000000001</v>
      </c>
      <c r="D598" s="30">
        <v>267.46600000000001</v>
      </c>
      <c r="E598" s="36">
        <v>812.32899999999995</v>
      </c>
      <c r="F598" s="30">
        <v>1274</v>
      </c>
      <c r="G598" s="30">
        <v>75</v>
      </c>
      <c r="H598" s="38">
        <v>600</v>
      </c>
      <c r="I598" s="30">
        <v>695</v>
      </c>
      <c r="J598" s="30">
        <v>50</v>
      </c>
      <c r="K598" s="31"/>
      <c r="L598" s="31"/>
      <c r="M598" s="31"/>
      <c r="N598" s="31"/>
      <c r="O598" s="31"/>
      <c r="P598" s="31"/>
      <c r="Q598" s="31"/>
      <c r="R598" s="31"/>
      <c r="S598" s="31"/>
      <c r="T598" s="31"/>
    </row>
    <row r="599" spans="1:20" ht="15.75">
      <c r="A599" s="11">
        <v>59352</v>
      </c>
      <c r="B599" s="39">
        <f t="shared" si="0"/>
        <v>30</v>
      </c>
      <c r="C599" s="30">
        <v>194.20500000000001</v>
      </c>
      <c r="D599" s="30">
        <v>267.46600000000001</v>
      </c>
      <c r="E599" s="36">
        <v>812.32899999999995</v>
      </c>
      <c r="F599" s="30">
        <v>1274</v>
      </c>
      <c r="G599" s="30">
        <v>50</v>
      </c>
      <c r="H599" s="38">
        <v>600</v>
      </c>
      <c r="I599" s="30">
        <v>695</v>
      </c>
      <c r="J599" s="30">
        <v>50</v>
      </c>
      <c r="K599" s="31"/>
      <c r="L599" s="31"/>
      <c r="M599" s="31"/>
      <c r="N599" s="31"/>
      <c r="O599" s="31"/>
      <c r="P599" s="31"/>
      <c r="Q599" s="31"/>
      <c r="R599" s="31"/>
      <c r="S599" s="31"/>
      <c r="T599" s="31"/>
    </row>
    <row r="600" spans="1:20" ht="15.75">
      <c r="A600" s="11">
        <v>59383</v>
      </c>
      <c r="B600" s="39">
        <f t="shared" si="0"/>
        <v>31</v>
      </c>
      <c r="C600" s="30">
        <v>194.20500000000001</v>
      </c>
      <c r="D600" s="30">
        <v>267.46600000000001</v>
      </c>
      <c r="E600" s="36">
        <v>812.32899999999995</v>
      </c>
      <c r="F600" s="30">
        <v>1274</v>
      </c>
      <c r="G600" s="30">
        <v>50</v>
      </c>
      <c r="H600" s="38">
        <v>600</v>
      </c>
      <c r="I600" s="30">
        <v>695</v>
      </c>
      <c r="J600" s="30">
        <v>0</v>
      </c>
      <c r="K600" s="31"/>
      <c r="L600" s="31"/>
      <c r="M600" s="31"/>
      <c r="N600" s="31"/>
      <c r="O600" s="31"/>
      <c r="P600" s="31"/>
      <c r="Q600" s="31"/>
      <c r="R600" s="31"/>
      <c r="S600" s="31"/>
      <c r="T600" s="31"/>
    </row>
    <row r="601" spans="1:20" ht="15.75">
      <c r="A601" s="11">
        <v>59414</v>
      </c>
      <c r="B601" s="39">
        <f t="shared" si="0"/>
        <v>31</v>
      </c>
      <c r="C601" s="30">
        <v>194.20500000000001</v>
      </c>
      <c r="D601" s="30">
        <v>267.46600000000001</v>
      </c>
      <c r="E601" s="36">
        <v>812.32899999999995</v>
      </c>
      <c r="F601" s="30">
        <v>1274</v>
      </c>
      <c r="G601" s="30">
        <v>50</v>
      </c>
      <c r="H601" s="38">
        <v>600</v>
      </c>
      <c r="I601" s="30">
        <v>695</v>
      </c>
      <c r="J601" s="30">
        <v>0</v>
      </c>
      <c r="K601" s="31"/>
      <c r="L601" s="31"/>
      <c r="M601" s="31"/>
      <c r="N601" s="31"/>
      <c r="O601" s="31"/>
      <c r="P601" s="31"/>
      <c r="Q601" s="31"/>
      <c r="R601" s="31"/>
      <c r="S601" s="31"/>
      <c r="T601" s="31"/>
    </row>
    <row r="602" spans="1:20" ht="15.75">
      <c r="A602" s="11">
        <v>59444</v>
      </c>
      <c r="B602" s="39">
        <f t="shared" si="0"/>
        <v>30</v>
      </c>
      <c r="C602" s="30">
        <v>194.20500000000001</v>
      </c>
      <c r="D602" s="30">
        <v>267.46600000000001</v>
      </c>
      <c r="E602" s="36">
        <v>812.32899999999995</v>
      </c>
      <c r="F602" s="30">
        <v>1274</v>
      </c>
      <c r="G602" s="30">
        <v>50</v>
      </c>
      <c r="H602" s="38">
        <v>600</v>
      </c>
      <c r="I602" s="30">
        <v>695</v>
      </c>
      <c r="J602" s="30">
        <v>0</v>
      </c>
      <c r="K602" s="31"/>
      <c r="L602" s="31"/>
      <c r="M602" s="31"/>
      <c r="N602" s="31"/>
      <c r="O602" s="31"/>
      <c r="P602" s="31"/>
      <c r="Q602" s="31"/>
      <c r="R602" s="31"/>
      <c r="S602" s="31"/>
      <c r="T602" s="31"/>
    </row>
    <row r="603" spans="1:20" ht="15.75">
      <c r="A603" s="11">
        <v>59475</v>
      </c>
      <c r="B603" s="39">
        <f t="shared" si="0"/>
        <v>31</v>
      </c>
      <c r="C603" s="30">
        <v>131.881</v>
      </c>
      <c r="D603" s="30">
        <v>277.16699999999997</v>
      </c>
      <c r="E603" s="36">
        <v>829.952</v>
      </c>
      <c r="F603" s="30">
        <v>1239</v>
      </c>
      <c r="G603" s="30">
        <v>75</v>
      </c>
      <c r="H603" s="38">
        <v>600</v>
      </c>
      <c r="I603" s="30">
        <v>695</v>
      </c>
      <c r="J603" s="30">
        <v>0</v>
      </c>
      <c r="K603" s="31"/>
      <c r="L603" s="31"/>
      <c r="M603" s="31"/>
      <c r="N603" s="31"/>
      <c r="O603" s="31"/>
      <c r="P603" s="31"/>
      <c r="Q603" s="31"/>
      <c r="R603" s="31"/>
      <c r="S603" s="31"/>
      <c r="T603" s="31"/>
    </row>
    <row r="604" spans="1:20" ht="15.75">
      <c r="A604" s="11">
        <v>59505</v>
      </c>
      <c r="B604" s="39">
        <f t="shared" si="0"/>
        <v>30</v>
      </c>
      <c r="C604" s="30">
        <v>122.58</v>
      </c>
      <c r="D604" s="30">
        <v>297.94099999999997</v>
      </c>
      <c r="E604" s="36">
        <v>729.47900000000004</v>
      </c>
      <c r="F604" s="30">
        <v>1150</v>
      </c>
      <c r="G604" s="30">
        <v>100</v>
      </c>
      <c r="H604" s="38">
        <v>600</v>
      </c>
      <c r="I604" s="30">
        <v>695</v>
      </c>
      <c r="J604" s="30">
        <v>50</v>
      </c>
      <c r="K604" s="31"/>
      <c r="L604" s="31"/>
      <c r="M604" s="31"/>
      <c r="N604" s="31"/>
      <c r="O604" s="31"/>
      <c r="P604" s="31"/>
      <c r="Q604" s="31"/>
      <c r="R604" s="31"/>
      <c r="S604" s="31"/>
      <c r="T604" s="31"/>
    </row>
    <row r="605" spans="1:20" ht="15.75">
      <c r="A605" s="11">
        <v>59536</v>
      </c>
      <c r="B605" s="39">
        <f t="shared" si="0"/>
        <v>31</v>
      </c>
      <c r="C605" s="30">
        <v>122.58</v>
      </c>
      <c r="D605" s="30">
        <v>297.94099999999997</v>
      </c>
      <c r="E605" s="36">
        <v>729.47900000000004</v>
      </c>
      <c r="F605" s="30">
        <v>1150</v>
      </c>
      <c r="G605" s="30">
        <v>100</v>
      </c>
      <c r="H605" s="38">
        <v>600</v>
      </c>
      <c r="I605" s="30">
        <v>695</v>
      </c>
      <c r="J605" s="30">
        <v>50</v>
      </c>
      <c r="K605" s="31"/>
      <c r="L605" s="31"/>
      <c r="M605" s="31"/>
      <c r="N605" s="31"/>
      <c r="O605" s="31"/>
      <c r="P605" s="31"/>
      <c r="Q605" s="31"/>
      <c r="R605" s="31"/>
      <c r="S605" s="31"/>
      <c r="T605" s="31"/>
    </row>
    <row r="606" spans="1:20" ht="15.75">
      <c r="A606" s="11">
        <v>59567</v>
      </c>
      <c r="B606" s="39">
        <f t="shared" si="0"/>
        <v>31</v>
      </c>
      <c r="C606" s="30">
        <v>122.58</v>
      </c>
      <c r="D606" s="30">
        <v>297.94099999999997</v>
      </c>
      <c r="E606" s="36">
        <v>729.47900000000004</v>
      </c>
      <c r="F606" s="30">
        <v>1150</v>
      </c>
      <c r="G606" s="30">
        <v>100</v>
      </c>
      <c r="H606" s="38">
        <v>600</v>
      </c>
      <c r="I606" s="30">
        <v>695</v>
      </c>
      <c r="J606" s="30">
        <v>50</v>
      </c>
      <c r="K606" s="31"/>
      <c r="L606" s="31"/>
      <c r="M606" s="31"/>
      <c r="N606" s="31"/>
      <c r="O606" s="31"/>
      <c r="P606" s="31"/>
      <c r="Q606" s="31"/>
      <c r="R606" s="31"/>
      <c r="S606" s="31"/>
      <c r="T606" s="31"/>
    </row>
    <row r="607" spans="1:20" ht="15.75">
      <c r="A607" s="11">
        <v>59595</v>
      </c>
      <c r="B607" s="39">
        <f t="shared" si="0"/>
        <v>28</v>
      </c>
      <c r="C607" s="30">
        <v>122.58</v>
      </c>
      <c r="D607" s="30">
        <v>297.94099999999997</v>
      </c>
      <c r="E607" s="36">
        <v>729.47900000000004</v>
      </c>
      <c r="F607" s="30">
        <v>1150</v>
      </c>
      <c r="G607" s="30">
        <v>100</v>
      </c>
      <c r="H607" s="38">
        <v>600</v>
      </c>
      <c r="I607" s="30">
        <v>695</v>
      </c>
      <c r="J607" s="30">
        <v>50</v>
      </c>
      <c r="K607" s="31"/>
      <c r="L607" s="31"/>
      <c r="M607" s="31"/>
      <c r="N607" s="31"/>
      <c r="O607" s="31"/>
      <c r="P607" s="31"/>
      <c r="Q607" s="31"/>
      <c r="R607" s="31"/>
      <c r="S607" s="31"/>
      <c r="T607" s="31"/>
    </row>
    <row r="608" spans="1:20" ht="15.75">
      <c r="A608" s="11">
        <v>59626</v>
      </c>
      <c r="B608" s="39">
        <f t="shared" si="0"/>
        <v>31</v>
      </c>
      <c r="C608" s="30">
        <v>122.58</v>
      </c>
      <c r="D608" s="30">
        <v>297.94099999999997</v>
      </c>
      <c r="E608" s="36">
        <v>729.47900000000004</v>
      </c>
      <c r="F608" s="30">
        <v>1150</v>
      </c>
      <c r="G608" s="30">
        <v>100</v>
      </c>
      <c r="H608" s="38">
        <v>600</v>
      </c>
      <c r="I608" s="30">
        <v>695</v>
      </c>
      <c r="J608" s="30">
        <v>50</v>
      </c>
      <c r="K608" s="31"/>
      <c r="L608" s="31"/>
      <c r="M608" s="31"/>
      <c r="N608" s="31"/>
      <c r="O608" s="31"/>
      <c r="P608" s="31"/>
      <c r="Q608" s="31"/>
      <c r="R608" s="31"/>
      <c r="S608" s="31"/>
      <c r="T608" s="31"/>
    </row>
    <row r="609" spans="1:20" ht="15.75">
      <c r="A609" s="11">
        <v>59656</v>
      </c>
      <c r="B609" s="39">
        <f t="shared" si="0"/>
        <v>30</v>
      </c>
      <c r="C609" s="30">
        <v>141.29300000000001</v>
      </c>
      <c r="D609" s="30">
        <v>267.99299999999999</v>
      </c>
      <c r="E609" s="36">
        <v>829.71400000000006</v>
      </c>
      <c r="F609" s="30">
        <v>1239</v>
      </c>
      <c r="G609" s="30">
        <v>100</v>
      </c>
      <c r="H609" s="38">
        <v>600</v>
      </c>
      <c r="I609" s="30">
        <v>695</v>
      </c>
      <c r="J609" s="30">
        <v>50</v>
      </c>
      <c r="K609" s="31"/>
      <c r="L609" s="31"/>
      <c r="M609" s="31"/>
      <c r="N609" s="31"/>
      <c r="O609" s="31"/>
      <c r="P609" s="31"/>
      <c r="Q609" s="31"/>
      <c r="R609" s="31"/>
      <c r="S609" s="31"/>
      <c r="T609" s="31"/>
    </row>
    <row r="610" spans="1:20" ht="15.75">
      <c r="A610" s="11">
        <v>59687</v>
      </c>
      <c r="B610" s="39">
        <f t="shared" si="0"/>
        <v>31</v>
      </c>
      <c r="C610" s="30">
        <v>194.20500000000001</v>
      </c>
      <c r="D610" s="30">
        <v>267.46600000000001</v>
      </c>
      <c r="E610" s="36">
        <v>812.32899999999995</v>
      </c>
      <c r="F610" s="30">
        <v>1274</v>
      </c>
      <c r="G610" s="30">
        <v>75</v>
      </c>
      <c r="H610" s="38">
        <v>600</v>
      </c>
      <c r="I610" s="30">
        <v>695</v>
      </c>
      <c r="J610" s="30">
        <v>50</v>
      </c>
      <c r="K610" s="31"/>
      <c r="L610" s="31"/>
      <c r="M610" s="31"/>
      <c r="N610" s="31"/>
      <c r="O610" s="31"/>
      <c r="P610" s="31"/>
      <c r="Q610" s="31"/>
      <c r="R610" s="31"/>
      <c r="S610" s="31"/>
      <c r="T610" s="31"/>
    </row>
    <row r="611" spans="1:20" ht="15.75">
      <c r="A611" s="11">
        <v>59717</v>
      </c>
      <c r="B611" s="39">
        <f t="shared" si="0"/>
        <v>30</v>
      </c>
      <c r="C611" s="30">
        <v>194.20500000000001</v>
      </c>
      <c r="D611" s="30">
        <v>267.46600000000001</v>
      </c>
      <c r="E611" s="36">
        <v>812.32899999999995</v>
      </c>
      <c r="F611" s="30">
        <v>1274</v>
      </c>
      <c r="G611" s="30">
        <v>50</v>
      </c>
      <c r="H611" s="38">
        <v>600</v>
      </c>
      <c r="I611" s="30">
        <v>695</v>
      </c>
      <c r="J611" s="30">
        <v>50</v>
      </c>
      <c r="K611" s="31"/>
      <c r="L611" s="31"/>
      <c r="M611" s="31"/>
      <c r="N611" s="31"/>
      <c r="O611" s="31"/>
      <c r="P611" s="31"/>
      <c r="Q611" s="31"/>
      <c r="R611" s="31"/>
      <c r="S611" s="31"/>
      <c r="T611" s="31"/>
    </row>
    <row r="612" spans="1:20" ht="15.75">
      <c r="A612" s="11">
        <v>59748</v>
      </c>
      <c r="B612" s="39">
        <f t="shared" si="0"/>
        <v>31</v>
      </c>
      <c r="C612" s="30">
        <v>194.20500000000001</v>
      </c>
      <c r="D612" s="30">
        <v>267.46600000000001</v>
      </c>
      <c r="E612" s="36">
        <v>812.32899999999995</v>
      </c>
      <c r="F612" s="30">
        <v>1274</v>
      </c>
      <c r="G612" s="30">
        <v>50</v>
      </c>
      <c r="H612" s="38">
        <v>600</v>
      </c>
      <c r="I612" s="30">
        <v>695</v>
      </c>
      <c r="J612" s="30">
        <v>0</v>
      </c>
      <c r="K612" s="31"/>
      <c r="L612" s="31"/>
      <c r="M612" s="31"/>
      <c r="N612" s="31"/>
      <c r="O612" s="31"/>
      <c r="P612" s="31"/>
      <c r="Q612" s="31"/>
      <c r="R612" s="31"/>
      <c r="S612" s="31"/>
      <c r="T612" s="31"/>
    </row>
    <row r="613" spans="1:20" ht="15.75">
      <c r="A613" s="11">
        <v>59779</v>
      </c>
      <c r="B613" s="39">
        <f t="shared" si="0"/>
        <v>31</v>
      </c>
      <c r="C613" s="30">
        <v>194.20500000000001</v>
      </c>
      <c r="D613" s="30">
        <v>267.46600000000001</v>
      </c>
      <c r="E613" s="36">
        <v>812.32899999999995</v>
      </c>
      <c r="F613" s="30">
        <v>1274</v>
      </c>
      <c r="G613" s="30">
        <v>50</v>
      </c>
      <c r="H613" s="38">
        <v>600</v>
      </c>
      <c r="I613" s="30">
        <v>695</v>
      </c>
      <c r="J613" s="30">
        <v>0</v>
      </c>
      <c r="K613" s="31"/>
      <c r="L613" s="31"/>
      <c r="M613" s="31"/>
      <c r="N613" s="31"/>
      <c r="O613" s="31"/>
      <c r="P613" s="31"/>
      <c r="Q613" s="31"/>
      <c r="R613" s="31"/>
      <c r="S613" s="31"/>
      <c r="T613" s="31"/>
    </row>
    <row r="614" spans="1:20" ht="15.75">
      <c r="A614" s="11">
        <v>59809</v>
      </c>
      <c r="B614" s="39">
        <f t="shared" si="0"/>
        <v>30</v>
      </c>
      <c r="C614" s="30">
        <v>194.20500000000001</v>
      </c>
      <c r="D614" s="30">
        <v>267.46600000000001</v>
      </c>
      <c r="E614" s="36">
        <v>812.32899999999995</v>
      </c>
      <c r="F614" s="30">
        <v>1274</v>
      </c>
      <c r="G614" s="30">
        <v>50</v>
      </c>
      <c r="H614" s="38">
        <v>600</v>
      </c>
      <c r="I614" s="30">
        <v>695</v>
      </c>
      <c r="J614" s="30">
        <v>0</v>
      </c>
      <c r="K614" s="31"/>
      <c r="L614" s="31"/>
      <c r="M614" s="31"/>
      <c r="N614" s="31"/>
      <c r="O614" s="31"/>
      <c r="P614" s="31"/>
      <c r="Q614" s="31"/>
      <c r="R614" s="31"/>
      <c r="S614" s="31"/>
      <c r="T614" s="31"/>
    </row>
    <row r="615" spans="1:20" ht="15.75">
      <c r="A615" s="11">
        <v>59840</v>
      </c>
      <c r="B615" s="39">
        <f t="shared" si="0"/>
        <v>31</v>
      </c>
      <c r="C615" s="30">
        <v>131.881</v>
      </c>
      <c r="D615" s="30">
        <v>277.16699999999997</v>
      </c>
      <c r="E615" s="36">
        <v>829.952</v>
      </c>
      <c r="F615" s="30">
        <v>1239</v>
      </c>
      <c r="G615" s="30">
        <v>75</v>
      </c>
      <c r="H615" s="38">
        <v>600</v>
      </c>
      <c r="I615" s="30">
        <v>695</v>
      </c>
      <c r="J615" s="30">
        <v>0</v>
      </c>
      <c r="K615" s="31"/>
      <c r="L615" s="31"/>
      <c r="M615" s="31"/>
      <c r="N615" s="31"/>
      <c r="O615" s="31"/>
      <c r="P615" s="31"/>
      <c r="Q615" s="31"/>
      <c r="R615" s="31"/>
      <c r="S615" s="31"/>
      <c r="T615" s="31"/>
    </row>
    <row r="616" spans="1:20" ht="15.75">
      <c r="A616" s="11">
        <v>59870</v>
      </c>
      <c r="B616" s="39">
        <f t="shared" si="0"/>
        <v>30</v>
      </c>
      <c r="C616" s="30">
        <v>122.58</v>
      </c>
      <c r="D616" s="30">
        <v>297.94099999999997</v>
      </c>
      <c r="E616" s="36">
        <v>729.47900000000004</v>
      </c>
      <c r="F616" s="30">
        <v>1150</v>
      </c>
      <c r="G616" s="30">
        <v>100</v>
      </c>
      <c r="H616" s="38">
        <v>600</v>
      </c>
      <c r="I616" s="30">
        <v>695</v>
      </c>
      <c r="J616" s="30">
        <v>50</v>
      </c>
      <c r="K616" s="31"/>
      <c r="L616" s="31"/>
      <c r="M616" s="31"/>
      <c r="N616" s="31"/>
      <c r="O616" s="31"/>
      <c r="P616" s="31"/>
      <c r="Q616" s="31"/>
      <c r="R616" s="31"/>
      <c r="S616" s="31"/>
      <c r="T616" s="31"/>
    </row>
    <row r="617" spans="1:20" ht="15.75">
      <c r="A617" s="11">
        <v>59901</v>
      </c>
      <c r="B617" s="39">
        <f t="shared" si="0"/>
        <v>31</v>
      </c>
      <c r="C617" s="30">
        <v>122.58</v>
      </c>
      <c r="D617" s="30">
        <v>297.94099999999997</v>
      </c>
      <c r="E617" s="36">
        <v>729.47900000000004</v>
      </c>
      <c r="F617" s="30">
        <v>1150</v>
      </c>
      <c r="G617" s="30">
        <v>100</v>
      </c>
      <c r="H617" s="38">
        <v>600</v>
      </c>
      <c r="I617" s="30">
        <v>695</v>
      </c>
      <c r="J617" s="30">
        <v>50</v>
      </c>
      <c r="K617" s="31"/>
      <c r="L617" s="31"/>
      <c r="M617" s="31"/>
      <c r="N617" s="31"/>
      <c r="O617" s="31"/>
      <c r="P617" s="31"/>
      <c r="Q617" s="31"/>
      <c r="R617" s="31"/>
      <c r="S617" s="31"/>
      <c r="T617" s="31"/>
    </row>
    <row r="618" spans="1:20" ht="15.75">
      <c r="A618" s="11">
        <v>59932</v>
      </c>
      <c r="B618" s="39">
        <f t="shared" si="0"/>
        <v>31</v>
      </c>
      <c r="C618" s="30">
        <v>122.58</v>
      </c>
      <c r="D618" s="30">
        <v>297.94099999999997</v>
      </c>
      <c r="E618" s="36">
        <v>729.47900000000004</v>
      </c>
      <c r="F618" s="30">
        <v>1150</v>
      </c>
      <c r="G618" s="30">
        <v>100</v>
      </c>
      <c r="H618" s="38">
        <v>600</v>
      </c>
      <c r="I618" s="30">
        <v>695</v>
      </c>
      <c r="J618" s="30">
        <v>50</v>
      </c>
      <c r="K618" s="31"/>
      <c r="L618" s="31"/>
      <c r="M618" s="31"/>
      <c r="N618" s="31"/>
      <c r="O618" s="31"/>
      <c r="P618" s="31"/>
      <c r="Q618" s="31"/>
      <c r="R618" s="31"/>
      <c r="S618" s="31"/>
      <c r="T618" s="31"/>
    </row>
    <row r="619" spans="1:20" ht="15.75">
      <c r="A619" s="11">
        <v>59961</v>
      </c>
      <c r="B619" s="39">
        <f t="shared" si="0"/>
        <v>29</v>
      </c>
      <c r="C619" s="30">
        <v>122.58</v>
      </c>
      <c r="D619" s="30">
        <v>297.94099999999997</v>
      </c>
      <c r="E619" s="36">
        <v>729.47900000000004</v>
      </c>
      <c r="F619" s="30">
        <v>1150</v>
      </c>
      <c r="G619" s="30">
        <v>100</v>
      </c>
      <c r="H619" s="38">
        <v>600</v>
      </c>
      <c r="I619" s="30">
        <v>695</v>
      </c>
      <c r="J619" s="30">
        <v>50</v>
      </c>
      <c r="K619" s="31"/>
      <c r="L619" s="31"/>
      <c r="M619" s="31"/>
      <c r="N619" s="31"/>
      <c r="O619" s="31"/>
      <c r="P619" s="31"/>
      <c r="Q619" s="31"/>
      <c r="R619" s="31"/>
      <c r="S619" s="31"/>
      <c r="T619" s="31"/>
    </row>
    <row r="620" spans="1:20" ht="15.75">
      <c r="A620" s="11">
        <v>59992</v>
      </c>
      <c r="B620" s="39">
        <f t="shared" si="0"/>
        <v>31</v>
      </c>
      <c r="C620" s="30">
        <v>122.58</v>
      </c>
      <c r="D620" s="30">
        <v>297.94099999999997</v>
      </c>
      <c r="E620" s="36">
        <v>729.47900000000004</v>
      </c>
      <c r="F620" s="30">
        <v>1150</v>
      </c>
      <c r="G620" s="30">
        <v>100</v>
      </c>
      <c r="H620" s="38">
        <v>600</v>
      </c>
      <c r="I620" s="30">
        <v>695</v>
      </c>
      <c r="J620" s="30">
        <v>50</v>
      </c>
      <c r="K620" s="31"/>
      <c r="L620" s="31"/>
      <c r="M620" s="31"/>
      <c r="N620" s="31"/>
      <c r="O620" s="31"/>
      <c r="P620" s="31"/>
      <c r="Q620" s="31"/>
      <c r="R620" s="31"/>
      <c r="S620" s="31"/>
      <c r="T620" s="31"/>
    </row>
    <row r="621" spans="1:20" ht="15.75">
      <c r="A621" s="11">
        <v>60022</v>
      </c>
      <c r="B621" s="39">
        <f t="shared" si="0"/>
        <v>30</v>
      </c>
      <c r="C621" s="30">
        <v>141.29300000000001</v>
      </c>
      <c r="D621" s="30">
        <v>267.99299999999999</v>
      </c>
      <c r="E621" s="36">
        <v>829.71400000000006</v>
      </c>
      <c r="F621" s="30">
        <v>1239</v>
      </c>
      <c r="G621" s="30">
        <v>100</v>
      </c>
      <c r="H621" s="38">
        <v>600</v>
      </c>
      <c r="I621" s="30">
        <v>695</v>
      </c>
      <c r="J621" s="30">
        <v>50</v>
      </c>
      <c r="K621" s="31"/>
      <c r="L621" s="31"/>
      <c r="M621" s="31"/>
      <c r="N621" s="31"/>
      <c r="O621" s="31"/>
      <c r="P621" s="31"/>
      <c r="Q621" s="31"/>
      <c r="R621" s="31"/>
      <c r="S621" s="31"/>
      <c r="T621" s="31"/>
    </row>
    <row r="622" spans="1:20" ht="15.75">
      <c r="A622" s="11">
        <v>60053</v>
      </c>
      <c r="B622" s="39">
        <f t="shared" si="0"/>
        <v>31</v>
      </c>
      <c r="C622" s="30">
        <v>194.20500000000001</v>
      </c>
      <c r="D622" s="30">
        <v>267.46600000000001</v>
      </c>
      <c r="E622" s="36">
        <v>812.32899999999995</v>
      </c>
      <c r="F622" s="30">
        <v>1274</v>
      </c>
      <c r="G622" s="30">
        <v>75</v>
      </c>
      <c r="H622" s="38">
        <v>600</v>
      </c>
      <c r="I622" s="30">
        <v>695</v>
      </c>
      <c r="J622" s="30">
        <v>50</v>
      </c>
      <c r="K622" s="31"/>
      <c r="L622" s="31"/>
      <c r="M622" s="31"/>
      <c r="N622" s="31"/>
      <c r="O622" s="31"/>
      <c r="P622" s="31"/>
      <c r="Q622" s="31"/>
      <c r="R622" s="31"/>
      <c r="S622" s="31"/>
      <c r="T622" s="31"/>
    </row>
    <row r="623" spans="1:20" ht="15.75">
      <c r="A623" s="11">
        <v>60083</v>
      </c>
      <c r="B623" s="39">
        <f t="shared" si="0"/>
        <v>30</v>
      </c>
      <c r="C623" s="30">
        <v>194.20500000000001</v>
      </c>
      <c r="D623" s="30">
        <v>267.46600000000001</v>
      </c>
      <c r="E623" s="36">
        <v>812.32899999999995</v>
      </c>
      <c r="F623" s="30">
        <v>1274</v>
      </c>
      <c r="G623" s="30">
        <v>50</v>
      </c>
      <c r="H623" s="38">
        <v>600</v>
      </c>
      <c r="I623" s="30">
        <v>695</v>
      </c>
      <c r="J623" s="30">
        <v>50</v>
      </c>
      <c r="K623" s="31"/>
      <c r="L623" s="31"/>
      <c r="M623" s="31"/>
      <c r="N623" s="31"/>
      <c r="O623" s="31"/>
      <c r="P623" s="31"/>
      <c r="Q623" s="31"/>
      <c r="R623" s="31"/>
      <c r="S623" s="31"/>
      <c r="T623" s="31"/>
    </row>
    <row r="624" spans="1:20" ht="15.75">
      <c r="A624" s="11">
        <v>60114</v>
      </c>
      <c r="B624" s="39">
        <f t="shared" si="0"/>
        <v>31</v>
      </c>
      <c r="C624" s="30">
        <v>194.20500000000001</v>
      </c>
      <c r="D624" s="30">
        <v>267.46600000000001</v>
      </c>
      <c r="E624" s="36">
        <v>812.32899999999995</v>
      </c>
      <c r="F624" s="30">
        <v>1274</v>
      </c>
      <c r="G624" s="30">
        <v>50</v>
      </c>
      <c r="H624" s="38">
        <v>600</v>
      </c>
      <c r="I624" s="30">
        <v>695</v>
      </c>
      <c r="J624" s="30">
        <v>0</v>
      </c>
      <c r="K624" s="31"/>
      <c r="L624" s="31"/>
      <c r="M624" s="31"/>
      <c r="N624" s="31"/>
      <c r="O624" s="31"/>
      <c r="P624" s="31"/>
      <c r="Q624" s="31"/>
      <c r="R624" s="31"/>
      <c r="S624" s="31"/>
      <c r="T624" s="31"/>
    </row>
    <row r="625" spans="1:20" ht="15.75">
      <c r="A625" s="11">
        <v>60145</v>
      </c>
      <c r="B625" s="39">
        <f t="shared" si="0"/>
        <v>31</v>
      </c>
      <c r="C625" s="30">
        <v>194.20500000000001</v>
      </c>
      <c r="D625" s="30">
        <v>267.46600000000001</v>
      </c>
      <c r="E625" s="36">
        <v>812.32899999999995</v>
      </c>
      <c r="F625" s="30">
        <v>1274</v>
      </c>
      <c r="G625" s="30">
        <v>50</v>
      </c>
      <c r="H625" s="38">
        <v>600</v>
      </c>
      <c r="I625" s="30">
        <v>695</v>
      </c>
      <c r="J625" s="30">
        <v>0</v>
      </c>
      <c r="K625" s="31"/>
      <c r="L625" s="31"/>
      <c r="M625" s="31"/>
      <c r="N625" s="31"/>
      <c r="O625" s="31"/>
      <c r="P625" s="31"/>
      <c r="Q625" s="31"/>
      <c r="R625" s="31"/>
      <c r="S625" s="31"/>
      <c r="T625" s="31"/>
    </row>
    <row r="626" spans="1:20" ht="15.75">
      <c r="A626" s="11">
        <v>60175</v>
      </c>
      <c r="B626" s="39">
        <f t="shared" si="0"/>
        <v>30</v>
      </c>
      <c r="C626" s="30">
        <v>194.20500000000001</v>
      </c>
      <c r="D626" s="30">
        <v>267.46600000000001</v>
      </c>
      <c r="E626" s="36">
        <v>812.32899999999995</v>
      </c>
      <c r="F626" s="30">
        <v>1274</v>
      </c>
      <c r="G626" s="30">
        <v>50</v>
      </c>
      <c r="H626" s="38">
        <v>600</v>
      </c>
      <c r="I626" s="30">
        <v>695</v>
      </c>
      <c r="J626" s="30">
        <v>0</v>
      </c>
      <c r="K626" s="31"/>
      <c r="L626" s="31"/>
      <c r="M626" s="31"/>
      <c r="N626" s="31"/>
      <c r="O626" s="31"/>
      <c r="P626" s="31"/>
      <c r="Q626" s="31"/>
      <c r="R626" s="31"/>
      <c r="S626" s="31"/>
      <c r="T626" s="31"/>
    </row>
    <row r="627" spans="1:20" ht="15.75">
      <c r="A627" s="11">
        <v>60206</v>
      </c>
      <c r="B627" s="39">
        <f t="shared" si="0"/>
        <v>31</v>
      </c>
      <c r="C627" s="30">
        <v>131.881</v>
      </c>
      <c r="D627" s="30">
        <v>277.16699999999997</v>
      </c>
      <c r="E627" s="36">
        <v>829.952</v>
      </c>
      <c r="F627" s="30">
        <v>1239</v>
      </c>
      <c r="G627" s="30">
        <v>75</v>
      </c>
      <c r="H627" s="38">
        <v>600</v>
      </c>
      <c r="I627" s="30">
        <v>695</v>
      </c>
      <c r="J627" s="30">
        <v>0</v>
      </c>
      <c r="K627" s="31"/>
      <c r="L627" s="31"/>
      <c r="M627" s="31"/>
      <c r="N627" s="31"/>
      <c r="O627" s="31"/>
      <c r="P627" s="31"/>
      <c r="Q627" s="31"/>
      <c r="R627" s="31"/>
      <c r="S627" s="31"/>
      <c r="T627" s="31"/>
    </row>
    <row r="628" spans="1:20" ht="15.75">
      <c r="A628" s="11">
        <v>60236</v>
      </c>
      <c r="B628" s="39">
        <f t="shared" si="0"/>
        <v>30</v>
      </c>
      <c r="C628" s="30">
        <v>122.58</v>
      </c>
      <c r="D628" s="30">
        <v>297.94099999999997</v>
      </c>
      <c r="E628" s="36">
        <v>729.47900000000004</v>
      </c>
      <c r="F628" s="30">
        <v>1150</v>
      </c>
      <c r="G628" s="30">
        <v>100</v>
      </c>
      <c r="H628" s="38">
        <v>600</v>
      </c>
      <c r="I628" s="30">
        <v>695</v>
      </c>
      <c r="J628" s="30">
        <v>50</v>
      </c>
      <c r="K628" s="31"/>
      <c r="L628" s="31"/>
      <c r="M628" s="31"/>
      <c r="N628" s="31"/>
      <c r="O628" s="31"/>
      <c r="P628" s="31"/>
      <c r="Q628" s="31"/>
      <c r="R628" s="31"/>
      <c r="S628" s="31"/>
      <c r="T628" s="31"/>
    </row>
    <row r="629" spans="1:20" ht="15.75">
      <c r="A629" s="11">
        <v>60267</v>
      </c>
      <c r="B629" s="39">
        <f t="shared" si="0"/>
        <v>31</v>
      </c>
      <c r="C629" s="30">
        <v>122.58</v>
      </c>
      <c r="D629" s="30">
        <v>297.94099999999997</v>
      </c>
      <c r="E629" s="36">
        <v>729.47900000000004</v>
      </c>
      <c r="F629" s="30">
        <v>1150</v>
      </c>
      <c r="G629" s="30">
        <v>100</v>
      </c>
      <c r="H629" s="38">
        <v>600</v>
      </c>
      <c r="I629" s="30">
        <v>695</v>
      </c>
      <c r="J629" s="30">
        <v>50</v>
      </c>
      <c r="K629" s="31"/>
      <c r="L629" s="31"/>
      <c r="M629" s="31"/>
      <c r="N629" s="31"/>
      <c r="O629" s="31"/>
      <c r="P629" s="31"/>
      <c r="Q629" s="31"/>
      <c r="R629" s="31"/>
      <c r="S629" s="31"/>
      <c r="T629" s="31"/>
    </row>
    <row r="630" spans="1:20" ht="15.75">
      <c r="A630" s="11">
        <v>60298</v>
      </c>
      <c r="B630" s="39">
        <f t="shared" si="0"/>
        <v>31</v>
      </c>
      <c r="C630" s="30">
        <v>122.58</v>
      </c>
      <c r="D630" s="30">
        <v>297.94099999999997</v>
      </c>
      <c r="E630" s="36">
        <v>729.47900000000004</v>
      </c>
      <c r="F630" s="30">
        <v>1150</v>
      </c>
      <c r="G630" s="30">
        <v>100</v>
      </c>
      <c r="H630" s="38">
        <v>600</v>
      </c>
      <c r="I630" s="30">
        <v>695</v>
      </c>
      <c r="J630" s="30">
        <v>50</v>
      </c>
      <c r="K630" s="31"/>
      <c r="L630" s="31"/>
      <c r="M630" s="31"/>
      <c r="N630" s="31"/>
      <c r="O630" s="31"/>
      <c r="P630" s="31"/>
      <c r="Q630" s="31"/>
      <c r="R630" s="31"/>
      <c r="S630" s="31"/>
      <c r="T630" s="31"/>
    </row>
    <row r="631" spans="1:20" ht="15.75">
      <c r="A631" s="11">
        <v>60326</v>
      </c>
      <c r="B631" s="39">
        <f t="shared" si="0"/>
        <v>28</v>
      </c>
      <c r="C631" s="30">
        <v>122.58</v>
      </c>
      <c r="D631" s="30">
        <v>297.94099999999997</v>
      </c>
      <c r="E631" s="36">
        <v>729.47900000000004</v>
      </c>
      <c r="F631" s="30">
        <v>1150</v>
      </c>
      <c r="G631" s="30">
        <v>100</v>
      </c>
      <c r="H631" s="38">
        <v>600</v>
      </c>
      <c r="I631" s="30">
        <v>695</v>
      </c>
      <c r="J631" s="30">
        <v>50</v>
      </c>
      <c r="K631" s="31"/>
      <c r="L631" s="31"/>
      <c r="M631" s="31"/>
      <c r="N631" s="31"/>
      <c r="O631" s="31"/>
      <c r="P631" s="31"/>
      <c r="Q631" s="31"/>
      <c r="R631" s="31"/>
      <c r="S631" s="31"/>
      <c r="T631" s="31"/>
    </row>
    <row r="632" spans="1:20" ht="15.75">
      <c r="A632" s="11">
        <v>60357</v>
      </c>
      <c r="B632" s="39">
        <f t="shared" si="0"/>
        <v>31</v>
      </c>
      <c r="C632" s="30">
        <v>122.58</v>
      </c>
      <c r="D632" s="30">
        <v>297.94099999999997</v>
      </c>
      <c r="E632" s="36">
        <v>729.47900000000004</v>
      </c>
      <c r="F632" s="30">
        <v>1150</v>
      </c>
      <c r="G632" s="30">
        <v>100</v>
      </c>
      <c r="H632" s="38">
        <v>600</v>
      </c>
      <c r="I632" s="30">
        <v>695</v>
      </c>
      <c r="J632" s="30">
        <v>50</v>
      </c>
      <c r="K632" s="31"/>
      <c r="L632" s="31"/>
      <c r="M632" s="31"/>
      <c r="N632" s="31"/>
      <c r="O632" s="31"/>
      <c r="P632" s="31"/>
      <c r="Q632" s="31"/>
      <c r="R632" s="31"/>
      <c r="S632" s="31"/>
      <c r="T632" s="31"/>
    </row>
    <row r="633" spans="1:20" ht="15.75">
      <c r="A633" s="11">
        <v>60387</v>
      </c>
      <c r="B633" s="39">
        <f t="shared" si="0"/>
        <v>30</v>
      </c>
      <c r="C633" s="30">
        <v>141.29300000000001</v>
      </c>
      <c r="D633" s="30">
        <v>267.99299999999999</v>
      </c>
      <c r="E633" s="36">
        <v>829.71400000000006</v>
      </c>
      <c r="F633" s="30">
        <v>1239</v>
      </c>
      <c r="G633" s="30">
        <v>100</v>
      </c>
      <c r="H633" s="38">
        <v>600</v>
      </c>
      <c r="I633" s="30">
        <v>695</v>
      </c>
      <c r="J633" s="30">
        <v>50</v>
      </c>
      <c r="K633" s="31"/>
      <c r="L633" s="31"/>
      <c r="M633" s="31"/>
      <c r="N633" s="31"/>
      <c r="O633" s="31"/>
      <c r="P633" s="31"/>
      <c r="Q633" s="31"/>
      <c r="R633" s="31"/>
      <c r="S633" s="31"/>
      <c r="T633" s="31"/>
    </row>
    <row r="634" spans="1:20" ht="15.75">
      <c r="A634" s="11">
        <v>60418</v>
      </c>
      <c r="B634" s="39">
        <f t="shared" si="0"/>
        <v>31</v>
      </c>
      <c r="C634" s="30">
        <v>194.20500000000001</v>
      </c>
      <c r="D634" s="30">
        <v>267.46600000000001</v>
      </c>
      <c r="E634" s="36">
        <v>812.32899999999995</v>
      </c>
      <c r="F634" s="30">
        <v>1274</v>
      </c>
      <c r="G634" s="30">
        <v>75</v>
      </c>
      <c r="H634" s="38">
        <v>600</v>
      </c>
      <c r="I634" s="30">
        <v>695</v>
      </c>
      <c r="J634" s="30">
        <v>50</v>
      </c>
      <c r="K634" s="31"/>
      <c r="L634" s="31"/>
      <c r="M634" s="31"/>
      <c r="N634" s="31"/>
      <c r="O634" s="31"/>
      <c r="P634" s="31"/>
      <c r="Q634" s="31"/>
      <c r="R634" s="31"/>
      <c r="S634" s="31"/>
      <c r="T634" s="31"/>
    </row>
    <row r="635" spans="1:20" ht="15.75">
      <c r="A635" s="11">
        <v>60448</v>
      </c>
      <c r="B635" s="39">
        <f t="shared" si="0"/>
        <v>30</v>
      </c>
      <c r="C635" s="30">
        <v>194.20500000000001</v>
      </c>
      <c r="D635" s="30">
        <v>267.46600000000001</v>
      </c>
      <c r="E635" s="36">
        <v>812.32899999999995</v>
      </c>
      <c r="F635" s="30">
        <v>1274</v>
      </c>
      <c r="G635" s="30">
        <v>50</v>
      </c>
      <c r="H635" s="38">
        <v>600</v>
      </c>
      <c r="I635" s="30">
        <v>695</v>
      </c>
      <c r="J635" s="30">
        <v>50</v>
      </c>
      <c r="K635" s="31"/>
      <c r="L635" s="31"/>
      <c r="M635" s="31"/>
      <c r="N635" s="31"/>
      <c r="O635" s="31"/>
      <c r="P635" s="31"/>
      <c r="Q635" s="31"/>
      <c r="R635" s="31"/>
      <c r="S635" s="31"/>
      <c r="T635" s="31"/>
    </row>
    <row r="636" spans="1:20" ht="15.75">
      <c r="A636" s="11">
        <v>60479</v>
      </c>
      <c r="B636" s="39">
        <f t="shared" si="0"/>
        <v>31</v>
      </c>
      <c r="C636" s="30">
        <v>194.20500000000001</v>
      </c>
      <c r="D636" s="30">
        <v>267.46600000000001</v>
      </c>
      <c r="E636" s="36">
        <v>812.32899999999995</v>
      </c>
      <c r="F636" s="30">
        <v>1274</v>
      </c>
      <c r="G636" s="30">
        <v>50</v>
      </c>
      <c r="H636" s="38">
        <v>600</v>
      </c>
      <c r="I636" s="30">
        <v>695</v>
      </c>
      <c r="J636" s="30">
        <v>0</v>
      </c>
      <c r="K636" s="31"/>
      <c r="L636" s="31"/>
      <c r="M636" s="31"/>
      <c r="N636" s="31"/>
      <c r="O636" s="31"/>
      <c r="P636" s="31"/>
      <c r="Q636" s="31"/>
      <c r="R636" s="31"/>
      <c r="S636" s="31"/>
      <c r="T636" s="31"/>
    </row>
    <row r="637" spans="1:20" ht="15.75">
      <c r="A637" s="11">
        <v>60510</v>
      </c>
      <c r="B637" s="39">
        <f t="shared" si="0"/>
        <v>31</v>
      </c>
      <c r="C637" s="30">
        <v>194.20500000000001</v>
      </c>
      <c r="D637" s="30">
        <v>267.46600000000001</v>
      </c>
      <c r="E637" s="36">
        <v>812.32899999999995</v>
      </c>
      <c r="F637" s="30">
        <v>1274</v>
      </c>
      <c r="G637" s="30">
        <v>50</v>
      </c>
      <c r="H637" s="38">
        <v>600</v>
      </c>
      <c r="I637" s="30">
        <v>695</v>
      </c>
      <c r="J637" s="30">
        <v>0</v>
      </c>
      <c r="K637" s="31"/>
      <c r="L637" s="31"/>
      <c r="M637" s="31"/>
      <c r="N637" s="31"/>
      <c r="O637" s="31"/>
      <c r="P637" s="31"/>
      <c r="Q637" s="31"/>
      <c r="R637" s="31"/>
      <c r="S637" s="31"/>
      <c r="T637" s="31"/>
    </row>
    <row r="638" spans="1:20" ht="15.75">
      <c r="A638" s="11">
        <v>60540</v>
      </c>
      <c r="B638" s="39">
        <f t="shared" si="0"/>
        <v>30</v>
      </c>
      <c r="C638" s="30">
        <v>194.20500000000001</v>
      </c>
      <c r="D638" s="30">
        <v>267.46600000000001</v>
      </c>
      <c r="E638" s="36">
        <v>812.32899999999995</v>
      </c>
      <c r="F638" s="30">
        <v>1274</v>
      </c>
      <c r="G638" s="30">
        <v>50</v>
      </c>
      <c r="H638" s="38">
        <v>600</v>
      </c>
      <c r="I638" s="30">
        <v>695</v>
      </c>
      <c r="J638" s="30">
        <v>0</v>
      </c>
      <c r="K638" s="31"/>
      <c r="L638" s="31"/>
      <c r="M638" s="31"/>
      <c r="N638" s="31"/>
      <c r="O638" s="31"/>
      <c r="P638" s="31"/>
      <c r="Q638" s="31"/>
      <c r="R638" s="31"/>
      <c r="S638" s="31"/>
      <c r="T638" s="31"/>
    </row>
    <row r="639" spans="1:20" ht="15.75">
      <c r="A639" s="11">
        <v>60571</v>
      </c>
      <c r="B639" s="39">
        <f t="shared" si="0"/>
        <v>31</v>
      </c>
      <c r="C639" s="30">
        <v>131.881</v>
      </c>
      <c r="D639" s="30">
        <v>277.16699999999997</v>
      </c>
      <c r="E639" s="36">
        <v>829.952</v>
      </c>
      <c r="F639" s="30">
        <v>1239</v>
      </c>
      <c r="G639" s="30">
        <v>75</v>
      </c>
      <c r="H639" s="38">
        <v>600</v>
      </c>
      <c r="I639" s="30">
        <v>695</v>
      </c>
      <c r="J639" s="30">
        <v>0</v>
      </c>
      <c r="K639" s="31"/>
      <c r="L639" s="31"/>
      <c r="M639" s="31"/>
      <c r="N639" s="31"/>
      <c r="O639" s="31"/>
      <c r="P639" s="31"/>
      <c r="Q639" s="31"/>
      <c r="R639" s="31"/>
      <c r="S639" s="31"/>
      <c r="T639" s="31"/>
    </row>
    <row r="640" spans="1:20" ht="15.75">
      <c r="A640" s="11">
        <v>60601</v>
      </c>
      <c r="B640" s="39">
        <f t="shared" si="0"/>
        <v>30</v>
      </c>
      <c r="C640" s="30">
        <v>122.58</v>
      </c>
      <c r="D640" s="30">
        <v>297.94099999999997</v>
      </c>
      <c r="E640" s="36">
        <v>729.47900000000004</v>
      </c>
      <c r="F640" s="30">
        <v>1150</v>
      </c>
      <c r="G640" s="30">
        <v>100</v>
      </c>
      <c r="H640" s="38">
        <v>600</v>
      </c>
      <c r="I640" s="30">
        <v>695</v>
      </c>
      <c r="J640" s="30">
        <v>50</v>
      </c>
      <c r="K640" s="31"/>
      <c r="L640" s="31"/>
      <c r="M640" s="31"/>
      <c r="N640" s="31"/>
      <c r="O640" s="31"/>
      <c r="P640" s="31"/>
      <c r="Q640" s="31"/>
      <c r="R640" s="31"/>
      <c r="S640" s="31"/>
      <c r="T640" s="31"/>
    </row>
    <row r="641" spans="1:20" ht="15.75">
      <c r="A641" s="11">
        <v>60632</v>
      </c>
      <c r="B641" s="39">
        <f t="shared" si="0"/>
        <v>31</v>
      </c>
      <c r="C641" s="30">
        <v>122.58</v>
      </c>
      <c r="D641" s="30">
        <v>297.94099999999997</v>
      </c>
      <c r="E641" s="36">
        <v>729.47900000000004</v>
      </c>
      <c r="F641" s="30">
        <v>1150</v>
      </c>
      <c r="G641" s="30">
        <v>100</v>
      </c>
      <c r="H641" s="38">
        <v>600</v>
      </c>
      <c r="I641" s="30">
        <v>695</v>
      </c>
      <c r="J641" s="30">
        <v>50</v>
      </c>
      <c r="K641" s="31"/>
      <c r="L641" s="31"/>
      <c r="M641" s="31"/>
      <c r="N641" s="31"/>
      <c r="O641" s="31"/>
      <c r="P641" s="31"/>
      <c r="Q641" s="31"/>
      <c r="R641" s="31"/>
      <c r="S641" s="31"/>
      <c r="T641" s="31"/>
    </row>
    <row r="642" spans="1:20" ht="15.75">
      <c r="A642" s="11">
        <v>60663</v>
      </c>
      <c r="B642" s="39">
        <f t="shared" si="0"/>
        <v>31</v>
      </c>
      <c r="C642" s="30">
        <v>122.58</v>
      </c>
      <c r="D642" s="30">
        <v>297.94099999999997</v>
      </c>
      <c r="E642" s="36">
        <v>729.47900000000004</v>
      </c>
      <c r="F642" s="30">
        <v>1150</v>
      </c>
      <c r="G642" s="30">
        <v>100</v>
      </c>
      <c r="H642" s="38">
        <v>600</v>
      </c>
      <c r="I642" s="30">
        <v>695</v>
      </c>
      <c r="J642" s="30">
        <v>50</v>
      </c>
      <c r="K642" s="31"/>
      <c r="L642" s="31"/>
      <c r="M642" s="31"/>
      <c r="N642" s="31"/>
      <c r="O642" s="31"/>
      <c r="P642" s="31"/>
      <c r="Q642" s="31"/>
      <c r="R642" s="31"/>
      <c r="S642" s="31"/>
      <c r="T642" s="31"/>
    </row>
    <row r="643" spans="1:20" ht="15.75">
      <c r="A643" s="11">
        <v>60691</v>
      </c>
      <c r="B643" s="39">
        <f t="shared" si="0"/>
        <v>28</v>
      </c>
      <c r="C643" s="30">
        <v>122.58</v>
      </c>
      <c r="D643" s="30">
        <v>297.94099999999997</v>
      </c>
      <c r="E643" s="36">
        <v>729.47900000000004</v>
      </c>
      <c r="F643" s="30">
        <v>1150</v>
      </c>
      <c r="G643" s="30">
        <v>100</v>
      </c>
      <c r="H643" s="38">
        <v>600</v>
      </c>
      <c r="I643" s="30">
        <v>695</v>
      </c>
      <c r="J643" s="30">
        <v>50</v>
      </c>
      <c r="K643" s="31"/>
      <c r="L643" s="31"/>
      <c r="M643" s="31"/>
      <c r="N643" s="31"/>
      <c r="O643" s="31"/>
      <c r="P643" s="31"/>
      <c r="Q643" s="31"/>
      <c r="R643" s="31"/>
      <c r="S643" s="31"/>
      <c r="T643" s="31"/>
    </row>
    <row r="644" spans="1:20" ht="15.75">
      <c r="A644" s="11">
        <v>60722</v>
      </c>
      <c r="B644" s="39">
        <f t="shared" si="0"/>
        <v>31</v>
      </c>
      <c r="C644" s="30">
        <v>122.58</v>
      </c>
      <c r="D644" s="30">
        <v>297.94099999999997</v>
      </c>
      <c r="E644" s="36">
        <v>729.47900000000004</v>
      </c>
      <c r="F644" s="30">
        <v>1150</v>
      </c>
      <c r="G644" s="30">
        <v>100</v>
      </c>
      <c r="H644" s="38">
        <v>600</v>
      </c>
      <c r="I644" s="30">
        <v>695</v>
      </c>
      <c r="J644" s="30">
        <v>50</v>
      </c>
      <c r="K644" s="31"/>
      <c r="L644" s="31"/>
      <c r="M644" s="31"/>
      <c r="N644" s="31"/>
      <c r="O644" s="31"/>
      <c r="P644" s="31"/>
      <c r="Q644" s="31"/>
      <c r="R644" s="31"/>
      <c r="S644" s="31"/>
      <c r="T644" s="31"/>
    </row>
    <row r="645" spans="1:20" ht="15.75">
      <c r="A645" s="11">
        <v>60752</v>
      </c>
      <c r="B645" s="39">
        <f t="shared" si="0"/>
        <v>30</v>
      </c>
      <c r="C645" s="30">
        <v>141.29300000000001</v>
      </c>
      <c r="D645" s="30">
        <v>267.99299999999999</v>
      </c>
      <c r="E645" s="36">
        <v>829.71400000000006</v>
      </c>
      <c r="F645" s="30">
        <v>1239</v>
      </c>
      <c r="G645" s="30">
        <v>100</v>
      </c>
      <c r="H645" s="38">
        <v>600</v>
      </c>
      <c r="I645" s="30">
        <v>695</v>
      </c>
      <c r="J645" s="30">
        <v>50</v>
      </c>
      <c r="K645" s="31"/>
      <c r="L645" s="31"/>
      <c r="M645" s="31"/>
      <c r="N645" s="31"/>
      <c r="O645" s="31"/>
      <c r="P645" s="31"/>
      <c r="Q645" s="31"/>
      <c r="R645" s="31"/>
      <c r="S645" s="31"/>
      <c r="T645" s="31"/>
    </row>
    <row r="646" spans="1:20" ht="15.75">
      <c r="A646" s="11">
        <v>60783</v>
      </c>
      <c r="B646" s="39">
        <f t="shared" si="0"/>
        <v>31</v>
      </c>
      <c r="C646" s="30">
        <v>194.20500000000001</v>
      </c>
      <c r="D646" s="30">
        <v>267.46600000000001</v>
      </c>
      <c r="E646" s="36">
        <v>812.32899999999995</v>
      </c>
      <c r="F646" s="30">
        <v>1274</v>
      </c>
      <c r="G646" s="30">
        <v>75</v>
      </c>
      <c r="H646" s="38">
        <v>600</v>
      </c>
      <c r="I646" s="30">
        <v>695</v>
      </c>
      <c r="J646" s="30">
        <v>50</v>
      </c>
      <c r="K646" s="31"/>
      <c r="L646" s="31"/>
      <c r="M646" s="31"/>
      <c r="N646" s="31"/>
      <c r="O646" s="31"/>
      <c r="P646" s="31"/>
      <c r="Q646" s="31"/>
      <c r="R646" s="31"/>
      <c r="S646" s="31"/>
      <c r="T646" s="31"/>
    </row>
    <row r="647" spans="1:20" ht="15.75">
      <c r="A647" s="11">
        <v>60813</v>
      </c>
      <c r="B647" s="39">
        <f t="shared" si="0"/>
        <v>30</v>
      </c>
      <c r="C647" s="30">
        <v>194.20500000000001</v>
      </c>
      <c r="D647" s="30">
        <v>267.46600000000001</v>
      </c>
      <c r="E647" s="36">
        <v>812.32899999999995</v>
      </c>
      <c r="F647" s="30">
        <v>1274</v>
      </c>
      <c r="G647" s="30">
        <v>50</v>
      </c>
      <c r="H647" s="38">
        <v>600</v>
      </c>
      <c r="I647" s="30">
        <v>695</v>
      </c>
      <c r="J647" s="30">
        <v>50</v>
      </c>
      <c r="K647" s="31"/>
      <c r="L647" s="31"/>
      <c r="M647" s="31"/>
      <c r="N647" s="31"/>
      <c r="O647" s="31"/>
      <c r="P647" s="31"/>
      <c r="Q647" s="31"/>
      <c r="R647" s="31"/>
      <c r="S647" s="31"/>
      <c r="T647" s="31"/>
    </row>
    <row r="648" spans="1:20" ht="15.75">
      <c r="A648" s="11">
        <v>60844</v>
      </c>
      <c r="B648" s="39">
        <f t="shared" si="0"/>
        <v>31</v>
      </c>
      <c r="C648" s="30">
        <v>194.20500000000001</v>
      </c>
      <c r="D648" s="30">
        <v>267.46600000000001</v>
      </c>
      <c r="E648" s="36">
        <v>812.32899999999995</v>
      </c>
      <c r="F648" s="30">
        <v>1274</v>
      </c>
      <c r="G648" s="30">
        <v>50</v>
      </c>
      <c r="H648" s="38">
        <v>600</v>
      </c>
      <c r="I648" s="30">
        <v>695</v>
      </c>
      <c r="J648" s="30">
        <v>0</v>
      </c>
      <c r="K648" s="31"/>
      <c r="L648" s="31"/>
      <c r="M648" s="31"/>
      <c r="N648" s="31"/>
      <c r="O648" s="31"/>
      <c r="P648" s="31"/>
      <c r="Q648" s="31"/>
      <c r="R648" s="31"/>
      <c r="S648" s="31"/>
      <c r="T648" s="31"/>
    </row>
    <row r="649" spans="1:20" ht="15.75">
      <c r="A649" s="11">
        <v>60875</v>
      </c>
      <c r="B649" s="39">
        <f t="shared" si="0"/>
        <v>31</v>
      </c>
      <c r="C649" s="30">
        <v>194.20500000000001</v>
      </c>
      <c r="D649" s="30">
        <v>267.46600000000001</v>
      </c>
      <c r="E649" s="36">
        <v>812.32899999999995</v>
      </c>
      <c r="F649" s="30">
        <v>1274</v>
      </c>
      <c r="G649" s="30">
        <v>50</v>
      </c>
      <c r="H649" s="38">
        <v>600</v>
      </c>
      <c r="I649" s="30">
        <v>695</v>
      </c>
      <c r="J649" s="30">
        <v>0</v>
      </c>
      <c r="K649" s="31"/>
      <c r="L649" s="31"/>
      <c r="M649" s="31"/>
      <c r="N649" s="31"/>
      <c r="O649" s="31"/>
      <c r="P649" s="31"/>
      <c r="Q649" s="31"/>
      <c r="R649" s="31"/>
      <c r="S649" s="31"/>
      <c r="T649" s="31"/>
    </row>
    <row r="650" spans="1:20" ht="15.75">
      <c r="A650" s="11">
        <v>60905</v>
      </c>
      <c r="B650" s="39">
        <f t="shared" si="0"/>
        <v>30</v>
      </c>
      <c r="C650" s="30">
        <v>194.20500000000001</v>
      </c>
      <c r="D650" s="30">
        <v>267.46600000000001</v>
      </c>
      <c r="E650" s="36">
        <v>812.32899999999995</v>
      </c>
      <c r="F650" s="30">
        <v>1274</v>
      </c>
      <c r="G650" s="30">
        <v>50</v>
      </c>
      <c r="H650" s="38">
        <v>600</v>
      </c>
      <c r="I650" s="30">
        <v>695</v>
      </c>
      <c r="J650" s="30">
        <v>0</v>
      </c>
      <c r="K650" s="31"/>
      <c r="L650" s="31"/>
      <c r="M650" s="31"/>
      <c r="N650" s="31"/>
      <c r="O650" s="31"/>
      <c r="P650" s="31"/>
      <c r="Q650" s="31"/>
      <c r="R650" s="31"/>
      <c r="S650" s="31"/>
      <c r="T650" s="31"/>
    </row>
    <row r="651" spans="1:20" ht="15.75">
      <c r="A651" s="11">
        <v>60936</v>
      </c>
      <c r="B651" s="39">
        <f t="shared" si="0"/>
        <v>31</v>
      </c>
      <c r="C651" s="30">
        <v>131.881</v>
      </c>
      <c r="D651" s="30">
        <v>277.16699999999997</v>
      </c>
      <c r="E651" s="36">
        <v>829.952</v>
      </c>
      <c r="F651" s="30">
        <v>1239</v>
      </c>
      <c r="G651" s="30">
        <v>75</v>
      </c>
      <c r="H651" s="38">
        <v>600</v>
      </c>
      <c r="I651" s="30">
        <v>695</v>
      </c>
      <c r="J651" s="30">
        <v>0</v>
      </c>
      <c r="K651" s="31"/>
      <c r="L651" s="31"/>
      <c r="M651" s="31"/>
      <c r="N651" s="31"/>
      <c r="O651" s="31"/>
      <c r="P651" s="31"/>
      <c r="Q651" s="31"/>
      <c r="R651" s="31"/>
      <c r="S651" s="31"/>
      <c r="T651" s="31"/>
    </row>
    <row r="652" spans="1:20" ht="15.75">
      <c r="A652" s="11">
        <v>60966</v>
      </c>
      <c r="B652" s="39">
        <f t="shared" si="0"/>
        <v>30</v>
      </c>
      <c r="C652" s="30">
        <v>122.58</v>
      </c>
      <c r="D652" s="30">
        <v>297.94099999999997</v>
      </c>
      <c r="E652" s="36">
        <v>729.47900000000004</v>
      </c>
      <c r="F652" s="30">
        <v>1150</v>
      </c>
      <c r="G652" s="30">
        <v>100</v>
      </c>
      <c r="H652" s="38">
        <v>600</v>
      </c>
      <c r="I652" s="30">
        <v>695</v>
      </c>
      <c r="J652" s="30">
        <v>50</v>
      </c>
      <c r="K652" s="31"/>
      <c r="L652" s="31"/>
      <c r="M652" s="31"/>
      <c r="N652" s="31"/>
      <c r="O652" s="31"/>
      <c r="P652" s="31"/>
      <c r="Q652" s="31"/>
      <c r="R652" s="31"/>
      <c r="S652" s="31"/>
      <c r="T652" s="31"/>
    </row>
    <row r="653" spans="1:20" ht="15.75">
      <c r="A653" s="11">
        <v>60997</v>
      </c>
      <c r="B653" s="39">
        <f t="shared" si="0"/>
        <v>31</v>
      </c>
      <c r="C653" s="30">
        <v>122.58</v>
      </c>
      <c r="D653" s="30">
        <v>297.94099999999997</v>
      </c>
      <c r="E653" s="36">
        <v>729.47900000000004</v>
      </c>
      <c r="F653" s="30">
        <v>1150</v>
      </c>
      <c r="G653" s="30">
        <v>100</v>
      </c>
      <c r="H653" s="38">
        <v>600</v>
      </c>
      <c r="I653" s="30">
        <v>695</v>
      </c>
      <c r="J653" s="30">
        <v>50</v>
      </c>
      <c r="K653" s="31"/>
      <c r="L653" s="31"/>
      <c r="M653" s="31"/>
      <c r="N653" s="31"/>
      <c r="O653" s="31"/>
      <c r="P653" s="31"/>
      <c r="Q653" s="31"/>
      <c r="R653" s="31"/>
      <c r="S653" s="31"/>
      <c r="T653" s="31"/>
    </row>
    <row r="654" spans="1:20" ht="15.75">
      <c r="A654" s="11">
        <v>61028</v>
      </c>
      <c r="B654" s="39">
        <f t="shared" si="0"/>
        <v>31</v>
      </c>
      <c r="C654" s="30">
        <v>122.58</v>
      </c>
      <c r="D654" s="30">
        <v>297.94099999999997</v>
      </c>
      <c r="E654" s="36">
        <v>729.47900000000004</v>
      </c>
      <c r="F654" s="30">
        <v>1150</v>
      </c>
      <c r="G654" s="30">
        <v>100</v>
      </c>
      <c r="H654" s="38">
        <v>600</v>
      </c>
      <c r="I654" s="30">
        <v>695</v>
      </c>
      <c r="J654" s="30">
        <v>50</v>
      </c>
      <c r="K654" s="31"/>
      <c r="L654" s="31"/>
      <c r="M654" s="31"/>
      <c r="N654" s="31"/>
      <c r="O654" s="31"/>
      <c r="P654" s="31"/>
      <c r="Q654" s="31"/>
      <c r="R654" s="31"/>
      <c r="S654" s="31"/>
      <c r="T654" s="31"/>
    </row>
    <row r="655" spans="1:20" ht="15.75">
      <c r="A655" s="11">
        <v>61056</v>
      </c>
      <c r="B655" s="39">
        <f t="shared" si="0"/>
        <v>28</v>
      </c>
      <c r="C655" s="30">
        <v>122.58</v>
      </c>
      <c r="D655" s="30">
        <v>297.94099999999997</v>
      </c>
      <c r="E655" s="36">
        <v>729.47900000000004</v>
      </c>
      <c r="F655" s="30">
        <v>1150</v>
      </c>
      <c r="G655" s="30">
        <v>100</v>
      </c>
      <c r="H655" s="38">
        <v>600</v>
      </c>
      <c r="I655" s="30">
        <v>695</v>
      </c>
      <c r="J655" s="30">
        <v>50</v>
      </c>
      <c r="K655" s="31"/>
      <c r="L655" s="31"/>
      <c r="M655" s="31"/>
      <c r="N655" s="31"/>
      <c r="O655" s="31"/>
      <c r="P655" s="31"/>
      <c r="Q655" s="31"/>
      <c r="R655" s="31"/>
      <c r="S655" s="31"/>
      <c r="T655" s="31"/>
    </row>
    <row r="656" spans="1:20" ht="15.75">
      <c r="A656" s="11">
        <v>61087</v>
      </c>
      <c r="B656" s="39">
        <f t="shared" si="0"/>
        <v>31</v>
      </c>
      <c r="C656" s="30">
        <v>122.58</v>
      </c>
      <c r="D656" s="30">
        <v>297.94099999999997</v>
      </c>
      <c r="E656" s="36">
        <v>729.47900000000004</v>
      </c>
      <c r="F656" s="30">
        <v>1150</v>
      </c>
      <c r="G656" s="30">
        <v>100</v>
      </c>
      <c r="H656" s="38">
        <v>600</v>
      </c>
      <c r="I656" s="30">
        <v>695</v>
      </c>
      <c r="J656" s="30">
        <v>50</v>
      </c>
      <c r="K656" s="31"/>
      <c r="L656" s="31"/>
      <c r="M656" s="31"/>
      <c r="N656" s="31"/>
      <c r="O656" s="31"/>
      <c r="P656" s="31"/>
      <c r="Q656" s="31"/>
      <c r="R656" s="31"/>
      <c r="S656" s="31"/>
      <c r="T656" s="31"/>
    </row>
    <row r="657" spans="1:20" ht="15.75">
      <c r="A657" s="11">
        <v>61117</v>
      </c>
      <c r="B657" s="39">
        <f t="shared" si="0"/>
        <v>30</v>
      </c>
      <c r="C657" s="30">
        <v>141.29300000000001</v>
      </c>
      <c r="D657" s="30">
        <v>267.99299999999999</v>
      </c>
      <c r="E657" s="36">
        <v>829.71400000000006</v>
      </c>
      <c r="F657" s="30">
        <v>1239</v>
      </c>
      <c r="G657" s="30">
        <v>100</v>
      </c>
      <c r="H657" s="38">
        <v>600</v>
      </c>
      <c r="I657" s="30">
        <v>695</v>
      </c>
      <c r="J657" s="30">
        <v>50</v>
      </c>
      <c r="K657" s="31"/>
      <c r="L657" s="31"/>
      <c r="M657" s="31"/>
      <c r="N657" s="31"/>
      <c r="O657" s="31"/>
      <c r="P657" s="31"/>
      <c r="Q657" s="31"/>
      <c r="R657" s="31"/>
      <c r="S657" s="31"/>
      <c r="T657" s="31"/>
    </row>
    <row r="658" spans="1:20" ht="15.75">
      <c r="A658" s="11">
        <v>61148</v>
      </c>
      <c r="B658" s="39">
        <f t="shared" ref="B658:B721" si="1">EOMONTH(A658,0)-EOMONTH(A658,-1)</f>
        <v>31</v>
      </c>
      <c r="C658" s="30">
        <v>194.20500000000001</v>
      </c>
      <c r="D658" s="30">
        <v>267.46600000000001</v>
      </c>
      <c r="E658" s="36">
        <v>812.32899999999995</v>
      </c>
      <c r="F658" s="30">
        <v>1274</v>
      </c>
      <c r="G658" s="30">
        <v>75</v>
      </c>
      <c r="H658" s="38">
        <v>600</v>
      </c>
      <c r="I658" s="30">
        <v>695</v>
      </c>
      <c r="J658" s="30">
        <v>50</v>
      </c>
      <c r="K658" s="31"/>
      <c r="L658" s="31"/>
      <c r="M658" s="31"/>
      <c r="N658" s="31"/>
      <c r="O658" s="31"/>
      <c r="P658" s="31"/>
      <c r="Q658" s="31"/>
      <c r="R658" s="31"/>
      <c r="S658" s="31"/>
      <c r="T658" s="31"/>
    </row>
    <row r="659" spans="1:20" ht="15.75">
      <c r="A659" s="11">
        <v>61178</v>
      </c>
      <c r="B659" s="39">
        <f t="shared" si="1"/>
        <v>30</v>
      </c>
      <c r="C659" s="30">
        <v>194.20500000000001</v>
      </c>
      <c r="D659" s="30">
        <v>267.46600000000001</v>
      </c>
      <c r="E659" s="36">
        <v>812.32899999999995</v>
      </c>
      <c r="F659" s="30">
        <v>1274</v>
      </c>
      <c r="G659" s="30">
        <v>50</v>
      </c>
      <c r="H659" s="38">
        <v>600</v>
      </c>
      <c r="I659" s="30">
        <v>695</v>
      </c>
      <c r="J659" s="30">
        <v>50</v>
      </c>
      <c r="K659" s="31"/>
      <c r="L659" s="31"/>
      <c r="M659" s="31"/>
      <c r="N659" s="31"/>
      <c r="O659" s="31"/>
      <c r="P659" s="31"/>
      <c r="Q659" s="31"/>
      <c r="R659" s="31"/>
      <c r="S659" s="31"/>
      <c r="T659" s="31"/>
    </row>
    <row r="660" spans="1:20" ht="15.75">
      <c r="A660" s="11">
        <v>61209</v>
      </c>
      <c r="B660" s="39">
        <f t="shared" si="1"/>
        <v>31</v>
      </c>
      <c r="C660" s="30">
        <v>194.20500000000001</v>
      </c>
      <c r="D660" s="30">
        <v>267.46600000000001</v>
      </c>
      <c r="E660" s="36">
        <v>812.32899999999995</v>
      </c>
      <c r="F660" s="30">
        <v>1274</v>
      </c>
      <c r="G660" s="30">
        <v>50</v>
      </c>
      <c r="H660" s="38">
        <v>600</v>
      </c>
      <c r="I660" s="30">
        <v>695</v>
      </c>
      <c r="J660" s="30">
        <v>0</v>
      </c>
      <c r="K660" s="31"/>
      <c r="L660" s="31"/>
      <c r="M660" s="31"/>
      <c r="N660" s="31"/>
      <c r="O660" s="31"/>
      <c r="P660" s="31"/>
      <c r="Q660" s="31"/>
      <c r="R660" s="31"/>
      <c r="S660" s="31"/>
      <c r="T660" s="31"/>
    </row>
    <row r="661" spans="1:20" ht="15.75">
      <c r="A661" s="11">
        <v>61240</v>
      </c>
      <c r="B661" s="39">
        <f t="shared" si="1"/>
        <v>31</v>
      </c>
      <c r="C661" s="30">
        <v>194.20500000000001</v>
      </c>
      <c r="D661" s="30">
        <v>267.46600000000001</v>
      </c>
      <c r="E661" s="36">
        <v>812.32899999999995</v>
      </c>
      <c r="F661" s="30">
        <v>1274</v>
      </c>
      <c r="G661" s="30">
        <v>50</v>
      </c>
      <c r="H661" s="38">
        <v>600</v>
      </c>
      <c r="I661" s="30">
        <v>695</v>
      </c>
      <c r="J661" s="30">
        <v>0</v>
      </c>
      <c r="K661" s="31"/>
      <c r="L661" s="31"/>
      <c r="M661" s="31"/>
      <c r="N661" s="31"/>
      <c r="O661" s="31"/>
      <c r="P661" s="31"/>
      <c r="Q661" s="31"/>
      <c r="R661" s="31"/>
      <c r="S661" s="31"/>
      <c r="T661" s="31"/>
    </row>
    <row r="662" spans="1:20" ht="15.75">
      <c r="A662" s="11">
        <v>61270</v>
      </c>
      <c r="B662" s="39">
        <f t="shared" si="1"/>
        <v>30</v>
      </c>
      <c r="C662" s="30">
        <v>194.20500000000001</v>
      </c>
      <c r="D662" s="30">
        <v>267.46600000000001</v>
      </c>
      <c r="E662" s="36">
        <v>812.32899999999995</v>
      </c>
      <c r="F662" s="30">
        <v>1274</v>
      </c>
      <c r="G662" s="30">
        <v>50</v>
      </c>
      <c r="H662" s="38">
        <v>600</v>
      </c>
      <c r="I662" s="30">
        <v>695</v>
      </c>
      <c r="J662" s="30">
        <v>0</v>
      </c>
      <c r="K662" s="31"/>
      <c r="L662" s="31"/>
      <c r="M662" s="31"/>
      <c r="N662" s="31"/>
      <c r="O662" s="31"/>
      <c r="P662" s="31"/>
      <c r="Q662" s="31"/>
      <c r="R662" s="31"/>
      <c r="S662" s="31"/>
      <c r="T662" s="31"/>
    </row>
    <row r="663" spans="1:20" ht="15.75">
      <c r="A663" s="11">
        <v>61301</v>
      </c>
      <c r="B663" s="39">
        <f t="shared" si="1"/>
        <v>31</v>
      </c>
      <c r="C663" s="30">
        <v>131.881</v>
      </c>
      <c r="D663" s="30">
        <v>277.16699999999997</v>
      </c>
      <c r="E663" s="36">
        <v>829.952</v>
      </c>
      <c r="F663" s="30">
        <v>1239</v>
      </c>
      <c r="G663" s="30">
        <v>75</v>
      </c>
      <c r="H663" s="38">
        <v>600</v>
      </c>
      <c r="I663" s="30">
        <v>695</v>
      </c>
      <c r="J663" s="30">
        <v>0</v>
      </c>
      <c r="K663" s="31"/>
      <c r="L663" s="31"/>
      <c r="M663" s="31"/>
      <c r="N663" s="31"/>
      <c r="O663" s="31"/>
      <c r="P663" s="31"/>
      <c r="Q663" s="31"/>
      <c r="R663" s="31"/>
      <c r="S663" s="31"/>
      <c r="T663" s="31"/>
    </row>
    <row r="664" spans="1:20" ht="15.75">
      <c r="A664" s="11">
        <v>61331</v>
      </c>
      <c r="B664" s="39">
        <f t="shared" si="1"/>
        <v>30</v>
      </c>
      <c r="C664" s="30">
        <v>122.58</v>
      </c>
      <c r="D664" s="30">
        <v>297.94099999999997</v>
      </c>
      <c r="E664" s="36">
        <v>729.47900000000004</v>
      </c>
      <c r="F664" s="30">
        <v>1150</v>
      </c>
      <c r="G664" s="30">
        <v>100</v>
      </c>
      <c r="H664" s="38">
        <v>600</v>
      </c>
      <c r="I664" s="30">
        <v>695</v>
      </c>
      <c r="J664" s="30">
        <v>50</v>
      </c>
      <c r="K664" s="31"/>
      <c r="L664" s="31"/>
      <c r="M664" s="31"/>
      <c r="N664" s="31"/>
      <c r="O664" s="31"/>
      <c r="P664" s="31"/>
      <c r="Q664" s="31"/>
      <c r="R664" s="31"/>
      <c r="S664" s="31"/>
      <c r="T664" s="31"/>
    </row>
    <row r="665" spans="1:20" ht="15.75">
      <c r="A665" s="11">
        <v>61362</v>
      </c>
      <c r="B665" s="39">
        <f t="shared" si="1"/>
        <v>31</v>
      </c>
      <c r="C665" s="30">
        <v>122.58</v>
      </c>
      <c r="D665" s="30">
        <v>297.94099999999997</v>
      </c>
      <c r="E665" s="36">
        <v>729.47900000000004</v>
      </c>
      <c r="F665" s="30">
        <v>1150</v>
      </c>
      <c r="G665" s="30">
        <v>100</v>
      </c>
      <c r="H665" s="38">
        <v>600</v>
      </c>
      <c r="I665" s="30">
        <v>695</v>
      </c>
      <c r="J665" s="30">
        <v>50</v>
      </c>
      <c r="K665" s="31"/>
      <c r="L665" s="31"/>
      <c r="M665" s="31"/>
      <c r="N665" s="31"/>
      <c r="O665" s="31"/>
      <c r="P665" s="31"/>
      <c r="Q665" s="31"/>
      <c r="R665" s="31"/>
      <c r="S665" s="31"/>
      <c r="T665" s="31"/>
    </row>
    <row r="666" spans="1:20" ht="15.75">
      <c r="A666" s="11">
        <v>61393</v>
      </c>
      <c r="B666" s="39">
        <f t="shared" si="1"/>
        <v>31</v>
      </c>
      <c r="C666" s="30">
        <v>122.58</v>
      </c>
      <c r="D666" s="30">
        <v>297.94099999999997</v>
      </c>
      <c r="E666" s="36">
        <v>729.47900000000004</v>
      </c>
      <c r="F666" s="30">
        <v>1150</v>
      </c>
      <c r="G666" s="30">
        <v>100</v>
      </c>
      <c r="H666" s="38">
        <v>600</v>
      </c>
      <c r="I666" s="30">
        <v>695</v>
      </c>
      <c r="J666" s="30">
        <v>50</v>
      </c>
      <c r="K666" s="31"/>
      <c r="L666" s="31"/>
      <c r="M666" s="31"/>
      <c r="N666" s="31"/>
      <c r="O666" s="31"/>
      <c r="P666" s="31"/>
      <c r="Q666" s="31"/>
      <c r="R666" s="31"/>
      <c r="S666" s="31"/>
      <c r="T666" s="31"/>
    </row>
    <row r="667" spans="1:20" ht="15.75">
      <c r="A667" s="11">
        <v>61422</v>
      </c>
      <c r="B667" s="39">
        <f t="shared" si="1"/>
        <v>29</v>
      </c>
      <c r="C667" s="30">
        <v>122.58</v>
      </c>
      <c r="D667" s="30">
        <v>297.94099999999997</v>
      </c>
      <c r="E667" s="36">
        <v>729.47900000000004</v>
      </c>
      <c r="F667" s="30">
        <v>1150</v>
      </c>
      <c r="G667" s="30">
        <v>100</v>
      </c>
      <c r="H667" s="38">
        <v>600</v>
      </c>
      <c r="I667" s="30">
        <v>695</v>
      </c>
      <c r="J667" s="30">
        <v>50</v>
      </c>
      <c r="K667" s="31"/>
      <c r="L667" s="31"/>
      <c r="M667" s="31"/>
      <c r="N667" s="31"/>
      <c r="O667" s="31"/>
      <c r="P667" s="31"/>
      <c r="Q667" s="31"/>
      <c r="R667" s="31"/>
      <c r="S667" s="31"/>
      <c r="T667" s="31"/>
    </row>
    <row r="668" spans="1:20" ht="15.75">
      <c r="A668" s="11">
        <v>61453</v>
      </c>
      <c r="B668" s="39">
        <f t="shared" si="1"/>
        <v>31</v>
      </c>
      <c r="C668" s="30">
        <v>122.58</v>
      </c>
      <c r="D668" s="30">
        <v>297.94099999999997</v>
      </c>
      <c r="E668" s="36">
        <v>729.47900000000004</v>
      </c>
      <c r="F668" s="30">
        <v>1150</v>
      </c>
      <c r="G668" s="30">
        <v>100</v>
      </c>
      <c r="H668" s="38">
        <v>600</v>
      </c>
      <c r="I668" s="30">
        <v>695</v>
      </c>
      <c r="J668" s="30">
        <v>50</v>
      </c>
      <c r="K668" s="31"/>
      <c r="L668" s="31"/>
      <c r="M668" s="31"/>
      <c r="N668" s="31"/>
      <c r="O668" s="31"/>
      <c r="P668" s="31"/>
      <c r="Q668" s="31"/>
      <c r="R668" s="31"/>
      <c r="S668" s="31"/>
      <c r="T668" s="31"/>
    </row>
    <row r="669" spans="1:20" ht="15.75">
      <c r="A669" s="11">
        <v>61483</v>
      </c>
      <c r="B669" s="39">
        <f t="shared" si="1"/>
        <v>30</v>
      </c>
      <c r="C669" s="30">
        <v>141.29300000000001</v>
      </c>
      <c r="D669" s="30">
        <v>267.99299999999999</v>
      </c>
      <c r="E669" s="36">
        <v>829.71400000000006</v>
      </c>
      <c r="F669" s="30">
        <v>1239</v>
      </c>
      <c r="G669" s="30">
        <v>100</v>
      </c>
      <c r="H669" s="38">
        <v>600</v>
      </c>
      <c r="I669" s="30">
        <v>695</v>
      </c>
      <c r="J669" s="30">
        <v>50</v>
      </c>
      <c r="K669" s="31"/>
      <c r="L669" s="31"/>
      <c r="M669" s="31"/>
      <c r="N669" s="31"/>
      <c r="O669" s="31"/>
      <c r="P669" s="31"/>
      <c r="Q669" s="31"/>
      <c r="R669" s="31"/>
      <c r="S669" s="31"/>
      <c r="T669" s="31"/>
    </row>
    <row r="670" spans="1:20" ht="15.75">
      <c r="A670" s="11">
        <v>61514</v>
      </c>
      <c r="B670" s="39">
        <f t="shared" si="1"/>
        <v>31</v>
      </c>
      <c r="C670" s="30">
        <v>194.20500000000001</v>
      </c>
      <c r="D670" s="30">
        <v>267.46600000000001</v>
      </c>
      <c r="E670" s="36">
        <v>812.32899999999995</v>
      </c>
      <c r="F670" s="30">
        <v>1274</v>
      </c>
      <c r="G670" s="30">
        <v>75</v>
      </c>
      <c r="H670" s="38">
        <v>600</v>
      </c>
      <c r="I670" s="30">
        <v>695</v>
      </c>
      <c r="J670" s="30">
        <v>50</v>
      </c>
      <c r="K670" s="31"/>
      <c r="L670" s="31"/>
      <c r="M670" s="31"/>
      <c r="N670" s="31"/>
      <c r="O670" s="31"/>
      <c r="P670" s="31"/>
      <c r="Q670" s="31"/>
      <c r="R670" s="31"/>
      <c r="S670" s="31"/>
      <c r="T670" s="31"/>
    </row>
    <row r="671" spans="1:20" ht="15.75">
      <c r="A671" s="11">
        <v>61544</v>
      </c>
      <c r="B671" s="39">
        <f t="shared" si="1"/>
        <v>30</v>
      </c>
      <c r="C671" s="30">
        <v>194.20500000000001</v>
      </c>
      <c r="D671" s="30">
        <v>267.46600000000001</v>
      </c>
      <c r="E671" s="36">
        <v>812.32899999999995</v>
      </c>
      <c r="F671" s="30">
        <v>1274</v>
      </c>
      <c r="G671" s="30">
        <v>50</v>
      </c>
      <c r="H671" s="38">
        <v>600</v>
      </c>
      <c r="I671" s="30">
        <v>695</v>
      </c>
      <c r="J671" s="30">
        <v>50</v>
      </c>
      <c r="K671" s="31"/>
      <c r="L671" s="31"/>
      <c r="M671" s="31"/>
      <c r="N671" s="31"/>
      <c r="O671" s="31"/>
      <c r="P671" s="31"/>
      <c r="Q671" s="31"/>
      <c r="R671" s="31"/>
      <c r="S671" s="31"/>
      <c r="T671" s="31"/>
    </row>
    <row r="672" spans="1:20" ht="15.75">
      <c r="A672" s="11">
        <v>61575</v>
      </c>
      <c r="B672" s="39">
        <f t="shared" si="1"/>
        <v>31</v>
      </c>
      <c r="C672" s="30">
        <v>194.20500000000001</v>
      </c>
      <c r="D672" s="30">
        <v>267.46600000000001</v>
      </c>
      <c r="E672" s="36">
        <v>812.32899999999995</v>
      </c>
      <c r="F672" s="30">
        <v>1274</v>
      </c>
      <c r="G672" s="30">
        <v>50</v>
      </c>
      <c r="H672" s="38">
        <v>600</v>
      </c>
      <c r="I672" s="30">
        <v>695</v>
      </c>
      <c r="J672" s="30">
        <v>0</v>
      </c>
      <c r="K672" s="31"/>
      <c r="L672" s="31"/>
      <c r="M672" s="31"/>
      <c r="N672" s="31"/>
      <c r="O672" s="31"/>
      <c r="P672" s="31"/>
      <c r="Q672" s="31"/>
      <c r="R672" s="31"/>
      <c r="S672" s="31"/>
      <c r="T672" s="31"/>
    </row>
    <row r="673" spans="1:20" ht="15.75">
      <c r="A673" s="11">
        <v>61606</v>
      </c>
      <c r="B673" s="39">
        <f t="shared" si="1"/>
        <v>31</v>
      </c>
      <c r="C673" s="30">
        <v>194.20500000000001</v>
      </c>
      <c r="D673" s="30">
        <v>267.46600000000001</v>
      </c>
      <c r="E673" s="36">
        <v>812.32899999999995</v>
      </c>
      <c r="F673" s="30">
        <v>1274</v>
      </c>
      <c r="G673" s="30">
        <v>50</v>
      </c>
      <c r="H673" s="38">
        <v>600</v>
      </c>
      <c r="I673" s="30">
        <v>695</v>
      </c>
      <c r="J673" s="30">
        <v>0</v>
      </c>
      <c r="K673" s="31"/>
      <c r="L673" s="31"/>
      <c r="M673" s="31"/>
      <c r="N673" s="31"/>
      <c r="O673" s="31"/>
      <c r="P673" s="31"/>
      <c r="Q673" s="31"/>
      <c r="R673" s="31"/>
      <c r="S673" s="31"/>
      <c r="T673" s="31"/>
    </row>
    <row r="674" spans="1:20" ht="15.75">
      <c r="A674" s="11">
        <v>61636</v>
      </c>
      <c r="B674" s="39">
        <f t="shared" si="1"/>
        <v>30</v>
      </c>
      <c r="C674" s="30">
        <v>194.20500000000001</v>
      </c>
      <c r="D674" s="30">
        <v>267.46600000000001</v>
      </c>
      <c r="E674" s="36">
        <v>812.32899999999995</v>
      </c>
      <c r="F674" s="30">
        <v>1274</v>
      </c>
      <c r="G674" s="30">
        <v>50</v>
      </c>
      <c r="H674" s="38">
        <v>600</v>
      </c>
      <c r="I674" s="30">
        <v>695</v>
      </c>
      <c r="J674" s="30">
        <v>0</v>
      </c>
      <c r="K674" s="31"/>
      <c r="L674" s="31"/>
      <c r="M674" s="31"/>
      <c r="N674" s="31"/>
      <c r="O674" s="31"/>
      <c r="P674" s="31"/>
      <c r="Q674" s="31"/>
      <c r="R674" s="31"/>
      <c r="S674" s="31"/>
      <c r="T674" s="31"/>
    </row>
    <row r="675" spans="1:20" ht="15.75">
      <c r="A675" s="11">
        <v>61667</v>
      </c>
      <c r="B675" s="39">
        <f t="shared" si="1"/>
        <v>31</v>
      </c>
      <c r="C675" s="30">
        <v>131.881</v>
      </c>
      <c r="D675" s="30">
        <v>277.16699999999997</v>
      </c>
      <c r="E675" s="36">
        <v>829.952</v>
      </c>
      <c r="F675" s="30">
        <v>1239</v>
      </c>
      <c r="G675" s="30">
        <v>75</v>
      </c>
      <c r="H675" s="38">
        <v>600</v>
      </c>
      <c r="I675" s="30">
        <v>695</v>
      </c>
      <c r="J675" s="30">
        <v>0</v>
      </c>
      <c r="K675" s="31"/>
      <c r="L675" s="31"/>
      <c r="M675" s="31"/>
      <c r="N675" s="31"/>
      <c r="O675" s="31"/>
      <c r="P675" s="31"/>
      <c r="Q675" s="31"/>
      <c r="R675" s="31"/>
      <c r="S675" s="31"/>
      <c r="T675" s="31"/>
    </row>
    <row r="676" spans="1:20" ht="15.75">
      <c r="A676" s="11">
        <v>61697</v>
      </c>
      <c r="B676" s="39">
        <f t="shared" si="1"/>
        <v>30</v>
      </c>
      <c r="C676" s="30">
        <v>122.58</v>
      </c>
      <c r="D676" s="30">
        <v>297.94099999999997</v>
      </c>
      <c r="E676" s="36">
        <v>729.47900000000004</v>
      </c>
      <c r="F676" s="30">
        <v>1150</v>
      </c>
      <c r="G676" s="30">
        <v>100</v>
      </c>
      <c r="H676" s="38">
        <v>600</v>
      </c>
      <c r="I676" s="30">
        <v>695</v>
      </c>
      <c r="J676" s="30">
        <v>50</v>
      </c>
      <c r="K676" s="31"/>
      <c r="L676" s="31"/>
      <c r="M676" s="31"/>
      <c r="N676" s="31"/>
      <c r="O676" s="31"/>
      <c r="P676" s="31"/>
      <c r="Q676" s="31"/>
      <c r="R676" s="31"/>
      <c r="S676" s="31"/>
      <c r="T676" s="31"/>
    </row>
    <row r="677" spans="1:20" ht="15.75">
      <c r="A677" s="11">
        <v>61728</v>
      </c>
      <c r="B677" s="39">
        <f t="shared" si="1"/>
        <v>31</v>
      </c>
      <c r="C677" s="30">
        <v>122.58</v>
      </c>
      <c r="D677" s="30">
        <v>297.94099999999997</v>
      </c>
      <c r="E677" s="36">
        <v>729.47900000000004</v>
      </c>
      <c r="F677" s="30">
        <v>1150</v>
      </c>
      <c r="G677" s="30">
        <v>100</v>
      </c>
      <c r="H677" s="38">
        <v>600</v>
      </c>
      <c r="I677" s="30">
        <v>695</v>
      </c>
      <c r="J677" s="30">
        <v>50</v>
      </c>
      <c r="K677" s="31"/>
      <c r="L677" s="31"/>
      <c r="M677" s="31"/>
      <c r="N677" s="31"/>
      <c r="O677" s="31"/>
      <c r="P677" s="31"/>
      <c r="Q677" s="31"/>
      <c r="R677" s="31"/>
      <c r="S677" s="31"/>
      <c r="T677" s="31"/>
    </row>
    <row r="678" spans="1:20" ht="15.75">
      <c r="A678" s="11">
        <v>61759</v>
      </c>
      <c r="B678" s="39">
        <f t="shared" si="1"/>
        <v>31</v>
      </c>
      <c r="C678" s="30">
        <v>122.58</v>
      </c>
      <c r="D678" s="30">
        <v>297.94099999999997</v>
      </c>
      <c r="E678" s="36">
        <v>729.47900000000004</v>
      </c>
      <c r="F678" s="30">
        <v>1150</v>
      </c>
      <c r="G678" s="30">
        <v>100</v>
      </c>
      <c r="H678" s="38">
        <v>600</v>
      </c>
      <c r="I678" s="30">
        <v>695</v>
      </c>
      <c r="J678" s="30">
        <v>50</v>
      </c>
      <c r="K678" s="31"/>
      <c r="L678" s="31"/>
      <c r="M678" s="31"/>
      <c r="N678" s="31"/>
      <c r="O678" s="31"/>
      <c r="P678" s="31"/>
      <c r="Q678" s="31"/>
      <c r="R678" s="31"/>
      <c r="S678" s="31"/>
      <c r="T678" s="31"/>
    </row>
    <row r="679" spans="1:20" ht="15.75">
      <c r="A679" s="11">
        <v>61787</v>
      </c>
      <c r="B679" s="39">
        <f t="shared" si="1"/>
        <v>28</v>
      </c>
      <c r="C679" s="30">
        <v>122.58</v>
      </c>
      <c r="D679" s="30">
        <v>297.94099999999997</v>
      </c>
      <c r="E679" s="36">
        <v>729.47900000000004</v>
      </c>
      <c r="F679" s="30">
        <v>1150</v>
      </c>
      <c r="G679" s="30">
        <v>100</v>
      </c>
      <c r="H679" s="38">
        <v>600</v>
      </c>
      <c r="I679" s="30">
        <v>695</v>
      </c>
      <c r="J679" s="30">
        <v>50</v>
      </c>
      <c r="K679" s="31"/>
      <c r="L679" s="31"/>
      <c r="M679" s="31"/>
      <c r="N679" s="31"/>
      <c r="O679" s="31"/>
      <c r="P679" s="31"/>
      <c r="Q679" s="31"/>
      <c r="R679" s="31"/>
      <c r="S679" s="31"/>
      <c r="T679" s="31"/>
    </row>
    <row r="680" spans="1:20" ht="15.75">
      <c r="A680" s="11">
        <v>61818</v>
      </c>
      <c r="B680" s="39">
        <f t="shared" si="1"/>
        <v>31</v>
      </c>
      <c r="C680" s="30">
        <v>122.58</v>
      </c>
      <c r="D680" s="30">
        <v>297.94099999999997</v>
      </c>
      <c r="E680" s="36">
        <v>729.47900000000004</v>
      </c>
      <c r="F680" s="30">
        <v>1150</v>
      </c>
      <c r="G680" s="30">
        <v>100</v>
      </c>
      <c r="H680" s="38">
        <v>600</v>
      </c>
      <c r="I680" s="30">
        <v>695</v>
      </c>
      <c r="J680" s="30">
        <v>50</v>
      </c>
      <c r="K680" s="31"/>
      <c r="L680" s="31"/>
      <c r="M680" s="31"/>
      <c r="N680" s="31"/>
      <c r="O680" s="31"/>
      <c r="P680" s="31"/>
      <c r="Q680" s="31"/>
      <c r="R680" s="31"/>
      <c r="S680" s="31"/>
      <c r="T680" s="31"/>
    </row>
    <row r="681" spans="1:20" ht="15.75">
      <c r="A681" s="11">
        <v>61848</v>
      </c>
      <c r="B681" s="39">
        <f t="shared" si="1"/>
        <v>30</v>
      </c>
      <c r="C681" s="30">
        <v>141.29300000000001</v>
      </c>
      <c r="D681" s="30">
        <v>267.99299999999999</v>
      </c>
      <c r="E681" s="36">
        <v>829.71400000000006</v>
      </c>
      <c r="F681" s="30">
        <v>1239</v>
      </c>
      <c r="G681" s="30">
        <v>100</v>
      </c>
      <c r="H681" s="38">
        <v>600</v>
      </c>
      <c r="I681" s="30">
        <v>695</v>
      </c>
      <c r="J681" s="30">
        <v>50</v>
      </c>
      <c r="K681" s="31"/>
      <c r="L681" s="31"/>
      <c r="M681" s="31"/>
      <c r="N681" s="31"/>
      <c r="O681" s="31"/>
      <c r="P681" s="31"/>
      <c r="Q681" s="31"/>
      <c r="R681" s="31"/>
      <c r="S681" s="31"/>
      <c r="T681" s="31"/>
    </row>
    <row r="682" spans="1:20" ht="15.75">
      <c r="A682" s="11">
        <v>61879</v>
      </c>
      <c r="B682" s="39">
        <f t="shared" si="1"/>
        <v>31</v>
      </c>
      <c r="C682" s="30">
        <v>194.20500000000001</v>
      </c>
      <c r="D682" s="30">
        <v>267.46600000000001</v>
      </c>
      <c r="E682" s="36">
        <v>812.32899999999995</v>
      </c>
      <c r="F682" s="30">
        <v>1274</v>
      </c>
      <c r="G682" s="30">
        <v>75</v>
      </c>
      <c r="H682" s="38">
        <v>600</v>
      </c>
      <c r="I682" s="30">
        <v>695</v>
      </c>
      <c r="J682" s="30">
        <v>50</v>
      </c>
      <c r="K682" s="31"/>
      <c r="L682" s="31"/>
      <c r="M682" s="31"/>
      <c r="N682" s="31"/>
      <c r="O682" s="31"/>
      <c r="P682" s="31"/>
      <c r="Q682" s="31"/>
      <c r="R682" s="31"/>
      <c r="S682" s="31"/>
      <c r="T682" s="31"/>
    </row>
    <row r="683" spans="1:20" ht="15.75">
      <c r="A683" s="11">
        <v>61909</v>
      </c>
      <c r="B683" s="39">
        <f t="shared" si="1"/>
        <v>30</v>
      </c>
      <c r="C683" s="30">
        <v>194.20500000000001</v>
      </c>
      <c r="D683" s="30">
        <v>267.46600000000001</v>
      </c>
      <c r="E683" s="36">
        <v>812.32899999999995</v>
      </c>
      <c r="F683" s="30">
        <v>1274</v>
      </c>
      <c r="G683" s="30">
        <v>50</v>
      </c>
      <c r="H683" s="38">
        <v>600</v>
      </c>
      <c r="I683" s="30">
        <v>695</v>
      </c>
      <c r="J683" s="30">
        <v>50</v>
      </c>
      <c r="K683" s="31"/>
      <c r="L683" s="31"/>
      <c r="M683" s="31"/>
      <c r="N683" s="31"/>
      <c r="O683" s="31"/>
      <c r="P683" s="31"/>
      <c r="Q683" s="31"/>
      <c r="R683" s="31"/>
      <c r="S683" s="31"/>
      <c r="T683" s="31"/>
    </row>
    <row r="684" spans="1:20" ht="15.75">
      <c r="A684" s="11">
        <v>61940</v>
      </c>
      <c r="B684" s="39">
        <f t="shared" si="1"/>
        <v>31</v>
      </c>
      <c r="C684" s="30">
        <v>194.20500000000001</v>
      </c>
      <c r="D684" s="30">
        <v>267.46600000000001</v>
      </c>
      <c r="E684" s="36">
        <v>812.32899999999995</v>
      </c>
      <c r="F684" s="30">
        <v>1274</v>
      </c>
      <c r="G684" s="30">
        <v>50</v>
      </c>
      <c r="H684" s="38">
        <v>600</v>
      </c>
      <c r="I684" s="30">
        <v>695</v>
      </c>
      <c r="J684" s="30">
        <v>0</v>
      </c>
      <c r="K684" s="31"/>
      <c r="L684" s="31"/>
      <c r="M684" s="31"/>
      <c r="N684" s="31"/>
      <c r="O684" s="31"/>
      <c r="P684" s="31"/>
      <c r="Q684" s="31"/>
      <c r="R684" s="31"/>
      <c r="S684" s="31"/>
      <c r="T684" s="31"/>
    </row>
    <row r="685" spans="1:20" ht="15.75">
      <c r="A685" s="11">
        <v>61971</v>
      </c>
      <c r="B685" s="39">
        <f t="shared" si="1"/>
        <v>31</v>
      </c>
      <c r="C685" s="30">
        <v>194.20500000000001</v>
      </c>
      <c r="D685" s="30">
        <v>267.46600000000001</v>
      </c>
      <c r="E685" s="36">
        <v>812.32899999999995</v>
      </c>
      <c r="F685" s="30">
        <v>1274</v>
      </c>
      <c r="G685" s="30">
        <v>50</v>
      </c>
      <c r="H685" s="38">
        <v>600</v>
      </c>
      <c r="I685" s="30">
        <v>695</v>
      </c>
      <c r="J685" s="30">
        <v>0</v>
      </c>
      <c r="K685" s="31"/>
      <c r="L685" s="31"/>
      <c r="M685" s="31"/>
      <c r="N685" s="31"/>
      <c r="O685" s="31"/>
      <c r="P685" s="31"/>
      <c r="Q685" s="31"/>
      <c r="R685" s="31"/>
      <c r="S685" s="31"/>
      <c r="T685" s="31"/>
    </row>
    <row r="686" spans="1:20" ht="15.75">
      <c r="A686" s="11">
        <v>62001</v>
      </c>
      <c r="B686" s="39">
        <f t="shared" si="1"/>
        <v>30</v>
      </c>
      <c r="C686" s="30">
        <v>194.20500000000001</v>
      </c>
      <c r="D686" s="30">
        <v>267.46600000000001</v>
      </c>
      <c r="E686" s="36">
        <v>812.32899999999995</v>
      </c>
      <c r="F686" s="30">
        <v>1274</v>
      </c>
      <c r="G686" s="30">
        <v>50</v>
      </c>
      <c r="H686" s="38">
        <v>600</v>
      </c>
      <c r="I686" s="30">
        <v>695</v>
      </c>
      <c r="J686" s="30">
        <v>0</v>
      </c>
      <c r="K686" s="31"/>
      <c r="L686" s="31"/>
      <c r="M686" s="31"/>
      <c r="N686" s="31"/>
      <c r="O686" s="31"/>
      <c r="P686" s="31"/>
      <c r="Q686" s="31"/>
      <c r="R686" s="31"/>
      <c r="S686" s="31"/>
      <c r="T686" s="31"/>
    </row>
    <row r="687" spans="1:20" ht="15.75">
      <c r="A687" s="11">
        <v>62032</v>
      </c>
      <c r="B687" s="39">
        <f t="shared" si="1"/>
        <v>31</v>
      </c>
      <c r="C687" s="30">
        <v>131.881</v>
      </c>
      <c r="D687" s="30">
        <v>277.16699999999997</v>
      </c>
      <c r="E687" s="36">
        <v>829.952</v>
      </c>
      <c r="F687" s="30">
        <v>1239</v>
      </c>
      <c r="G687" s="30">
        <v>75</v>
      </c>
      <c r="H687" s="38">
        <v>600</v>
      </c>
      <c r="I687" s="30">
        <v>695</v>
      </c>
      <c r="J687" s="30">
        <v>0</v>
      </c>
      <c r="K687" s="31"/>
      <c r="L687" s="31"/>
      <c r="M687" s="31"/>
      <c r="N687" s="31"/>
      <c r="O687" s="31"/>
      <c r="P687" s="31"/>
      <c r="Q687" s="31"/>
      <c r="R687" s="31"/>
      <c r="S687" s="31"/>
      <c r="T687" s="31"/>
    </row>
    <row r="688" spans="1:20" ht="15.75">
      <c r="A688" s="11">
        <v>62062</v>
      </c>
      <c r="B688" s="39">
        <f t="shared" si="1"/>
        <v>30</v>
      </c>
      <c r="C688" s="30">
        <v>122.58</v>
      </c>
      <c r="D688" s="30">
        <v>297.94099999999997</v>
      </c>
      <c r="E688" s="36">
        <v>729.47900000000004</v>
      </c>
      <c r="F688" s="30">
        <v>1150</v>
      </c>
      <c r="G688" s="30">
        <v>100</v>
      </c>
      <c r="H688" s="38">
        <v>600</v>
      </c>
      <c r="I688" s="30">
        <v>695</v>
      </c>
      <c r="J688" s="30">
        <v>50</v>
      </c>
      <c r="K688" s="31"/>
      <c r="L688" s="31"/>
      <c r="M688" s="31"/>
      <c r="N688" s="31"/>
      <c r="O688" s="31"/>
      <c r="P688" s="31"/>
      <c r="Q688" s="31"/>
      <c r="R688" s="31"/>
      <c r="S688" s="31"/>
      <c r="T688" s="31"/>
    </row>
    <row r="689" spans="1:20" ht="15.75">
      <c r="A689" s="11">
        <v>62093</v>
      </c>
      <c r="B689" s="39">
        <f t="shared" si="1"/>
        <v>31</v>
      </c>
      <c r="C689" s="30">
        <v>122.58</v>
      </c>
      <c r="D689" s="30">
        <v>297.94099999999997</v>
      </c>
      <c r="E689" s="36">
        <v>729.47900000000004</v>
      </c>
      <c r="F689" s="30">
        <v>1150</v>
      </c>
      <c r="G689" s="30">
        <v>100</v>
      </c>
      <c r="H689" s="38">
        <v>600</v>
      </c>
      <c r="I689" s="30">
        <v>695</v>
      </c>
      <c r="J689" s="30">
        <v>50</v>
      </c>
      <c r="K689" s="31"/>
      <c r="L689" s="31"/>
      <c r="M689" s="31"/>
      <c r="N689" s="31"/>
      <c r="O689" s="31"/>
      <c r="P689" s="31"/>
      <c r="Q689" s="31"/>
      <c r="R689" s="31"/>
      <c r="S689" s="31"/>
      <c r="T689" s="31"/>
    </row>
    <row r="690" spans="1:20" ht="15.75">
      <c r="A690" s="11">
        <v>62124</v>
      </c>
      <c r="B690" s="39">
        <f t="shared" si="1"/>
        <v>31</v>
      </c>
      <c r="C690" s="30">
        <v>122.58</v>
      </c>
      <c r="D690" s="30">
        <v>297.94099999999997</v>
      </c>
      <c r="E690" s="36">
        <v>729.47900000000004</v>
      </c>
      <c r="F690" s="30">
        <v>1150</v>
      </c>
      <c r="G690" s="30">
        <v>100</v>
      </c>
      <c r="H690" s="38">
        <v>600</v>
      </c>
      <c r="I690" s="30">
        <v>695</v>
      </c>
      <c r="J690" s="30">
        <v>50</v>
      </c>
      <c r="K690" s="31"/>
      <c r="L690" s="31"/>
      <c r="M690" s="31"/>
      <c r="N690" s="31"/>
      <c r="O690" s="31"/>
      <c r="P690" s="31"/>
      <c r="Q690" s="31"/>
      <c r="R690" s="31"/>
      <c r="S690" s="31"/>
      <c r="T690" s="31"/>
    </row>
    <row r="691" spans="1:20" ht="15.75">
      <c r="A691" s="11">
        <v>62152</v>
      </c>
      <c r="B691" s="39">
        <f t="shared" si="1"/>
        <v>28</v>
      </c>
      <c r="C691" s="30">
        <v>122.58</v>
      </c>
      <c r="D691" s="30">
        <v>297.94099999999997</v>
      </c>
      <c r="E691" s="36">
        <v>729.47900000000004</v>
      </c>
      <c r="F691" s="30">
        <v>1150</v>
      </c>
      <c r="G691" s="30">
        <v>100</v>
      </c>
      <c r="H691" s="38">
        <v>600</v>
      </c>
      <c r="I691" s="30">
        <v>695</v>
      </c>
      <c r="J691" s="30">
        <v>50</v>
      </c>
      <c r="K691" s="31"/>
      <c r="L691" s="31"/>
      <c r="M691" s="31"/>
      <c r="N691" s="31"/>
      <c r="O691" s="31"/>
      <c r="P691" s="31"/>
      <c r="Q691" s="31"/>
      <c r="R691" s="31"/>
      <c r="S691" s="31"/>
      <c r="T691" s="31"/>
    </row>
    <row r="692" spans="1:20" ht="15.75">
      <c r="A692" s="11">
        <v>62183</v>
      </c>
      <c r="B692" s="39">
        <f t="shared" si="1"/>
        <v>31</v>
      </c>
      <c r="C692" s="30">
        <v>122.58</v>
      </c>
      <c r="D692" s="30">
        <v>297.94099999999997</v>
      </c>
      <c r="E692" s="36">
        <v>729.47900000000004</v>
      </c>
      <c r="F692" s="30">
        <v>1150</v>
      </c>
      <c r="G692" s="30">
        <v>100</v>
      </c>
      <c r="H692" s="38">
        <v>600</v>
      </c>
      <c r="I692" s="30">
        <v>695</v>
      </c>
      <c r="J692" s="30">
        <v>50</v>
      </c>
      <c r="K692" s="31"/>
      <c r="L692" s="31"/>
      <c r="M692" s="31"/>
      <c r="N692" s="31"/>
      <c r="O692" s="31"/>
      <c r="P692" s="31"/>
      <c r="Q692" s="31"/>
      <c r="R692" s="31"/>
      <c r="S692" s="31"/>
      <c r="T692" s="31"/>
    </row>
    <row r="693" spans="1:20" ht="15.75">
      <c r="A693" s="11">
        <v>62213</v>
      </c>
      <c r="B693" s="39">
        <f t="shared" si="1"/>
        <v>30</v>
      </c>
      <c r="C693" s="30">
        <v>141.29300000000001</v>
      </c>
      <c r="D693" s="30">
        <v>267.99299999999999</v>
      </c>
      <c r="E693" s="36">
        <v>829.71400000000006</v>
      </c>
      <c r="F693" s="30">
        <v>1239</v>
      </c>
      <c r="G693" s="30">
        <v>100</v>
      </c>
      <c r="H693" s="38">
        <v>600</v>
      </c>
      <c r="I693" s="30">
        <v>695</v>
      </c>
      <c r="J693" s="30">
        <v>50</v>
      </c>
      <c r="K693" s="31"/>
      <c r="L693" s="31"/>
      <c r="M693" s="31"/>
      <c r="N693" s="31"/>
      <c r="O693" s="31"/>
      <c r="P693" s="31"/>
      <c r="Q693" s="31"/>
      <c r="R693" s="31"/>
      <c r="S693" s="31"/>
      <c r="T693" s="31"/>
    </row>
    <row r="694" spans="1:20" ht="15.75">
      <c r="A694" s="11">
        <v>62244</v>
      </c>
      <c r="B694" s="39">
        <f t="shared" si="1"/>
        <v>31</v>
      </c>
      <c r="C694" s="30">
        <v>194.20500000000001</v>
      </c>
      <c r="D694" s="30">
        <v>267.46600000000001</v>
      </c>
      <c r="E694" s="36">
        <v>812.32899999999995</v>
      </c>
      <c r="F694" s="30">
        <v>1274</v>
      </c>
      <c r="G694" s="30">
        <v>75</v>
      </c>
      <c r="H694" s="38">
        <v>600</v>
      </c>
      <c r="I694" s="30">
        <v>695</v>
      </c>
      <c r="J694" s="30">
        <v>50</v>
      </c>
      <c r="K694" s="31"/>
      <c r="L694" s="31"/>
      <c r="M694" s="31"/>
      <c r="N694" s="31"/>
      <c r="O694" s="31"/>
      <c r="P694" s="31"/>
      <c r="Q694" s="31"/>
      <c r="R694" s="31"/>
      <c r="S694" s="31"/>
      <c r="T694" s="31"/>
    </row>
    <row r="695" spans="1:20" ht="15.75">
      <c r="A695" s="11">
        <v>62274</v>
      </c>
      <c r="B695" s="39">
        <f t="shared" si="1"/>
        <v>30</v>
      </c>
      <c r="C695" s="30">
        <v>194.20500000000001</v>
      </c>
      <c r="D695" s="30">
        <v>267.46600000000001</v>
      </c>
      <c r="E695" s="36">
        <v>812.32899999999995</v>
      </c>
      <c r="F695" s="30">
        <v>1274</v>
      </c>
      <c r="G695" s="30">
        <v>50</v>
      </c>
      <c r="H695" s="38">
        <v>600</v>
      </c>
      <c r="I695" s="30">
        <v>695</v>
      </c>
      <c r="J695" s="30">
        <v>50</v>
      </c>
      <c r="K695" s="31"/>
      <c r="L695" s="31"/>
      <c r="M695" s="31"/>
      <c r="N695" s="31"/>
      <c r="O695" s="31"/>
      <c r="P695" s="31"/>
      <c r="Q695" s="31"/>
      <c r="R695" s="31"/>
      <c r="S695" s="31"/>
      <c r="T695" s="31"/>
    </row>
    <row r="696" spans="1:20" ht="15.75">
      <c r="A696" s="11">
        <v>62305</v>
      </c>
      <c r="B696" s="39">
        <f t="shared" si="1"/>
        <v>31</v>
      </c>
      <c r="C696" s="30">
        <v>194.20500000000001</v>
      </c>
      <c r="D696" s="30">
        <v>267.46600000000001</v>
      </c>
      <c r="E696" s="36">
        <v>812.32899999999995</v>
      </c>
      <c r="F696" s="30">
        <v>1274</v>
      </c>
      <c r="G696" s="30">
        <v>50</v>
      </c>
      <c r="H696" s="38">
        <v>600</v>
      </c>
      <c r="I696" s="30">
        <v>695</v>
      </c>
      <c r="J696" s="30">
        <v>0</v>
      </c>
      <c r="K696" s="31"/>
      <c r="L696" s="31"/>
      <c r="M696" s="31"/>
      <c r="N696" s="31"/>
      <c r="O696" s="31"/>
      <c r="P696" s="31"/>
      <c r="Q696" s="31"/>
      <c r="R696" s="31"/>
      <c r="S696" s="31"/>
      <c r="T696" s="31"/>
    </row>
    <row r="697" spans="1:20" ht="15.75">
      <c r="A697" s="11">
        <v>62336</v>
      </c>
      <c r="B697" s="39">
        <f t="shared" si="1"/>
        <v>31</v>
      </c>
      <c r="C697" s="30">
        <v>194.20500000000001</v>
      </c>
      <c r="D697" s="30">
        <v>267.46600000000001</v>
      </c>
      <c r="E697" s="36">
        <v>812.32899999999995</v>
      </c>
      <c r="F697" s="30">
        <v>1274</v>
      </c>
      <c r="G697" s="30">
        <v>50</v>
      </c>
      <c r="H697" s="38">
        <v>600</v>
      </c>
      <c r="I697" s="30">
        <v>695</v>
      </c>
      <c r="J697" s="30">
        <v>0</v>
      </c>
      <c r="K697" s="31"/>
      <c r="L697" s="31"/>
      <c r="M697" s="31"/>
      <c r="N697" s="31"/>
      <c r="O697" s="31"/>
      <c r="P697" s="31"/>
      <c r="Q697" s="31"/>
      <c r="R697" s="31"/>
      <c r="S697" s="31"/>
      <c r="T697" s="31"/>
    </row>
    <row r="698" spans="1:20" ht="15.75">
      <c r="A698" s="11">
        <v>62366</v>
      </c>
      <c r="B698" s="39">
        <f t="shared" si="1"/>
        <v>30</v>
      </c>
      <c r="C698" s="30">
        <v>194.20500000000001</v>
      </c>
      <c r="D698" s="30">
        <v>267.46600000000001</v>
      </c>
      <c r="E698" s="36">
        <v>812.32899999999995</v>
      </c>
      <c r="F698" s="30">
        <v>1274</v>
      </c>
      <c r="G698" s="30">
        <v>50</v>
      </c>
      <c r="H698" s="38">
        <v>600</v>
      </c>
      <c r="I698" s="30">
        <v>695</v>
      </c>
      <c r="J698" s="30">
        <v>0</v>
      </c>
      <c r="K698" s="31"/>
      <c r="L698" s="31"/>
      <c r="M698" s="31"/>
      <c r="N698" s="31"/>
      <c r="O698" s="31"/>
      <c r="P698" s="31"/>
      <c r="Q698" s="31"/>
      <c r="R698" s="31"/>
      <c r="S698" s="31"/>
      <c r="T698" s="31"/>
    </row>
    <row r="699" spans="1:20" ht="15.75">
      <c r="A699" s="11">
        <v>62397</v>
      </c>
      <c r="B699" s="39">
        <f t="shared" si="1"/>
        <v>31</v>
      </c>
      <c r="C699" s="30">
        <v>131.881</v>
      </c>
      <c r="D699" s="30">
        <v>277.16699999999997</v>
      </c>
      <c r="E699" s="36">
        <v>829.952</v>
      </c>
      <c r="F699" s="30">
        <v>1239</v>
      </c>
      <c r="G699" s="30">
        <v>75</v>
      </c>
      <c r="H699" s="38">
        <v>600</v>
      </c>
      <c r="I699" s="30">
        <v>695</v>
      </c>
      <c r="J699" s="30">
        <v>0</v>
      </c>
      <c r="K699" s="31"/>
      <c r="L699" s="31"/>
      <c r="M699" s="31"/>
      <c r="N699" s="31"/>
      <c r="O699" s="31"/>
      <c r="P699" s="31"/>
      <c r="Q699" s="31"/>
      <c r="R699" s="31"/>
      <c r="S699" s="31"/>
      <c r="T699" s="31"/>
    </row>
    <row r="700" spans="1:20" ht="15.75">
      <c r="A700" s="11">
        <v>62427</v>
      </c>
      <c r="B700" s="39">
        <f t="shared" si="1"/>
        <v>30</v>
      </c>
      <c r="C700" s="30">
        <v>122.58</v>
      </c>
      <c r="D700" s="30">
        <v>297.94099999999997</v>
      </c>
      <c r="E700" s="36">
        <v>729.47900000000004</v>
      </c>
      <c r="F700" s="30">
        <v>1150</v>
      </c>
      <c r="G700" s="30">
        <v>100</v>
      </c>
      <c r="H700" s="38">
        <v>600</v>
      </c>
      <c r="I700" s="30">
        <v>695</v>
      </c>
      <c r="J700" s="30">
        <v>50</v>
      </c>
      <c r="K700" s="31"/>
      <c r="L700" s="31"/>
      <c r="M700" s="31"/>
      <c r="N700" s="31"/>
      <c r="O700" s="31"/>
      <c r="P700" s="31"/>
      <c r="Q700" s="31"/>
      <c r="R700" s="31"/>
      <c r="S700" s="31"/>
      <c r="T700" s="31"/>
    </row>
    <row r="701" spans="1:20" ht="15.75">
      <c r="A701" s="11">
        <v>62458</v>
      </c>
      <c r="B701" s="39">
        <f t="shared" si="1"/>
        <v>31</v>
      </c>
      <c r="C701" s="30">
        <v>122.58</v>
      </c>
      <c r="D701" s="30">
        <v>297.94099999999997</v>
      </c>
      <c r="E701" s="36">
        <v>729.47900000000004</v>
      </c>
      <c r="F701" s="30">
        <v>1150</v>
      </c>
      <c r="G701" s="30">
        <v>100</v>
      </c>
      <c r="H701" s="38">
        <v>600</v>
      </c>
      <c r="I701" s="30">
        <v>695</v>
      </c>
      <c r="J701" s="30">
        <v>50</v>
      </c>
      <c r="K701" s="31"/>
      <c r="L701" s="31"/>
      <c r="M701" s="31"/>
      <c r="N701" s="31"/>
      <c r="O701" s="31"/>
      <c r="P701" s="31"/>
      <c r="Q701" s="31"/>
      <c r="R701" s="31"/>
      <c r="S701" s="31"/>
      <c r="T701" s="31"/>
    </row>
    <row r="702" spans="1:20" ht="15.75">
      <c r="A702" s="11">
        <v>62489</v>
      </c>
      <c r="B702" s="39">
        <f t="shared" si="1"/>
        <v>31</v>
      </c>
      <c r="C702" s="30">
        <v>122.58</v>
      </c>
      <c r="D702" s="30">
        <v>297.94099999999997</v>
      </c>
      <c r="E702" s="36">
        <v>729.47900000000004</v>
      </c>
      <c r="F702" s="30">
        <v>1150</v>
      </c>
      <c r="G702" s="30">
        <v>100</v>
      </c>
      <c r="H702" s="38">
        <v>600</v>
      </c>
      <c r="I702" s="30">
        <v>695</v>
      </c>
      <c r="J702" s="30">
        <v>50</v>
      </c>
      <c r="K702" s="31"/>
      <c r="L702" s="31"/>
      <c r="M702" s="31"/>
      <c r="N702" s="31"/>
      <c r="O702" s="31"/>
      <c r="P702" s="31"/>
      <c r="Q702" s="31"/>
      <c r="R702" s="31"/>
      <c r="S702" s="31"/>
      <c r="T702" s="31"/>
    </row>
    <row r="703" spans="1:20" ht="15.75">
      <c r="A703" s="11">
        <v>62517</v>
      </c>
      <c r="B703" s="39">
        <f t="shared" si="1"/>
        <v>28</v>
      </c>
      <c r="C703" s="30">
        <v>122.58</v>
      </c>
      <c r="D703" s="30">
        <v>297.94099999999997</v>
      </c>
      <c r="E703" s="36">
        <v>729.47900000000004</v>
      </c>
      <c r="F703" s="30">
        <v>1150</v>
      </c>
      <c r="G703" s="30">
        <v>100</v>
      </c>
      <c r="H703" s="38">
        <v>600</v>
      </c>
      <c r="I703" s="30">
        <v>695</v>
      </c>
      <c r="J703" s="30">
        <v>50</v>
      </c>
      <c r="K703" s="31"/>
      <c r="L703" s="31"/>
      <c r="M703" s="31"/>
      <c r="N703" s="31"/>
      <c r="O703" s="31"/>
      <c r="P703" s="31"/>
      <c r="Q703" s="31"/>
      <c r="R703" s="31"/>
      <c r="S703" s="31"/>
      <c r="T703" s="31"/>
    </row>
    <row r="704" spans="1:20" ht="15.75">
      <c r="A704" s="11">
        <v>62548</v>
      </c>
      <c r="B704" s="39">
        <f t="shared" si="1"/>
        <v>31</v>
      </c>
      <c r="C704" s="30">
        <v>122.58</v>
      </c>
      <c r="D704" s="30">
        <v>297.94099999999997</v>
      </c>
      <c r="E704" s="36">
        <v>729.47900000000004</v>
      </c>
      <c r="F704" s="30">
        <v>1150</v>
      </c>
      <c r="G704" s="30">
        <v>100</v>
      </c>
      <c r="H704" s="38">
        <v>600</v>
      </c>
      <c r="I704" s="30">
        <v>695</v>
      </c>
      <c r="J704" s="30">
        <v>50</v>
      </c>
      <c r="K704" s="31"/>
      <c r="L704" s="31"/>
      <c r="M704" s="31"/>
      <c r="N704" s="31"/>
      <c r="O704" s="31"/>
      <c r="P704" s="31"/>
      <c r="Q704" s="31"/>
      <c r="R704" s="31"/>
      <c r="S704" s="31"/>
      <c r="T704" s="31"/>
    </row>
    <row r="705" spans="1:20" ht="15.75">
      <c r="A705" s="11">
        <v>62578</v>
      </c>
      <c r="B705" s="39">
        <f t="shared" si="1"/>
        <v>30</v>
      </c>
      <c r="C705" s="30">
        <v>141.29300000000001</v>
      </c>
      <c r="D705" s="30">
        <v>267.99299999999999</v>
      </c>
      <c r="E705" s="36">
        <v>829.71400000000006</v>
      </c>
      <c r="F705" s="30">
        <v>1239</v>
      </c>
      <c r="G705" s="30">
        <v>100</v>
      </c>
      <c r="H705" s="38">
        <v>600</v>
      </c>
      <c r="I705" s="30">
        <v>695</v>
      </c>
      <c r="J705" s="30">
        <v>50</v>
      </c>
      <c r="K705" s="31"/>
      <c r="L705" s="31"/>
      <c r="M705" s="31"/>
      <c r="N705" s="31"/>
      <c r="O705" s="31"/>
      <c r="P705" s="31"/>
      <c r="Q705" s="31"/>
      <c r="R705" s="31"/>
      <c r="S705" s="31"/>
      <c r="T705" s="31"/>
    </row>
    <row r="706" spans="1:20" ht="15.75">
      <c r="A706" s="11">
        <v>62609</v>
      </c>
      <c r="B706" s="39">
        <f t="shared" si="1"/>
        <v>31</v>
      </c>
      <c r="C706" s="30">
        <v>194.20500000000001</v>
      </c>
      <c r="D706" s="30">
        <v>267.46600000000001</v>
      </c>
      <c r="E706" s="36">
        <v>812.32899999999995</v>
      </c>
      <c r="F706" s="30">
        <v>1274</v>
      </c>
      <c r="G706" s="30">
        <v>75</v>
      </c>
      <c r="H706" s="38">
        <v>600</v>
      </c>
      <c r="I706" s="30">
        <v>695</v>
      </c>
      <c r="J706" s="30">
        <v>50</v>
      </c>
      <c r="K706" s="31"/>
      <c r="L706" s="31"/>
      <c r="M706" s="31"/>
      <c r="N706" s="31"/>
      <c r="O706" s="31"/>
      <c r="P706" s="31"/>
      <c r="Q706" s="31"/>
      <c r="R706" s="31"/>
      <c r="S706" s="31"/>
      <c r="T706" s="31"/>
    </row>
    <row r="707" spans="1:20" ht="15.75">
      <c r="A707" s="11">
        <v>62639</v>
      </c>
      <c r="B707" s="39">
        <f t="shared" si="1"/>
        <v>30</v>
      </c>
      <c r="C707" s="30">
        <v>194.20500000000001</v>
      </c>
      <c r="D707" s="30">
        <v>267.46600000000001</v>
      </c>
      <c r="E707" s="36">
        <v>812.32899999999995</v>
      </c>
      <c r="F707" s="30">
        <v>1274</v>
      </c>
      <c r="G707" s="30">
        <v>50</v>
      </c>
      <c r="H707" s="38">
        <v>600</v>
      </c>
      <c r="I707" s="30">
        <v>695</v>
      </c>
      <c r="J707" s="30">
        <v>50</v>
      </c>
      <c r="K707" s="31"/>
      <c r="L707" s="31"/>
      <c r="M707" s="31"/>
      <c r="N707" s="31"/>
      <c r="O707" s="31"/>
      <c r="P707" s="31"/>
      <c r="Q707" s="31"/>
      <c r="R707" s="31"/>
      <c r="S707" s="31"/>
      <c r="T707" s="31"/>
    </row>
    <row r="708" spans="1:20" ht="15.75">
      <c r="A708" s="11">
        <v>62670</v>
      </c>
      <c r="B708" s="39">
        <f t="shared" si="1"/>
        <v>31</v>
      </c>
      <c r="C708" s="30">
        <v>194.20500000000001</v>
      </c>
      <c r="D708" s="30">
        <v>267.46600000000001</v>
      </c>
      <c r="E708" s="36">
        <v>812.32899999999995</v>
      </c>
      <c r="F708" s="30">
        <v>1274</v>
      </c>
      <c r="G708" s="30">
        <v>50</v>
      </c>
      <c r="H708" s="38">
        <v>600</v>
      </c>
      <c r="I708" s="30">
        <v>695</v>
      </c>
      <c r="J708" s="30">
        <v>0</v>
      </c>
      <c r="K708" s="31"/>
      <c r="L708" s="31"/>
      <c r="M708" s="31"/>
      <c r="N708" s="31"/>
      <c r="O708" s="31"/>
      <c r="P708" s="31"/>
      <c r="Q708" s="31"/>
      <c r="R708" s="31"/>
      <c r="S708" s="31"/>
      <c r="T708" s="31"/>
    </row>
    <row r="709" spans="1:20" ht="15.75">
      <c r="A709" s="11">
        <v>62701</v>
      </c>
      <c r="B709" s="39">
        <f t="shared" si="1"/>
        <v>31</v>
      </c>
      <c r="C709" s="30">
        <v>194.20500000000001</v>
      </c>
      <c r="D709" s="30">
        <v>267.46600000000001</v>
      </c>
      <c r="E709" s="36">
        <v>812.32899999999995</v>
      </c>
      <c r="F709" s="30">
        <v>1274</v>
      </c>
      <c r="G709" s="30">
        <v>50</v>
      </c>
      <c r="H709" s="38">
        <v>600</v>
      </c>
      <c r="I709" s="30">
        <v>695</v>
      </c>
      <c r="J709" s="30">
        <v>0</v>
      </c>
      <c r="K709" s="31"/>
      <c r="L709" s="31"/>
      <c r="M709" s="31"/>
      <c r="N709" s="31"/>
      <c r="O709" s="31"/>
      <c r="P709" s="31"/>
      <c r="Q709" s="31"/>
      <c r="R709" s="31"/>
      <c r="S709" s="31"/>
      <c r="T709" s="31"/>
    </row>
    <row r="710" spans="1:20" ht="15.75">
      <c r="A710" s="11">
        <v>62731</v>
      </c>
      <c r="B710" s="39">
        <f t="shared" si="1"/>
        <v>30</v>
      </c>
      <c r="C710" s="30">
        <v>194.20500000000001</v>
      </c>
      <c r="D710" s="30">
        <v>267.46600000000001</v>
      </c>
      <c r="E710" s="36">
        <v>812.32899999999995</v>
      </c>
      <c r="F710" s="30">
        <v>1274</v>
      </c>
      <c r="G710" s="30">
        <v>50</v>
      </c>
      <c r="H710" s="38">
        <v>600</v>
      </c>
      <c r="I710" s="30">
        <v>695</v>
      </c>
      <c r="J710" s="30">
        <v>0</v>
      </c>
      <c r="K710" s="31"/>
      <c r="L710" s="31"/>
      <c r="M710" s="31"/>
      <c r="N710" s="31"/>
      <c r="O710" s="31"/>
      <c r="P710" s="31"/>
      <c r="Q710" s="31"/>
      <c r="R710" s="31"/>
      <c r="S710" s="31"/>
      <c r="T710" s="31"/>
    </row>
    <row r="711" spans="1:20" ht="15.75">
      <c r="A711" s="11">
        <v>62762</v>
      </c>
      <c r="B711" s="39">
        <f t="shared" si="1"/>
        <v>31</v>
      </c>
      <c r="C711" s="30">
        <v>131.881</v>
      </c>
      <c r="D711" s="30">
        <v>277.16699999999997</v>
      </c>
      <c r="E711" s="36">
        <v>829.952</v>
      </c>
      <c r="F711" s="30">
        <v>1239</v>
      </c>
      <c r="G711" s="30">
        <v>75</v>
      </c>
      <c r="H711" s="38">
        <v>600</v>
      </c>
      <c r="I711" s="30">
        <v>695</v>
      </c>
      <c r="J711" s="30">
        <v>0</v>
      </c>
      <c r="K711" s="31"/>
      <c r="L711" s="31"/>
      <c r="M711" s="31"/>
      <c r="N711" s="31"/>
      <c r="O711" s="31"/>
      <c r="P711" s="31"/>
      <c r="Q711" s="31"/>
      <c r="R711" s="31"/>
      <c r="S711" s="31"/>
      <c r="T711" s="31"/>
    </row>
    <row r="712" spans="1:20" ht="15.75">
      <c r="A712" s="11">
        <v>62792</v>
      </c>
      <c r="B712" s="39">
        <f t="shared" si="1"/>
        <v>30</v>
      </c>
      <c r="C712" s="30">
        <v>122.58</v>
      </c>
      <c r="D712" s="30">
        <v>297.94099999999997</v>
      </c>
      <c r="E712" s="36">
        <v>729.47900000000004</v>
      </c>
      <c r="F712" s="30">
        <v>1150</v>
      </c>
      <c r="G712" s="30">
        <v>100</v>
      </c>
      <c r="H712" s="38">
        <v>600</v>
      </c>
      <c r="I712" s="30">
        <v>695</v>
      </c>
      <c r="J712" s="30">
        <v>50</v>
      </c>
      <c r="K712" s="31"/>
      <c r="L712" s="31"/>
      <c r="M712" s="31"/>
      <c r="N712" s="31"/>
      <c r="O712" s="31"/>
      <c r="P712" s="31"/>
      <c r="Q712" s="31"/>
      <c r="R712" s="31"/>
      <c r="S712" s="31"/>
      <c r="T712" s="31"/>
    </row>
    <row r="713" spans="1:20" ht="15.75">
      <c r="A713" s="11">
        <v>62823</v>
      </c>
      <c r="B713" s="39">
        <f t="shared" si="1"/>
        <v>31</v>
      </c>
      <c r="C713" s="30">
        <v>122.58</v>
      </c>
      <c r="D713" s="30">
        <v>297.94099999999997</v>
      </c>
      <c r="E713" s="36">
        <v>729.47900000000004</v>
      </c>
      <c r="F713" s="30">
        <v>1150</v>
      </c>
      <c r="G713" s="30">
        <v>100</v>
      </c>
      <c r="H713" s="38">
        <v>600</v>
      </c>
      <c r="I713" s="30">
        <v>695</v>
      </c>
      <c r="J713" s="30">
        <v>50</v>
      </c>
      <c r="K713" s="31"/>
      <c r="L713" s="31"/>
      <c r="M713" s="31"/>
      <c r="N713" s="31"/>
      <c r="O713" s="31"/>
      <c r="P713" s="31"/>
      <c r="Q713" s="31"/>
      <c r="R713" s="31"/>
      <c r="S713" s="31"/>
      <c r="T713" s="31"/>
    </row>
    <row r="714" spans="1:20" ht="15.75">
      <c r="A714" s="11">
        <v>62854</v>
      </c>
      <c r="B714" s="39">
        <f t="shared" si="1"/>
        <v>31</v>
      </c>
      <c r="C714" s="30">
        <v>122.58</v>
      </c>
      <c r="D714" s="30">
        <v>297.94099999999997</v>
      </c>
      <c r="E714" s="36">
        <v>729.47900000000004</v>
      </c>
      <c r="F714" s="30">
        <v>1150</v>
      </c>
      <c r="G714" s="30">
        <v>100</v>
      </c>
      <c r="H714" s="38">
        <v>600</v>
      </c>
      <c r="I714" s="30">
        <v>695</v>
      </c>
      <c r="J714" s="30">
        <v>50</v>
      </c>
      <c r="K714" s="31"/>
      <c r="L714" s="31"/>
      <c r="M714" s="31"/>
      <c r="N714" s="31"/>
      <c r="O714" s="31"/>
      <c r="P714" s="31"/>
      <c r="Q714" s="31"/>
      <c r="R714" s="31"/>
      <c r="S714" s="31"/>
      <c r="T714" s="31"/>
    </row>
    <row r="715" spans="1:20" ht="15.75">
      <c r="A715" s="11">
        <v>62883</v>
      </c>
      <c r="B715" s="39">
        <f t="shared" si="1"/>
        <v>29</v>
      </c>
      <c r="C715" s="30">
        <v>122.58</v>
      </c>
      <c r="D715" s="30">
        <v>297.94099999999997</v>
      </c>
      <c r="E715" s="36">
        <v>729.47900000000004</v>
      </c>
      <c r="F715" s="30">
        <v>1150</v>
      </c>
      <c r="G715" s="30">
        <v>100</v>
      </c>
      <c r="H715" s="38">
        <v>600</v>
      </c>
      <c r="I715" s="30">
        <v>695</v>
      </c>
      <c r="J715" s="30">
        <v>50</v>
      </c>
      <c r="K715" s="31"/>
      <c r="L715" s="31"/>
      <c r="M715" s="31"/>
      <c r="N715" s="31"/>
      <c r="O715" s="31"/>
      <c r="P715" s="31"/>
      <c r="Q715" s="31"/>
      <c r="R715" s="31"/>
      <c r="S715" s="31"/>
      <c r="T715" s="31"/>
    </row>
    <row r="716" spans="1:20" ht="15.75">
      <c r="A716" s="11">
        <v>62914</v>
      </c>
      <c r="B716" s="39">
        <f t="shared" si="1"/>
        <v>31</v>
      </c>
      <c r="C716" s="30">
        <v>122.58</v>
      </c>
      <c r="D716" s="30">
        <v>297.94099999999997</v>
      </c>
      <c r="E716" s="36">
        <v>729.47900000000004</v>
      </c>
      <c r="F716" s="30">
        <v>1150</v>
      </c>
      <c r="G716" s="30">
        <v>100</v>
      </c>
      <c r="H716" s="38">
        <v>600</v>
      </c>
      <c r="I716" s="30">
        <v>695</v>
      </c>
      <c r="J716" s="30">
        <v>50</v>
      </c>
      <c r="K716" s="31"/>
      <c r="L716" s="31"/>
      <c r="M716" s="31"/>
      <c r="N716" s="31"/>
      <c r="O716" s="31"/>
      <c r="P716" s="31"/>
      <c r="Q716" s="31"/>
      <c r="R716" s="31"/>
      <c r="S716" s="31"/>
      <c r="T716" s="31"/>
    </row>
    <row r="717" spans="1:20" ht="15.75">
      <c r="A717" s="11">
        <v>62944</v>
      </c>
      <c r="B717" s="39">
        <f t="shared" si="1"/>
        <v>30</v>
      </c>
      <c r="C717" s="30">
        <v>141.29300000000001</v>
      </c>
      <c r="D717" s="30">
        <v>267.99299999999999</v>
      </c>
      <c r="E717" s="36">
        <v>829.71400000000006</v>
      </c>
      <c r="F717" s="30">
        <v>1239</v>
      </c>
      <c r="G717" s="30">
        <v>100</v>
      </c>
      <c r="H717" s="38">
        <v>600</v>
      </c>
      <c r="I717" s="30">
        <v>695</v>
      </c>
      <c r="J717" s="30">
        <v>50</v>
      </c>
      <c r="K717" s="31"/>
      <c r="L717" s="31"/>
      <c r="M717" s="31"/>
      <c r="N717" s="31"/>
      <c r="O717" s="31"/>
      <c r="P717" s="31"/>
      <c r="Q717" s="31"/>
      <c r="R717" s="31"/>
      <c r="S717" s="31"/>
      <c r="T717" s="31"/>
    </row>
    <row r="718" spans="1:20" ht="15.75">
      <c r="A718" s="11">
        <v>62975</v>
      </c>
      <c r="B718" s="39">
        <f t="shared" si="1"/>
        <v>31</v>
      </c>
      <c r="C718" s="30">
        <v>194.20500000000001</v>
      </c>
      <c r="D718" s="30">
        <v>267.46600000000001</v>
      </c>
      <c r="E718" s="36">
        <v>812.32899999999995</v>
      </c>
      <c r="F718" s="30">
        <v>1274</v>
      </c>
      <c r="G718" s="30">
        <v>75</v>
      </c>
      <c r="H718" s="38">
        <v>600</v>
      </c>
      <c r="I718" s="30">
        <v>695</v>
      </c>
      <c r="J718" s="30">
        <v>50</v>
      </c>
      <c r="K718" s="31"/>
      <c r="L718" s="31"/>
      <c r="M718" s="31"/>
      <c r="N718" s="31"/>
      <c r="O718" s="31"/>
      <c r="P718" s="31"/>
      <c r="Q718" s="31"/>
      <c r="R718" s="31"/>
      <c r="S718" s="31"/>
      <c r="T718" s="31"/>
    </row>
    <row r="719" spans="1:20" ht="15.75">
      <c r="A719" s="11">
        <v>63005</v>
      </c>
      <c r="B719" s="39">
        <f t="shared" si="1"/>
        <v>30</v>
      </c>
      <c r="C719" s="30">
        <v>194.20500000000001</v>
      </c>
      <c r="D719" s="30">
        <v>267.46600000000001</v>
      </c>
      <c r="E719" s="36">
        <v>812.32899999999995</v>
      </c>
      <c r="F719" s="30">
        <v>1274</v>
      </c>
      <c r="G719" s="30">
        <v>50</v>
      </c>
      <c r="H719" s="38">
        <v>600</v>
      </c>
      <c r="I719" s="30">
        <v>695</v>
      </c>
      <c r="J719" s="30">
        <v>50</v>
      </c>
      <c r="K719" s="31"/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:20" ht="15.75">
      <c r="A720" s="11">
        <v>63036</v>
      </c>
      <c r="B720" s="39">
        <f t="shared" si="1"/>
        <v>31</v>
      </c>
      <c r="C720" s="30">
        <v>194.20500000000001</v>
      </c>
      <c r="D720" s="30">
        <v>267.46600000000001</v>
      </c>
      <c r="E720" s="36">
        <v>812.32899999999995</v>
      </c>
      <c r="F720" s="30">
        <v>1274</v>
      </c>
      <c r="G720" s="30">
        <v>50</v>
      </c>
      <c r="H720" s="38">
        <v>600</v>
      </c>
      <c r="I720" s="30">
        <v>695</v>
      </c>
      <c r="J720" s="30">
        <v>0</v>
      </c>
      <c r="K720" s="31"/>
      <c r="L720" s="31"/>
      <c r="M720" s="31"/>
      <c r="N720" s="31"/>
      <c r="O720" s="31"/>
      <c r="P720" s="31"/>
      <c r="Q720" s="31"/>
      <c r="R720" s="31"/>
      <c r="S720" s="31"/>
      <c r="T720" s="31"/>
    </row>
    <row r="721" spans="1:20" ht="15.75">
      <c r="A721" s="11">
        <v>63067</v>
      </c>
      <c r="B721" s="39">
        <f t="shared" si="1"/>
        <v>31</v>
      </c>
      <c r="C721" s="30">
        <v>194.20500000000001</v>
      </c>
      <c r="D721" s="30">
        <v>267.46600000000001</v>
      </c>
      <c r="E721" s="36">
        <v>812.32899999999995</v>
      </c>
      <c r="F721" s="30">
        <v>1274</v>
      </c>
      <c r="G721" s="30">
        <v>50</v>
      </c>
      <c r="H721" s="38">
        <v>600</v>
      </c>
      <c r="I721" s="30">
        <v>695</v>
      </c>
      <c r="J721" s="30">
        <v>0</v>
      </c>
      <c r="K721" s="31"/>
      <c r="L721" s="31"/>
      <c r="M721" s="31"/>
      <c r="N721" s="31"/>
      <c r="O721" s="31"/>
      <c r="P721" s="31"/>
      <c r="Q721" s="31"/>
      <c r="R721" s="31"/>
      <c r="S721" s="31"/>
      <c r="T721" s="31"/>
    </row>
    <row r="722" spans="1:20" ht="15.75">
      <c r="A722" s="11">
        <v>63097</v>
      </c>
      <c r="B722" s="39">
        <f t="shared" ref="B722:B785" si="2">EOMONTH(A722,0)-EOMONTH(A722,-1)</f>
        <v>30</v>
      </c>
      <c r="C722" s="30">
        <v>194.20500000000001</v>
      </c>
      <c r="D722" s="30">
        <v>267.46600000000001</v>
      </c>
      <c r="E722" s="36">
        <v>812.32899999999995</v>
      </c>
      <c r="F722" s="30">
        <v>1274</v>
      </c>
      <c r="G722" s="30">
        <v>50</v>
      </c>
      <c r="H722" s="38">
        <v>600</v>
      </c>
      <c r="I722" s="30">
        <v>695</v>
      </c>
      <c r="J722" s="30">
        <v>0</v>
      </c>
      <c r="K722" s="31"/>
      <c r="L722" s="31"/>
      <c r="M722" s="31"/>
      <c r="N722" s="31"/>
      <c r="O722" s="31"/>
      <c r="P722" s="31"/>
      <c r="Q722" s="31"/>
      <c r="R722" s="31"/>
      <c r="S722" s="31"/>
      <c r="T722" s="31"/>
    </row>
    <row r="723" spans="1:20" ht="15.75">
      <c r="A723" s="11">
        <v>63128</v>
      </c>
      <c r="B723" s="39">
        <f t="shared" si="2"/>
        <v>31</v>
      </c>
      <c r="C723" s="30">
        <v>131.881</v>
      </c>
      <c r="D723" s="30">
        <v>277.16699999999997</v>
      </c>
      <c r="E723" s="36">
        <v>829.952</v>
      </c>
      <c r="F723" s="30">
        <v>1239</v>
      </c>
      <c r="G723" s="30">
        <v>75</v>
      </c>
      <c r="H723" s="38">
        <v>600</v>
      </c>
      <c r="I723" s="30">
        <v>695</v>
      </c>
      <c r="J723" s="30">
        <v>0</v>
      </c>
      <c r="K723" s="31"/>
      <c r="L723" s="31"/>
      <c r="M723" s="31"/>
      <c r="N723" s="31"/>
      <c r="O723" s="31"/>
      <c r="P723" s="31"/>
      <c r="Q723" s="31"/>
      <c r="R723" s="31"/>
      <c r="S723" s="31"/>
      <c r="T723" s="31"/>
    </row>
    <row r="724" spans="1:20" ht="15.75">
      <c r="A724" s="11">
        <v>63158</v>
      </c>
      <c r="B724" s="39">
        <f t="shared" si="2"/>
        <v>30</v>
      </c>
      <c r="C724" s="30">
        <v>122.58</v>
      </c>
      <c r="D724" s="30">
        <v>297.94099999999997</v>
      </c>
      <c r="E724" s="36">
        <v>729.47900000000004</v>
      </c>
      <c r="F724" s="30">
        <v>1150</v>
      </c>
      <c r="G724" s="30">
        <v>100</v>
      </c>
      <c r="H724" s="38">
        <v>600</v>
      </c>
      <c r="I724" s="30">
        <v>695</v>
      </c>
      <c r="J724" s="30">
        <v>50</v>
      </c>
      <c r="K724" s="31"/>
      <c r="L724" s="31"/>
      <c r="M724" s="31"/>
      <c r="N724" s="31"/>
      <c r="O724" s="31"/>
      <c r="P724" s="31"/>
      <c r="Q724" s="31"/>
      <c r="R724" s="31"/>
      <c r="S724" s="31"/>
      <c r="T724" s="31"/>
    </row>
    <row r="725" spans="1:20" ht="15.75">
      <c r="A725" s="11">
        <v>63189</v>
      </c>
      <c r="B725" s="39">
        <f t="shared" si="2"/>
        <v>31</v>
      </c>
      <c r="C725" s="30">
        <v>122.58</v>
      </c>
      <c r="D725" s="30">
        <v>297.94099999999997</v>
      </c>
      <c r="E725" s="36">
        <v>729.47900000000004</v>
      </c>
      <c r="F725" s="30">
        <v>1150</v>
      </c>
      <c r="G725" s="30">
        <v>100</v>
      </c>
      <c r="H725" s="38">
        <v>600</v>
      </c>
      <c r="I725" s="30">
        <v>695</v>
      </c>
      <c r="J725" s="30">
        <v>50</v>
      </c>
      <c r="K725" s="31"/>
      <c r="L725" s="31"/>
      <c r="M725" s="31"/>
      <c r="N725" s="31"/>
      <c r="O725" s="31"/>
      <c r="P725" s="31"/>
      <c r="Q725" s="31"/>
      <c r="R725" s="31"/>
      <c r="S725" s="31"/>
      <c r="T725" s="31"/>
    </row>
    <row r="726" spans="1:20" ht="15.75">
      <c r="A726" s="11">
        <v>63220</v>
      </c>
      <c r="B726" s="39">
        <f t="shared" si="2"/>
        <v>31</v>
      </c>
      <c r="C726" s="30">
        <v>122.58</v>
      </c>
      <c r="D726" s="30">
        <v>297.94099999999997</v>
      </c>
      <c r="E726" s="36">
        <v>729.47900000000004</v>
      </c>
      <c r="F726" s="30">
        <v>1150</v>
      </c>
      <c r="G726" s="30">
        <v>100</v>
      </c>
      <c r="H726" s="38">
        <v>600</v>
      </c>
      <c r="I726" s="30">
        <v>695</v>
      </c>
      <c r="J726" s="30">
        <v>50</v>
      </c>
      <c r="K726" s="31"/>
      <c r="L726" s="31"/>
      <c r="M726" s="31"/>
      <c r="N726" s="31"/>
      <c r="O726" s="31"/>
      <c r="P726" s="31"/>
      <c r="Q726" s="31"/>
      <c r="R726" s="31"/>
      <c r="S726" s="31"/>
      <c r="T726" s="31"/>
    </row>
    <row r="727" spans="1:20" ht="15.75">
      <c r="A727" s="11">
        <v>63248</v>
      </c>
      <c r="B727" s="39">
        <f t="shared" si="2"/>
        <v>28</v>
      </c>
      <c r="C727" s="30">
        <v>122.58</v>
      </c>
      <c r="D727" s="30">
        <v>297.94099999999997</v>
      </c>
      <c r="E727" s="36">
        <v>729.47900000000004</v>
      </c>
      <c r="F727" s="30">
        <v>1150</v>
      </c>
      <c r="G727" s="30">
        <v>100</v>
      </c>
      <c r="H727" s="38">
        <v>600</v>
      </c>
      <c r="I727" s="30">
        <v>695</v>
      </c>
      <c r="J727" s="30">
        <v>50</v>
      </c>
      <c r="K727" s="31"/>
      <c r="L727" s="31"/>
      <c r="M727" s="31"/>
      <c r="N727" s="31"/>
      <c r="O727" s="31"/>
      <c r="P727" s="31"/>
      <c r="Q727" s="31"/>
      <c r="R727" s="31"/>
      <c r="S727" s="31"/>
      <c r="T727" s="31"/>
    </row>
    <row r="728" spans="1:20" ht="15.75">
      <c r="A728" s="11">
        <v>63279</v>
      </c>
      <c r="B728" s="39">
        <f t="shared" si="2"/>
        <v>31</v>
      </c>
      <c r="C728" s="30">
        <v>122.58</v>
      </c>
      <c r="D728" s="30">
        <v>297.94099999999997</v>
      </c>
      <c r="E728" s="36">
        <v>729.47900000000004</v>
      </c>
      <c r="F728" s="30">
        <v>1150</v>
      </c>
      <c r="G728" s="30">
        <v>100</v>
      </c>
      <c r="H728" s="38">
        <v>600</v>
      </c>
      <c r="I728" s="30">
        <v>695</v>
      </c>
      <c r="J728" s="30">
        <v>50</v>
      </c>
      <c r="K728" s="31"/>
      <c r="L728" s="31"/>
      <c r="M728" s="31"/>
      <c r="N728" s="31"/>
      <c r="O728" s="31"/>
      <c r="P728" s="31"/>
      <c r="Q728" s="31"/>
      <c r="R728" s="31"/>
      <c r="S728" s="31"/>
      <c r="T728" s="31"/>
    </row>
    <row r="729" spans="1:20" ht="15.75">
      <c r="A729" s="11">
        <v>63309</v>
      </c>
      <c r="B729" s="39">
        <f t="shared" si="2"/>
        <v>30</v>
      </c>
      <c r="C729" s="30">
        <v>141.29300000000001</v>
      </c>
      <c r="D729" s="30">
        <v>267.99299999999999</v>
      </c>
      <c r="E729" s="36">
        <v>829.71400000000006</v>
      </c>
      <c r="F729" s="30">
        <v>1239</v>
      </c>
      <c r="G729" s="30">
        <v>100</v>
      </c>
      <c r="H729" s="38">
        <v>600</v>
      </c>
      <c r="I729" s="30">
        <v>695</v>
      </c>
      <c r="J729" s="30">
        <v>50</v>
      </c>
      <c r="K729" s="31"/>
      <c r="L729" s="31"/>
      <c r="M729" s="31"/>
      <c r="N729" s="31"/>
      <c r="O729" s="31"/>
      <c r="P729" s="31"/>
      <c r="Q729" s="31"/>
      <c r="R729" s="31"/>
      <c r="S729" s="31"/>
      <c r="T729" s="31"/>
    </row>
    <row r="730" spans="1:20" ht="15.75">
      <c r="A730" s="11">
        <v>63340</v>
      </c>
      <c r="B730" s="39">
        <f t="shared" si="2"/>
        <v>31</v>
      </c>
      <c r="C730" s="30">
        <v>194.20500000000001</v>
      </c>
      <c r="D730" s="30">
        <v>267.46600000000001</v>
      </c>
      <c r="E730" s="36">
        <v>812.32899999999995</v>
      </c>
      <c r="F730" s="30">
        <v>1274</v>
      </c>
      <c r="G730" s="30">
        <v>75</v>
      </c>
      <c r="H730" s="38">
        <v>600</v>
      </c>
      <c r="I730" s="30">
        <v>695</v>
      </c>
      <c r="J730" s="30">
        <v>50</v>
      </c>
      <c r="K730" s="31"/>
      <c r="L730" s="31"/>
      <c r="M730" s="31"/>
      <c r="N730" s="31"/>
      <c r="O730" s="31"/>
      <c r="P730" s="31"/>
      <c r="Q730" s="31"/>
      <c r="R730" s="31"/>
      <c r="S730" s="31"/>
      <c r="T730" s="31"/>
    </row>
    <row r="731" spans="1:20" ht="15.75">
      <c r="A731" s="11">
        <v>63370</v>
      </c>
      <c r="B731" s="39">
        <f t="shared" si="2"/>
        <v>30</v>
      </c>
      <c r="C731" s="30">
        <v>194.20500000000001</v>
      </c>
      <c r="D731" s="30">
        <v>267.46600000000001</v>
      </c>
      <c r="E731" s="36">
        <v>812.32899999999995</v>
      </c>
      <c r="F731" s="30">
        <v>1274</v>
      </c>
      <c r="G731" s="30">
        <v>50</v>
      </c>
      <c r="H731" s="38">
        <v>600</v>
      </c>
      <c r="I731" s="30">
        <v>695</v>
      </c>
      <c r="J731" s="30">
        <v>50</v>
      </c>
      <c r="K731" s="31"/>
      <c r="L731" s="31"/>
      <c r="M731" s="31"/>
      <c r="N731" s="31"/>
      <c r="O731" s="31"/>
      <c r="P731" s="31"/>
      <c r="Q731" s="31"/>
      <c r="R731" s="31"/>
      <c r="S731" s="31"/>
      <c r="T731" s="31"/>
    </row>
    <row r="732" spans="1:20" ht="15.75">
      <c r="A732" s="11">
        <v>63401</v>
      </c>
      <c r="B732" s="39">
        <f t="shared" si="2"/>
        <v>31</v>
      </c>
      <c r="C732" s="30">
        <v>194.20500000000001</v>
      </c>
      <c r="D732" s="30">
        <v>267.46600000000001</v>
      </c>
      <c r="E732" s="36">
        <v>812.32899999999995</v>
      </c>
      <c r="F732" s="30">
        <v>1274</v>
      </c>
      <c r="G732" s="30">
        <v>50</v>
      </c>
      <c r="H732" s="38">
        <v>600</v>
      </c>
      <c r="I732" s="30">
        <v>695</v>
      </c>
      <c r="J732" s="30">
        <v>0</v>
      </c>
      <c r="K732" s="31"/>
      <c r="L732" s="31"/>
      <c r="M732" s="31"/>
      <c r="N732" s="31"/>
      <c r="O732" s="31"/>
      <c r="P732" s="31"/>
      <c r="Q732" s="31"/>
      <c r="R732" s="31"/>
      <c r="S732" s="31"/>
      <c r="T732" s="31"/>
    </row>
    <row r="733" spans="1:20" ht="15.75">
      <c r="A733" s="11">
        <v>63432</v>
      </c>
      <c r="B733" s="39">
        <f t="shared" si="2"/>
        <v>31</v>
      </c>
      <c r="C733" s="30">
        <v>194.20500000000001</v>
      </c>
      <c r="D733" s="30">
        <v>267.46600000000001</v>
      </c>
      <c r="E733" s="36">
        <v>812.32899999999995</v>
      </c>
      <c r="F733" s="30">
        <v>1274</v>
      </c>
      <c r="G733" s="30">
        <v>50</v>
      </c>
      <c r="H733" s="38">
        <v>600</v>
      </c>
      <c r="I733" s="30">
        <v>695</v>
      </c>
      <c r="J733" s="30">
        <v>0</v>
      </c>
      <c r="K733" s="31"/>
      <c r="L733" s="31"/>
      <c r="M733" s="31"/>
      <c r="N733" s="31"/>
      <c r="O733" s="31"/>
      <c r="P733" s="31"/>
      <c r="Q733" s="31"/>
      <c r="R733" s="31"/>
      <c r="S733" s="31"/>
      <c r="T733" s="31"/>
    </row>
    <row r="734" spans="1:20" ht="15.75">
      <c r="A734" s="11">
        <v>63462</v>
      </c>
      <c r="B734" s="39">
        <f t="shared" si="2"/>
        <v>30</v>
      </c>
      <c r="C734" s="30">
        <v>194.20500000000001</v>
      </c>
      <c r="D734" s="30">
        <v>267.46600000000001</v>
      </c>
      <c r="E734" s="36">
        <v>812.32899999999995</v>
      </c>
      <c r="F734" s="30">
        <v>1274</v>
      </c>
      <c r="G734" s="30">
        <v>50</v>
      </c>
      <c r="H734" s="38">
        <v>600</v>
      </c>
      <c r="I734" s="30">
        <v>695</v>
      </c>
      <c r="J734" s="30">
        <v>0</v>
      </c>
      <c r="K734" s="31"/>
      <c r="L734" s="31"/>
      <c r="M734" s="31"/>
      <c r="N734" s="31"/>
      <c r="O734" s="31"/>
      <c r="P734" s="31"/>
      <c r="Q734" s="31"/>
      <c r="R734" s="31"/>
      <c r="S734" s="31"/>
      <c r="T734" s="31"/>
    </row>
    <row r="735" spans="1:20" ht="15.75">
      <c r="A735" s="11">
        <v>63493</v>
      </c>
      <c r="B735" s="39">
        <f t="shared" si="2"/>
        <v>31</v>
      </c>
      <c r="C735" s="30">
        <v>131.881</v>
      </c>
      <c r="D735" s="30">
        <v>277.16699999999997</v>
      </c>
      <c r="E735" s="36">
        <v>829.952</v>
      </c>
      <c r="F735" s="30">
        <v>1239</v>
      </c>
      <c r="G735" s="30">
        <v>75</v>
      </c>
      <c r="H735" s="38">
        <v>600</v>
      </c>
      <c r="I735" s="30">
        <v>695</v>
      </c>
      <c r="J735" s="30">
        <v>0</v>
      </c>
      <c r="K735" s="31"/>
      <c r="L735" s="31"/>
      <c r="M735" s="31"/>
      <c r="N735" s="31"/>
      <c r="O735" s="31"/>
      <c r="P735" s="31"/>
      <c r="Q735" s="31"/>
      <c r="R735" s="31"/>
      <c r="S735" s="31"/>
      <c r="T735" s="31"/>
    </row>
    <row r="736" spans="1:20" ht="15.75">
      <c r="A736" s="11">
        <v>63523</v>
      </c>
      <c r="B736" s="39">
        <f t="shared" si="2"/>
        <v>30</v>
      </c>
      <c r="C736" s="30">
        <v>122.58</v>
      </c>
      <c r="D736" s="30">
        <v>297.94099999999997</v>
      </c>
      <c r="E736" s="36">
        <v>729.47900000000004</v>
      </c>
      <c r="F736" s="30">
        <v>1150</v>
      </c>
      <c r="G736" s="30">
        <v>100</v>
      </c>
      <c r="H736" s="38">
        <v>600</v>
      </c>
      <c r="I736" s="30">
        <v>695</v>
      </c>
      <c r="J736" s="30">
        <v>50</v>
      </c>
      <c r="K736" s="31"/>
      <c r="L736" s="31"/>
      <c r="M736" s="31"/>
      <c r="N736" s="31"/>
      <c r="O736" s="31"/>
      <c r="P736" s="31"/>
      <c r="Q736" s="31"/>
      <c r="R736" s="31"/>
      <c r="S736" s="31"/>
      <c r="T736" s="31"/>
    </row>
    <row r="737" spans="1:20" ht="15.75">
      <c r="A737" s="11">
        <v>63554</v>
      </c>
      <c r="B737" s="39">
        <f t="shared" si="2"/>
        <v>31</v>
      </c>
      <c r="C737" s="30">
        <v>122.58</v>
      </c>
      <c r="D737" s="30">
        <v>297.94099999999997</v>
      </c>
      <c r="E737" s="36">
        <v>729.47900000000004</v>
      </c>
      <c r="F737" s="30">
        <v>1150</v>
      </c>
      <c r="G737" s="30">
        <v>100</v>
      </c>
      <c r="H737" s="38">
        <v>600</v>
      </c>
      <c r="I737" s="30">
        <v>695</v>
      </c>
      <c r="J737" s="30">
        <v>50</v>
      </c>
      <c r="K737" s="31"/>
      <c r="L737" s="31"/>
      <c r="M737" s="31"/>
      <c r="N737" s="31"/>
      <c r="O737" s="31"/>
      <c r="P737" s="31"/>
      <c r="Q737" s="31"/>
      <c r="R737" s="31"/>
      <c r="S737" s="31"/>
      <c r="T737" s="31"/>
    </row>
    <row r="738" spans="1:20" ht="15.75">
      <c r="A738" s="11">
        <v>63585</v>
      </c>
      <c r="B738" s="39">
        <f t="shared" si="2"/>
        <v>31</v>
      </c>
      <c r="C738" s="30">
        <v>122.58</v>
      </c>
      <c r="D738" s="30">
        <v>297.94099999999997</v>
      </c>
      <c r="E738" s="36">
        <v>729.47900000000004</v>
      </c>
      <c r="F738" s="30">
        <v>1150</v>
      </c>
      <c r="G738" s="30">
        <v>100</v>
      </c>
      <c r="H738" s="38">
        <v>600</v>
      </c>
      <c r="I738" s="30">
        <v>695</v>
      </c>
      <c r="J738" s="30">
        <v>50</v>
      </c>
      <c r="K738" s="31"/>
      <c r="L738" s="31"/>
      <c r="M738" s="31"/>
      <c r="N738" s="31"/>
      <c r="O738" s="31"/>
      <c r="P738" s="31"/>
      <c r="Q738" s="31"/>
      <c r="R738" s="31"/>
      <c r="S738" s="31"/>
      <c r="T738" s="31"/>
    </row>
    <row r="739" spans="1:20" ht="15.75">
      <c r="A739" s="11">
        <v>63613</v>
      </c>
      <c r="B739" s="39">
        <f t="shared" si="2"/>
        <v>28</v>
      </c>
      <c r="C739" s="30">
        <v>122.58</v>
      </c>
      <c r="D739" s="30">
        <v>297.94099999999997</v>
      </c>
      <c r="E739" s="36">
        <v>729.47900000000004</v>
      </c>
      <c r="F739" s="30">
        <v>1150</v>
      </c>
      <c r="G739" s="30">
        <v>100</v>
      </c>
      <c r="H739" s="38">
        <v>600</v>
      </c>
      <c r="I739" s="30">
        <v>695</v>
      </c>
      <c r="J739" s="30">
        <v>50</v>
      </c>
      <c r="K739" s="31"/>
      <c r="L739" s="31"/>
      <c r="M739" s="31"/>
      <c r="N739" s="31"/>
      <c r="O739" s="31"/>
      <c r="P739" s="31"/>
      <c r="Q739" s="31"/>
      <c r="R739" s="31"/>
      <c r="S739" s="31"/>
      <c r="T739" s="31"/>
    </row>
    <row r="740" spans="1:20" ht="15.75">
      <c r="A740" s="11">
        <v>63644</v>
      </c>
      <c r="B740" s="39">
        <f t="shared" si="2"/>
        <v>31</v>
      </c>
      <c r="C740" s="30">
        <v>122.58</v>
      </c>
      <c r="D740" s="30">
        <v>297.94099999999997</v>
      </c>
      <c r="E740" s="36">
        <v>729.47900000000004</v>
      </c>
      <c r="F740" s="30">
        <v>1150</v>
      </c>
      <c r="G740" s="30">
        <v>100</v>
      </c>
      <c r="H740" s="38">
        <v>600</v>
      </c>
      <c r="I740" s="30">
        <v>695</v>
      </c>
      <c r="J740" s="30">
        <v>50</v>
      </c>
      <c r="K740" s="31"/>
      <c r="L740" s="31"/>
      <c r="M740" s="31"/>
      <c r="N740" s="31"/>
      <c r="O740" s="31"/>
      <c r="P740" s="31"/>
      <c r="Q740" s="31"/>
      <c r="R740" s="31"/>
      <c r="S740" s="31"/>
      <c r="T740" s="31"/>
    </row>
    <row r="741" spans="1:20" ht="15.75">
      <c r="A741" s="11">
        <v>63674</v>
      </c>
      <c r="B741" s="39">
        <f t="shared" si="2"/>
        <v>30</v>
      </c>
      <c r="C741" s="30">
        <v>141.29300000000001</v>
      </c>
      <c r="D741" s="30">
        <v>267.99299999999999</v>
      </c>
      <c r="E741" s="36">
        <v>829.71400000000006</v>
      </c>
      <c r="F741" s="30">
        <v>1239</v>
      </c>
      <c r="G741" s="30">
        <v>100</v>
      </c>
      <c r="H741" s="38">
        <v>600</v>
      </c>
      <c r="I741" s="30">
        <v>695</v>
      </c>
      <c r="J741" s="30">
        <v>50</v>
      </c>
      <c r="K741" s="31"/>
      <c r="L741" s="31"/>
      <c r="M741" s="31"/>
      <c r="N741" s="31"/>
      <c r="O741" s="31"/>
      <c r="P741" s="31"/>
      <c r="Q741" s="31"/>
      <c r="R741" s="31"/>
      <c r="S741" s="31"/>
      <c r="T741" s="31"/>
    </row>
    <row r="742" spans="1:20" ht="15.75">
      <c r="A742" s="11">
        <v>63705</v>
      </c>
      <c r="B742" s="39">
        <f t="shared" si="2"/>
        <v>31</v>
      </c>
      <c r="C742" s="30">
        <v>194.20500000000001</v>
      </c>
      <c r="D742" s="30">
        <v>267.46600000000001</v>
      </c>
      <c r="E742" s="36">
        <v>812.32899999999995</v>
      </c>
      <c r="F742" s="30">
        <v>1274</v>
      </c>
      <c r="G742" s="30">
        <v>75</v>
      </c>
      <c r="H742" s="38">
        <v>600</v>
      </c>
      <c r="I742" s="30">
        <v>695</v>
      </c>
      <c r="J742" s="30">
        <v>50</v>
      </c>
      <c r="K742" s="31"/>
      <c r="L742" s="31"/>
      <c r="M742" s="31"/>
      <c r="N742" s="31"/>
      <c r="O742" s="31"/>
      <c r="P742" s="31"/>
      <c r="Q742" s="31"/>
      <c r="R742" s="31"/>
      <c r="S742" s="31"/>
      <c r="T742" s="31"/>
    </row>
    <row r="743" spans="1:20" ht="15.75">
      <c r="A743" s="11">
        <v>63735</v>
      </c>
      <c r="B743" s="39">
        <f t="shared" si="2"/>
        <v>30</v>
      </c>
      <c r="C743" s="30">
        <v>194.20500000000001</v>
      </c>
      <c r="D743" s="30">
        <v>267.46600000000001</v>
      </c>
      <c r="E743" s="36">
        <v>812.32899999999995</v>
      </c>
      <c r="F743" s="30">
        <v>1274</v>
      </c>
      <c r="G743" s="30">
        <v>50</v>
      </c>
      <c r="H743" s="38">
        <v>600</v>
      </c>
      <c r="I743" s="30">
        <v>695</v>
      </c>
      <c r="J743" s="30">
        <v>50</v>
      </c>
      <c r="K743" s="31"/>
      <c r="L743" s="31"/>
      <c r="M743" s="31"/>
      <c r="N743" s="31"/>
      <c r="O743" s="31"/>
      <c r="P743" s="31"/>
      <c r="Q743" s="31"/>
      <c r="R743" s="31"/>
      <c r="S743" s="31"/>
      <c r="T743" s="31"/>
    </row>
    <row r="744" spans="1:20" ht="15.75">
      <c r="A744" s="11">
        <v>63766</v>
      </c>
      <c r="B744" s="39">
        <f t="shared" si="2"/>
        <v>31</v>
      </c>
      <c r="C744" s="30">
        <v>194.20500000000001</v>
      </c>
      <c r="D744" s="30">
        <v>267.46600000000001</v>
      </c>
      <c r="E744" s="36">
        <v>812.32899999999995</v>
      </c>
      <c r="F744" s="30">
        <v>1274</v>
      </c>
      <c r="G744" s="30">
        <v>50</v>
      </c>
      <c r="H744" s="38">
        <v>600</v>
      </c>
      <c r="I744" s="30">
        <v>695</v>
      </c>
      <c r="J744" s="30">
        <v>0</v>
      </c>
      <c r="K744" s="31"/>
      <c r="L744" s="31"/>
      <c r="M744" s="31"/>
      <c r="N744" s="31"/>
      <c r="O744" s="31"/>
      <c r="P744" s="31"/>
      <c r="Q744" s="31"/>
      <c r="R744" s="31"/>
      <c r="S744" s="31"/>
      <c r="T744" s="31"/>
    </row>
    <row r="745" spans="1:20" ht="15.75">
      <c r="A745" s="11">
        <v>63797</v>
      </c>
      <c r="B745" s="39">
        <f t="shared" si="2"/>
        <v>31</v>
      </c>
      <c r="C745" s="30">
        <v>194.20500000000001</v>
      </c>
      <c r="D745" s="30">
        <v>267.46600000000001</v>
      </c>
      <c r="E745" s="36">
        <v>812.32899999999995</v>
      </c>
      <c r="F745" s="30">
        <v>1274</v>
      </c>
      <c r="G745" s="30">
        <v>50</v>
      </c>
      <c r="H745" s="38">
        <v>600</v>
      </c>
      <c r="I745" s="30">
        <v>695</v>
      </c>
      <c r="J745" s="30">
        <v>0</v>
      </c>
      <c r="K745" s="31"/>
      <c r="L745" s="31"/>
      <c r="M745" s="31"/>
      <c r="N745" s="31"/>
      <c r="O745" s="31"/>
      <c r="P745" s="31"/>
      <c r="Q745" s="31"/>
      <c r="R745" s="31"/>
      <c r="S745" s="31"/>
      <c r="T745" s="31"/>
    </row>
    <row r="746" spans="1:20" ht="15.75">
      <c r="A746" s="11">
        <v>63827</v>
      </c>
      <c r="B746" s="39">
        <f t="shared" si="2"/>
        <v>30</v>
      </c>
      <c r="C746" s="30">
        <v>194.20500000000001</v>
      </c>
      <c r="D746" s="30">
        <v>267.46600000000001</v>
      </c>
      <c r="E746" s="36">
        <v>812.32899999999995</v>
      </c>
      <c r="F746" s="30">
        <v>1274</v>
      </c>
      <c r="G746" s="30">
        <v>50</v>
      </c>
      <c r="H746" s="38">
        <v>600</v>
      </c>
      <c r="I746" s="30">
        <v>695</v>
      </c>
      <c r="J746" s="30">
        <v>0</v>
      </c>
      <c r="K746" s="31"/>
      <c r="L746" s="31"/>
      <c r="M746" s="31"/>
      <c r="N746" s="31"/>
      <c r="O746" s="31"/>
      <c r="P746" s="31"/>
      <c r="Q746" s="31"/>
      <c r="R746" s="31"/>
      <c r="S746" s="31"/>
      <c r="T746" s="31"/>
    </row>
    <row r="747" spans="1:20" ht="15.75">
      <c r="A747" s="11">
        <v>63858</v>
      </c>
      <c r="B747" s="39">
        <f t="shared" si="2"/>
        <v>31</v>
      </c>
      <c r="C747" s="30">
        <v>131.881</v>
      </c>
      <c r="D747" s="30">
        <v>277.16699999999997</v>
      </c>
      <c r="E747" s="36">
        <v>829.952</v>
      </c>
      <c r="F747" s="30">
        <v>1239</v>
      </c>
      <c r="G747" s="30">
        <v>75</v>
      </c>
      <c r="H747" s="38">
        <v>600</v>
      </c>
      <c r="I747" s="30">
        <v>695</v>
      </c>
      <c r="J747" s="30">
        <v>0</v>
      </c>
      <c r="K747" s="31"/>
      <c r="L747" s="31"/>
      <c r="M747" s="31"/>
      <c r="N747" s="31"/>
      <c r="O747" s="31"/>
      <c r="P747" s="31"/>
      <c r="Q747" s="31"/>
      <c r="R747" s="31"/>
      <c r="S747" s="31"/>
      <c r="T747" s="31"/>
    </row>
    <row r="748" spans="1:20" ht="15.75">
      <c r="A748" s="11">
        <v>63888</v>
      </c>
      <c r="B748" s="39">
        <f t="shared" si="2"/>
        <v>30</v>
      </c>
      <c r="C748" s="30">
        <v>122.58</v>
      </c>
      <c r="D748" s="30">
        <v>297.94099999999997</v>
      </c>
      <c r="E748" s="36">
        <v>729.47900000000004</v>
      </c>
      <c r="F748" s="30">
        <v>1150</v>
      </c>
      <c r="G748" s="30">
        <v>100</v>
      </c>
      <c r="H748" s="38">
        <v>600</v>
      </c>
      <c r="I748" s="30">
        <v>695</v>
      </c>
      <c r="J748" s="30">
        <v>50</v>
      </c>
      <c r="K748" s="31"/>
      <c r="L748" s="31"/>
      <c r="M748" s="31"/>
      <c r="N748" s="31"/>
      <c r="O748" s="31"/>
      <c r="P748" s="31"/>
      <c r="Q748" s="31"/>
      <c r="R748" s="31"/>
      <c r="S748" s="31"/>
      <c r="T748" s="31"/>
    </row>
    <row r="749" spans="1:20" ht="15.75">
      <c r="A749" s="11">
        <v>63919</v>
      </c>
      <c r="B749" s="39">
        <f t="shared" si="2"/>
        <v>31</v>
      </c>
      <c r="C749" s="30">
        <v>122.58</v>
      </c>
      <c r="D749" s="30">
        <v>297.94099999999997</v>
      </c>
      <c r="E749" s="36">
        <v>729.47900000000004</v>
      </c>
      <c r="F749" s="30">
        <v>1150</v>
      </c>
      <c r="G749" s="30">
        <v>100</v>
      </c>
      <c r="H749" s="38">
        <v>600</v>
      </c>
      <c r="I749" s="30">
        <v>695</v>
      </c>
      <c r="J749" s="30">
        <v>50</v>
      </c>
      <c r="K749" s="31"/>
      <c r="L749" s="31"/>
      <c r="M749" s="31"/>
      <c r="N749" s="31"/>
      <c r="O749" s="31"/>
      <c r="P749" s="31"/>
      <c r="Q749" s="31"/>
      <c r="R749" s="31"/>
      <c r="S749" s="31"/>
      <c r="T749" s="31"/>
    </row>
    <row r="750" spans="1:20" ht="15.75">
      <c r="A750" s="11">
        <v>63950</v>
      </c>
      <c r="B750" s="39">
        <f t="shared" si="2"/>
        <v>31</v>
      </c>
      <c r="C750" s="30">
        <v>122.58</v>
      </c>
      <c r="D750" s="30">
        <v>297.94099999999997</v>
      </c>
      <c r="E750" s="36">
        <v>729.47900000000004</v>
      </c>
      <c r="F750" s="30">
        <v>1150</v>
      </c>
      <c r="G750" s="30">
        <v>100</v>
      </c>
      <c r="H750" s="38">
        <v>600</v>
      </c>
      <c r="I750" s="30">
        <v>695</v>
      </c>
      <c r="J750" s="30">
        <v>50</v>
      </c>
      <c r="K750" s="31"/>
      <c r="L750" s="31"/>
      <c r="M750" s="31"/>
      <c r="N750" s="31"/>
      <c r="O750" s="31"/>
      <c r="P750" s="31"/>
      <c r="Q750" s="31"/>
      <c r="R750" s="31"/>
      <c r="S750" s="31"/>
      <c r="T750" s="31"/>
    </row>
    <row r="751" spans="1:20" ht="15.75">
      <c r="A751" s="11">
        <v>63978</v>
      </c>
      <c r="B751" s="39">
        <f t="shared" si="2"/>
        <v>28</v>
      </c>
      <c r="C751" s="30">
        <v>122.58</v>
      </c>
      <c r="D751" s="30">
        <v>297.94099999999997</v>
      </c>
      <c r="E751" s="36">
        <v>729.47900000000004</v>
      </c>
      <c r="F751" s="30">
        <v>1150</v>
      </c>
      <c r="G751" s="30">
        <v>100</v>
      </c>
      <c r="H751" s="38">
        <v>600</v>
      </c>
      <c r="I751" s="30">
        <v>695</v>
      </c>
      <c r="J751" s="30">
        <v>50</v>
      </c>
      <c r="K751" s="31"/>
      <c r="L751" s="31"/>
      <c r="M751" s="31"/>
      <c r="N751" s="31"/>
      <c r="O751" s="31"/>
      <c r="P751" s="31"/>
      <c r="Q751" s="31"/>
      <c r="R751" s="31"/>
      <c r="S751" s="31"/>
      <c r="T751" s="31"/>
    </row>
    <row r="752" spans="1:20" ht="15.75">
      <c r="A752" s="11">
        <v>64009</v>
      </c>
      <c r="B752" s="39">
        <f t="shared" si="2"/>
        <v>31</v>
      </c>
      <c r="C752" s="30">
        <v>122.58</v>
      </c>
      <c r="D752" s="30">
        <v>297.94099999999997</v>
      </c>
      <c r="E752" s="36">
        <v>729.47900000000004</v>
      </c>
      <c r="F752" s="30">
        <v>1150</v>
      </c>
      <c r="G752" s="30">
        <v>100</v>
      </c>
      <c r="H752" s="38">
        <v>600</v>
      </c>
      <c r="I752" s="30">
        <v>695</v>
      </c>
      <c r="J752" s="30">
        <v>50</v>
      </c>
      <c r="K752" s="31"/>
      <c r="L752" s="31"/>
      <c r="M752" s="31"/>
      <c r="N752" s="31"/>
      <c r="O752" s="31"/>
      <c r="P752" s="31"/>
      <c r="Q752" s="31"/>
      <c r="R752" s="31"/>
      <c r="S752" s="31"/>
      <c r="T752" s="31"/>
    </row>
    <row r="753" spans="1:20" ht="15.75">
      <c r="A753" s="11">
        <v>64039</v>
      </c>
      <c r="B753" s="39">
        <f t="shared" si="2"/>
        <v>30</v>
      </c>
      <c r="C753" s="30">
        <v>141.29300000000001</v>
      </c>
      <c r="D753" s="30">
        <v>267.99299999999999</v>
      </c>
      <c r="E753" s="36">
        <v>829.71400000000006</v>
      </c>
      <c r="F753" s="30">
        <v>1239</v>
      </c>
      <c r="G753" s="30">
        <v>100</v>
      </c>
      <c r="H753" s="38">
        <v>600</v>
      </c>
      <c r="I753" s="30">
        <v>695</v>
      </c>
      <c r="J753" s="30">
        <v>50</v>
      </c>
      <c r="K753" s="31"/>
      <c r="L753" s="31"/>
      <c r="M753" s="31"/>
      <c r="N753" s="31"/>
      <c r="O753" s="31"/>
      <c r="P753" s="31"/>
      <c r="Q753" s="31"/>
      <c r="R753" s="31"/>
      <c r="S753" s="31"/>
      <c r="T753" s="31"/>
    </row>
    <row r="754" spans="1:20" ht="15.75">
      <c r="A754" s="11">
        <v>64070</v>
      </c>
      <c r="B754" s="39">
        <f t="shared" si="2"/>
        <v>31</v>
      </c>
      <c r="C754" s="30">
        <v>194.20500000000001</v>
      </c>
      <c r="D754" s="30">
        <v>267.46600000000001</v>
      </c>
      <c r="E754" s="36">
        <v>812.32899999999995</v>
      </c>
      <c r="F754" s="30">
        <v>1274</v>
      </c>
      <c r="G754" s="30">
        <v>75</v>
      </c>
      <c r="H754" s="38">
        <v>600</v>
      </c>
      <c r="I754" s="30">
        <v>695</v>
      </c>
      <c r="J754" s="30">
        <v>50</v>
      </c>
      <c r="K754" s="31"/>
      <c r="L754" s="31"/>
      <c r="M754" s="31"/>
      <c r="N754" s="31"/>
      <c r="O754" s="31"/>
      <c r="P754" s="31"/>
      <c r="Q754" s="31"/>
      <c r="R754" s="31"/>
      <c r="S754" s="31"/>
      <c r="T754" s="31"/>
    </row>
    <row r="755" spans="1:20" ht="15.75">
      <c r="A755" s="11">
        <v>64100</v>
      </c>
      <c r="B755" s="39">
        <f t="shared" si="2"/>
        <v>30</v>
      </c>
      <c r="C755" s="30">
        <v>194.20500000000001</v>
      </c>
      <c r="D755" s="30">
        <v>267.46600000000001</v>
      </c>
      <c r="E755" s="36">
        <v>812.32899999999995</v>
      </c>
      <c r="F755" s="30">
        <v>1274</v>
      </c>
      <c r="G755" s="30">
        <v>50</v>
      </c>
      <c r="H755" s="38">
        <v>600</v>
      </c>
      <c r="I755" s="30">
        <v>695</v>
      </c>
      <c r="J755" s="30">
        <v>50</v>
      </c>
      <c r="K755" s="31"/>
      <c r="L755" s="31"/>
      <c r="M755" s="31"/>
      <c r="N755" s="31"/>
      <c r="O755" s="31"/>
      <c r="P755" s="31"/>
      <c r="Q755" s="31"/>
      <c r="R755" s="31"/>
      <c r="S755" s="31"/>
      <c r="T755" s="31"/>
    </row>
    <row r="756" spans="1:20" ht="15.75">
      <c r="A756" s="11">
        <v>64131</v>
      </c>
      <c r="B756" s="39">
        <f t="shared" si="2"/>
        <v>31</v>
      </c>
      <c r="C756" s="30">
        <v>194.20500000000001</v>
      </c>
      <c r="D756" s="30">
        <v>267.46600000000001</v>
      </c>
      <c r="E756" s="36">
        <v>812.32899999999995</v>
      </c>
      <c r="F756" s="30">
        <v>1274</v>
      </c>
      <c r="G756" s="30">
        <v>50</v>
      </c>
      <c r="H756" s="38">
        <v>600</v>
      </c>
      <c r="I756" s="30">
        <v>695</v>
      </c>
      <c r="J756" s="30">
        <v>0</v>
      </c>
      <c r="K756" s="31"/>
      <c r="L756" s="31"/>
      <c r="M756" s="31"/>
      <c r="N756" s="31"/>
      <c r="O756" s="31"/>
      <c r="P756" s="31"/>
      <c r="Q756" s="31"/>
      <c r="R756" s="31"/>
      <c r="S756" s="31"/>
      <c r="T756" s="31"/>
    </row>
    <row r="757" spans="1:20" ht="15.75">
      <c r="A757" s="11">
        <v>64162</v>
      </c>
      <c r="B757" s="39">
        <f t="shared" si="2"/>
        <v>31</v>
      </c>
      <c r="C757" s="30">
        <v>194.20500000000001</v>
      </c>
      <c r="D757" s="30">
        <v>267.46600000000001</v>
      </c>
      <c r="E757" s="36">
        <v>812.32899999999995</v>
      </c>
      <c r="F757" s="30">
        <v>1274</v>
      </c>
      <c r="G757" s="30">
        <v>50</v>
      </c>
      <c r="H757" s="38">
        <v>600</v>
      </c>
      <c r="I757" s="30">
        <v>695</v>
      </c>
      <c r="J757" s="30">
        <v>0</v>
      </c>
      <c r="K757" s="31"/>
      <c r="L757" s="31"/>
      <c r="M757" s="31"/>
      <c r="N757" s="31"/>
      <c r="O757" s="31"/>
      <c r="P757" s="31"/>
      <c r="Q757" s="31"/>
      <c r="R757" s="31"/>
      <c r="S757" s="31"/>
      <c r="T757" s="31"/>
    </row>
    <row r="758" spans="1:20" ht="15.75">
      <c r="A758" s="11">
        <v>64192</v>
      </c>
      <c r="B758" s="39">
        <f t="shared" si="2"/>
        <v>30</v>
      </c>
      <c r="C758" s="30">
        <v>194.20500000000001</v>
      </c>
      <c r="D758" s="30">
        <v>267.46600000000001</v>
      </c>
      <c r="E758" s="36">
        <v>812.32899999999995</v>
      </c>
      <c r="F758" s="30">
        <v>1274</v>
      </c>
      <c r="G758" s="30">
        <v>50</v>
      </c>
      <c r="H758" s="38">
        <v>600</v>
      </c>
      <c r="I758" s="30">
        <v>695</v>
      </c>
      <c r="J758" s="30">
        <v>0</v>
      </c>
      <c r="K758" s="31"/>
      <c r="L758" s="31"/>
      <c r="M758" s="31"/>
      <c r="N758" s="31"/>
      <c r="O758" s="31"/>
      <c r="P758" s="31"/>
      <c r="Q758" s="31"/>
      <c r="R758" s="31"/>
      <c r="S758" s="31"/>
      <c r="T758" s="31"/>
    </row>
    <row r="759" spans="1:20" ht="15.75">
      <c r="A759" s="11">
        <v>64223</v>
      </c>
      <c r="B759" s="39">
        <f t="shared" si="2"/>
        <v>31</v>
      </c>
      <c r="C759" s="30">
        <v>131.881</v>
      </c>
      <c r="D759" s="30">
        <v>277.16699999999997</v>
      </c>
      <c r="E759" s="36">
        <v>829.952</v>
      </c>
      <c r="F759" s="30">
        <v>1239</v>
      </c>
      <c r="G759" s="30">
        <v>75</v>
      </c>
      <c r="H759" s="38">
        <v>600</v>
      </c>
      <c r="I759" s="30">
        <v>695</v>
      </c>
      <c r="J759" s="30">
        <v>0</v>
      </c>
      <c r="K759" s="31"/>
      <c r="L759" s="31"/>
      <c r="M759" s="31"/>
      <c r="N759" s="31"/>
      <c r="O759" s="31"/>
      <c r="P759" s="31"/>
      <c r="Q759" s="31"/>
      <c r="R759" s="31"/>
      <c r="S759" s="31"/>
      <c r="T759" s="31"/>
    </row>
    <row r="760" spans="1:20" ht="15.75">
      <c r="A760" s="11">
        <v>64253</v>
      </c>
      <c r="B760" s="39">
        <f t="shared" si="2"/>
        <v>30</v>
      </c>
      <c r="C760" s="30">
        <v>122.58</v>
      </c>
      <c r="D760" s="30">
        <v>297.94099999999997</v>
      </c>
      <c r="E760" s="36">
        <v>729.47900000000004</v>
      </c>
      <c r="F760" s="30">
        <v>1150</v>
      </c>
      <c r="G760" s="30">
        <v>100</v>
      </c>
      <c r="H760" s="38">
        <v>600</v>
      </c>
      <c r="I760" s="30">
        <v>695</v>
      </c>
      <c r="J760" s="30">
        <v>50</v>
      </c>
      <c r="K760" s="31"/>
      <c r="L760" s="31"/>
      <c r="M760" s="31"/>
      <c r="N760" s="31"/>
      <c r="O760" s="31"/>
      <c r="P760" s="31"/>
      <c r="Q760" s="31"/>
      <c r="R760" s="31"/>
      <c r="S760" s="31"/>
      <c r="T760" s="31"/>
    </row>
    <row r="761" spans="1:20" ht="15.75">
      <c r="A761" s="11">
        <v>64284</v>
      </c>
      <c r="B761" s="39">
        <f t="shared" si="2"/>
        <v>31</v>
      </c>
      <c r="C761" s="30">
        <v>122.58</v>
      </c>
      <c r="D761" s="30">
        <v>297.94099999999997</v>
      </c>
      <c r="E761" s="36">
        <v>729.47900000000004</v>
      </c>
      <c r="F761" s="30">
        <v>1150</v>
      </c>
      <c r="G761" s="30">
        <v>100</v>
      </c>
      <c r="H761" s="38">
        <v>600</v>
      </c>
      <c r="I761" s="30">
        <v>695</v>
      </c>
      <c r="J761" s="30">
        <v>50</v>
      </c>
      <c r="K761" s="31"/>
      <c r="L761" s="31"/>
      <c r="M761" s="31"/>
      <c r="N761" s="31"/>
      <c r="O761" s="31"/>
      <c r="P761" s="31"/>
      <c r="Q761" s="31"/>
      <c r="R761" s="31"/>
      <c r="S761" s="31"/>
      <c r="T761" s="31"/>
    </row>
    <row r="762" spans="1:20" ht="15.75">
      <c r="A762" s="11">
        <v>64315</v>
      </c>
      <c r="B762" s="39">
        <f t="shared" si="2"/>
        <v>31</v>
      </c>
      <c r="C762" s="30">
        <v>122.58</v>
      </c>
      <c r="D762" s="30">
        <v>297.94099999999997</v>
      </c>
      <c r="E762" s="36">
        <v>729.47900000000004</v>
      </c>
      <c r="F762" s="30">
        <v>1150</v>
      </c>
      <c r="G762" s="30">
        <v>100</v>
      </c>
      <c r="H762" s="38">
        <v>600</v>
      </c>
      <c r="I762" s="30">
        <v>695</v>
      </c>
      <c r="J762" s="30">
        <v>50</v>
      </c>
      <c r="K762" s="31"/>
      <c r="L762" s="31"/>
      <c r="M762" s="31"/>
      <c r="N762" s="31"/>
      <c r="O762" s="31"/>
      <c r="P762" s="31"/>
      <c r="Q762" s="31"/>
      <c r="R762" s="31"/>
      <c r="S762" s="31"/>
      <c r="T762" s="31"/>
    </row>
    <row r="763" spans="1:20" ht="15.75">
      <c r="A763" s="11">
        <v>64344</v>
      </c>
      <c r="B763" s="39">
        <f t="shared" si="2"/>
        <v>29</v>
      </c>
      <c r="C763" s="30">
        <v>122.58</v>
      </c>
      <c r="D763" s="30">
        <v>297.94099999999997</v>
      </c>
      <c r="E763" s="36">
        <v>729.47900000000004</v>
      </c>
      <c r="F763" s="30">
        <v>1150</v>
      </c>
      <c r="G763" s="30">
        <v>100</v>
      </c>
      <c r="H763" s="38">
        <v>600</v>
      </c>
      <c r="I763" s="30">
        <v>695</v>
      </c>
      <c r="J763" s="30">
        <v>50</v>
      </c>
      <c r="K763" s="31"/>
      <c r="L763" s="31"/>
      <c r="M763" s="31"/>
      <c r="N763" s="31"/>
      <c r="O763" s="31"/>
      <c r="P763" s="31"/>
      <c r="Q763" s="31"/>
      <c r="R763" s="31"/>
      <c r="S763" s="31"/>
      <c r="T763" s="31"/>
    </row>
    <row r="764" spans="1:20" ht="15.75">
      <c r="A764" s="11">
        <v>64375</v>
      </c>
      <c r="B764" s="39">
        <f t="shared" si="2"/>
        <v>31</v>
      </c>
      <c r="C764" s="30">
        <v>122.58</v>
      </c>
      <c r="D764" s="30">
        <v>297.94099999999997</v>
      </c>
      <c r="E764" s="36">
        <v>729.47900000000004</v>
      </c>
      <c r="F764" s="30">
        <v>1150</v>
      </c>
      <c r="G764" s="30">
        <v>100</v>
      </c>
      <c r="H764" s="38">
        <v>600</v>
      </c>
      <c r="I764" s="30">
        <v>695</v>
      </c>
      <c r="J764" s="30">
        <v>50</v>
      </c>
      <c r="K764" s="31"/>
      <c r="L764" s="31"/>
      <c r="M764" s="31"/>
      <c r="N764" s="31"/>
      <c r="O764" s="31"/>
      <c r="P764" s="31"/>
      <c r="Q764" s="31"/>
      <c r="R764" s="31"/>
      <c r="S764" s="31"/>
      <c r="T764" s="31"/>
    </row>
    <row r="765" spans="1:20" ht="15.75">
      <c r="A765" s="11">
        <v>64405</v>
      </c>
      <c r="B765" s="39">
        <f t="shared" si="2"/>
        <v>30</v>
      </c>
      <c r="C765" s="30">
        <v>141.29300000000001</v>
      </c>
      <c r="D765" s="30">
        <v>267.99299999999999</v>
      </c>
      <c r="E765" s="36">
        <v>829.71400000000006</v>
      </c>
      <c r="F765" s="30">
        <v>1239</v>
      </c>
      <c r="G765" s="30">
        <v>100</v>
      </c>
      <c r="H765" s="38">
        <v>600</v>
      </c>
      <c r="I765" s="30">
        <v>695</v>
      </c>
      <c r="J765" s="30">
        <v>50</v>
      </c>
      <c r="K765" s="31"/>
      <c r="L765" s="31"/>
      <c r="M765" s="31"/>
      <c r="N765" s="31"/>
      <c r="O765" s="31"/>
      <c r="P765" s="31"/>
      <c r="Q765" s="31"/>
      <c r="R765" s="31"/>
      <c r="S765" s="31"/>
      <c r="T765" s="31"/>
    </row>
    <row r="766" spans="1:20" ht="15.75">
      <c r="A766" s="11">
        <v>64436</v>
      </c>
      <c r="B766" s="39">
        <f t="shared" si="2"/>
        <v>31</v>
      </c>
      <c r="C766" s="30">
        <v>194.20500000000001</v>
      </c>
      <c r="D766" s="30">
        <v>267.46600000000001</v>
      </c>
      <c r="E766" s="36">
        <v>812.32899999999995</v>
      </c>
      <c r="F766" s="30">
        <v>1274</v>
      </c>
      <c r="G766" s="30">
        <v>75</v>
      </c>
      <c r="H766" s="38">
        <v>600</v>
      </c>
      <c r="I766" s="30">
        <v>695</v>
      </c>
      <c r="J766" s="30">
        <v>50</v>
      </c>
      <c r="K766" s="31"/>
      <c r="L766" s="31"/>
      <c r="M766" s="31"/>
      <c r="N766" s="31"/>
      <c r="O766" s="31"/>
      <c r="P766" s="31"/>
      <c r="Q766" s="31"/>
      <c r="R766" s="31"/>
      <c r="S766" s="31"/>
      <c r="T766" s="31"/>
    </row>
    <row r="767" spans="1:20" ht="15.75">
      <c r="A767" s="11">
        <v>64466</v>
      </c>
      <c r="B767" s="39">
        <f t="shared" si="2"/>
        <v>30</v>
      </c>
      <c r="C767" s="30">
        <v>194.20500000000001</v>
      </c>
      <c r="D767" s="30">
        <v>267.46600000000001</v>
      </c>
      <c r="E767" s="36">
        <v>812.32899999999995</v>
      </c>
      <c r="F767" s="30">
        <v>1274</v>
      </c>
      <c r="G767" s="30">
        <v>50</v>
      </c>
      <c r="H767" s="38">
        <v>600</v>
      </c>
      <c r="I767" s="30">
        <v>695</v>
      </c>
      <c r="J767" s="30">
        <v>50</v>
      </c>
      <c r="K767" s="31"/>
      <c r="L767" s="31"/>
      <c r="M767" s="31"/>
      <c r="N767" s="31"/>
      <c r="O767" s="31"/>
      <c r="P767" s="31"/>
      <c r="Q767" s="31"/>
      <c r="R767" s="31"/>
      <c r="S767" s="31"/>
      <c r="T767" s="31"/>
    </row>
    <row r="768" spans="1:20" ht="15.75">
      <c r="A768" s="11">
        <v>64497</v>
      </c>
      <c r="B768" s="39">
        <f t="shared" si="2"/>
        <v>31</v>
      </c>
      <c r="C768" s="30">
        <v>194.20500000000001</v>
      </c>
      <c r="D768" s="30">
        <v>267.46600000000001</v>
      </c>
      <c r="E768" s="36">
        <v>812.32899999999995</v>
      </c>
      <c r="F768" s="30">
        <v>1274</v>
      </c>
      <c r="G768" s="30">
        <v>50</v>
      </c>
      <c r="H768" s="38">
        <v>600</v>
      </c>
      <c r="I768" s="30">
        <v>695</v>
      </c>
      <c r="J768" s="30">
        <v>0</v>
      </c>
      <c r="K768" s="31"/>
      <c r="L768" s="31"/>
      <c r="M768" s="31"/>
      <c r="N768" s="31"/>
      <c r="O768" s="31"/>
      <c r="P768" s="31"/>
      <c r="Q768" s="31"/>
      <c r="R768" s="31"/>
      <c r="S768" s="31"/>
      <c r="T768" s="31"/>
    </row>
    <row r="769" spans="1:20" ht="15.75">
      <c r="A769" s="11">
        <v>64528</v>
      </c>
      <c r="B769" s="39">
        <f t="shared" si="2"/>
        <v>31</v>
      </c>
      <c r="C769" s="30">
        <v>194.20500000000001</v>
      </c>
      <c r="D769" s="30">
        <v>267.46600000000001</v>
      </c>
      <c r="E769" s="36">
        <v>812.32899999999995</v>
      </c>
      <c r="F769" s="30">
        <v>1274</v>
      </c>
      <c r="G769" s="30">
        <v>50</v>
      </c>
      <c r="H769" s="38">
        <v>600</v>
      </c>
      <c r="I769" s="30">
        <v>695</v>
      </c>
      <c r="J769" s="30">
        <v>0</v>
      </c>
      <c r="K769" s="31"/>
      <c r="L769" s="31"/>
      <c r="M769" s="31"/>
      <c r="N769" s="31"/>
      <c r="O769" s="31"/>
      <c r="P769" s="31"/>
      <c r="Q769" s="31"/>
      <c r="R769" s="31"/>
      <c r="S769" s="31"/>
      <c r="T769" s="31"/>
    </row>
    <row r="770" spans="1:20" ht="15.75">
      <c r="A770" s="11">
        <v>64558</v>
      </c>
      <c r="B770" s="39">
        <f t="shared" si="2"/>
        <v>30</v>
      </c>
      <c r="C770" s="30">
        <v>194.20500000000001</v>
      </c>
      <c r="D770" s="30">
        <v>267.46600000000001</v>
      </c>
      <c r="E770" s="36">
        <v>812.32899999999995</v>
      </c>
      <c r="F770" s="30">
        <v>1274</v>
      </c>
      <c r="G770" s="30">
        <v>50</v>
      </c>
      <c r="H770" s="38">
        <v>600</v>
      </c>
      <c r="I770" s="30">
        <v>695</v>
      </c>
      <c r="J770" s="30">
        <v>0</v>
      </c>
      <c r="K770" s="31"/>
      <c r="L770" s="31"/>
      <c r="M770" s="31"/>
      <c r="N770" s="31"/>
      <c r="O770" s="31"/>
      <c r="P770" s="31"/>
      <c r="Q770" s="31"/>
      <c r="R770" s="31"/>
      <c r="S770" s="31"/>
      <c r="T770" s="31"/>
    </row>
    <row r="771" spans="1:20" ht="15.75">
      <c r="A771" s="11">
        <v>64589</v>
      </c>
      <c r="B771" s="39">
        <f t="shared" si="2"/>
        <v>31</v>
      </c>
      <c r="C771" s="30">
        <v>131.881</v>
      </c>
      <c r="D771" s="30">
        <v>277.16699999999997</v>
      </c>
      <c r="E771" s="36">
        <v>829.952</v>
      </c>
      <c r="F771" s="30">
        <v>1239</v>
      </c>
      <c r="G771" s="30">
        <v>75</v>
      </c>
      <c r="H771" s="38">
        <v>600</v>
      </c>
      <c r="I771" s="30">
        <v>695</v>
      </c>
      <c r="J771" s="30">
        <v>0</v>
      </c>
      <c r="K771" s="31"/>
      <c r="L771" s="31"/>
      <c r="M771" s="31"/>
      <c r="N771" s="31"/>
      <c r="O771" s="31"/>
      <c r="P771" s="31"/>
      <c r="Q771" s="31"/>
      <c r="R771" s="31"/>
      <c r="S771" s="31"/>
      <c r="T771" s="31"/>
    </row>
    <row r="772" spans="1:20" ht="15.75">
      <c r="A772" s="11">
        <v>64619</v>
      </c>
      <c r="B772" s="39">
        <f t="shared" si="2"/>
        <v>30</v>
      </c>
      <c r="C772" s="30">
        <v>122.58</v>
      </c>
      <c r="D772" s="30">
        <v>297.94099999999997</v>
      </c>
      <c r="E772" s="36">
        <v>729.47900000000004</v>
      </c>
      <c r="F772" s="30">
        <v>1150</v>
      </c>
      <c r="G772" s="30">
        <v>100</v>
      </c>
      <c r="H772" s="38">
        <v>600</v>
      </c>
      <c r="I772" s="30">
        <v>695</v>
      </c>
      <c r="J772" s="30">
        <v>50</v>
      </c>
      <c r="K772" s="31"/>
      <c r="L772" s="31"/>
      <c r="M772" s="31"/>
      <c r="N772" s="31"/>
      <c r="O772" s="31"/>
      <c r="P772" s="31"/>
      <c r="Q772" s="31"/>
      <c r="R772" s="31"/>
      <c r="S772" s="31"/>
      <c r="T772" s="31"/>
    </row>
    <row r="773" spans="1:20" ht="15.75">
      <c r="A773" s="11">
        <v>64650</v>
      </c>
      <c r="B773" s="39">
        <f t="shared" si="2"/>
        <v>31</v>
      </c>
      <c r="C773" s="30">
        <v>122.58</v>
      </c>
      <c r="D773" s="30">
        <v>297.94099999999997</v>
      </c>
      <c r="E773" s="36">
        <v>729.47900000000004</v>
      </c>
      <c r="F773" s="30">
        <v>1150</v>
      </c>
      <c r="G773" s="30">
        <v>100</v>
      </c>
      <c r="H773" s="38">
        <v>600</v>
      </c>
      <c r="I773" s="30">
        <v>695</v>
      </c>
      <c r="J773" s="30">
        <v>50</v>
      </c>
      <c r="K773" s="31"/>
      <c r="L773" s="31"/>
      <c r="M773" s="31"/>
      <c r="N773" s="31"/>
      <c r="O773" s="31"/>
      <c r="P773" s="31"/>
      <c r="Q773" s="31"/>
      <c r="R773" s="31"/>
      <c r="S773" s="31"/>
      <c r="T773" s="31"/>
    </row>
    <row r="774" spans="1:20" ht="15.75">
      <c r="A774" s="11">
        <v>64681</v>
      </c>
      <c r="B774" s="39">
        <f t="shared" si="2"/>
        <v>31</v>
      </c>
      <c r="C774" s="30">
        <v>122.58</v>
      </c>
      <c r="D774" s="30">
        <v>297.94099999999997</v>
      </c>
      <c r="E774" s="36">
        <v>729.47900000000004</v>
      </c>
      <c r="F774" s="30">
        <v>1150</v>
      </c>
      <c r="G774" s="30">
        <v>100</v>
      </c>
      <c r="H774" s="38">
        <v>600</v>
      </c>
      <c r="I774" s="30">
        <v>695</v>
      </c>
      <c r="J774" s="30">
        <v>50</v>
      </c>
      <c r="K774" s="31"/>
      <c r="L774" s="31"/>
      <c r="M774" s="31"/>
      <c r="N774" s="31"/>
      <c r="O774" s="31"/>
      <c r="P774" s="31"/>
      <c r="Q774" s="31"/>
      <c r="R774" s="31"/>
      <c r="S774" s="31"/>
      <c r="T774" s="31"/>
    </row>
    <row r="775" spans="1:20" ht="15.75">
      <c r="A775" s="11">
        <v>64709</v>
      </c>
      <c r="B775" s="39">
        <f t="shared" si="2"/>
        <v>28</v>
      </c>
      <c r="C775" s="30">
        <v>122.58</v>
      </c>
      <c r="D775" s="30">
        <v>297.94099999999997</v>
      </c>
      <c r="E775" s="36">
        <v>729.47900000000004</v>
      </c>
      <c r="F775" s="30">
        <v>1150</v>
      </c>
      <c r="G775" s="30">
        <v>100</v>
      </c>
      <c r="H775" s="38">
        <v>600</v>
      </c>
      <c r="I775" s="30">
        <v>695</v>
      </c>
      <c r="J775" s="30">
        <v>50</v>
      </c>
      <c r="K775" s="31"/>
      <c r="L775" s="31"/>
      <c r="M775" s="31"/>
      <c r="N775" s="31"/>
      <c r="O775" s="31"/>
      <c r="P775" s="31"/>
      <c r="Q775" s="31"/>
      <c r="R775" s="31"/>
      <c r="S775" s="31"/>
      <c r="T775" s="31"/>
    </row>
    <row r="776" spans="1:20" ht="15.75">
      <c r="A776" s="11">
        <v>64740</v>
      </c>
      <c r="B776" s="39">
        <f t="shared" si="2"/>
        <v>31</v>
      </c>
      <c r="C776" s="30">
        <v>122.58</v>
      </c>
      <c r="D776" s="30">
        <v>297.94099999999997</v>
      </c>
      <c r="E776" s="36">
        <v>729.47900000000004</v>
      </c>
      <c r="F776" s="30">
        <v>1150</v>
      </c>
      <c r="G776" s="30">
        <v>100</v>
      </c>
      <c r="H776" s="38">
        <v>600</v>
      </c>
      <c r="I776" s="30">
        <v>695</v>
      </c>
      <c r="J776" s="30">
        <v>50</v>
      </c>
      <c r="K776" s="31"/>
      <c r="L776" s="31"/>
      <c r="M776" s="31"/>
      <c r="N776" s="31"/>
      <c r="O776" s="31"/>
      <c r="P776" s="31"/>
      <c r="Q776" s="31"/>
      <c r="R776" s="31"/>
      <c r="S776" s="31"/>
      <c r="T776" s="31"/>
    </row>
    <row r="777" spans="1:20" ht="15.75">
      <c r="A777" s="11">
        <v>64770</v>
      </c>
      <c r="B777" s="39">
        <f t="shared" si="2"/>
        <v>30</v>
      </c>
      <c r="C777" s="30">
        <v>141.29300000000001</v>
      </c>
      <c r="D777" s="30">
        <v>267.99299999999999</v>
      </c>
      <c r="E777" s="36">
        <v>829.71400000000006</v>
      </c>
      <c r="F777" s="30">
        <v>1239</v>
      </c>
      <c r="G777" s="30">
        <v>100</v>
      </c>
      <c r="H777" s="38">
        <v>600</v>
      </c>
      <c r="I777" s="30">
        <v>695</v>
      </c>
      <c r="J777" s="30">
        <v>50</v>
      </c>
      <c r="K777" s="31"/>
      <c r="L777" s="31"/>
      <c r="M777" s="31"/>
      <c r="N777" s="31"/>
      <c r="O777" s="31"/>
      <c r="P777" s="31"/>
      <c r="Q777" s="31"/>
      <c r="R777" s="31"/>
      <c r="S777" s="31"/>
      <c r="T777" s="31"/>
    </row>
    <row r="778" spans="1:20" ht="15.75">
      <c r="A778" s="11">
        <v>64801</v>
      </c>
      <c r="B778" s="39">
        <f t="shared" si="2"/>
        <v>31</v>
      </c>
      <c r="C778" s="30">
        <v>194.20500000000001</v>
      </c>
      <c r="D778" s="30">
        <v>267.46600000000001</v>
      </c>
      <c r="E778" s="36">
        <v>812.32899999999995</v>
      </c>
      <c r="F778" s="30">
        <v>1274</v>
      </c>
      <c r="G778" s="30">
        <v>75</v>
      </c>
      <c r="H778" s="38">
        <v>600</v>
      </c>
      <c r="I778" s="30">
        <v>695</v>
      </c>
      <c r="J778" s="30">
        <v>50</v>
      </c>
      <c r="K778" s="31"/>
      <c r="L778" s="31"/>
      <c r="M778" s="31"/>
      <c r="N778" s="31"/>
      <c r="O778" s="31"/>
      <c r="P778" s="31"/>
      <c r="Q778" s="31"/>
      <c r="R778" s="31"/>
      <c r="S778" s="31"/>
      <c r="T778" s="31"/>
    </row>
    <row r="779" spans="1:20" ht="15.75">
      <c r="A779" s="11">
        <v>64831</v>
      </c>
      <c r="B779" s="39">
        <f t="shared" si="2"/>
        <v>30</v>
      </c>
      <c r="C779" s="30">
        <v>194.20500000000001</v>
      </c>
      <c r="D779" s="30">
        <v>267.46600000000001</v>
      </c>
      <c r="E779" s="36">
        <v>812.32899999999995</v>
      </c>
      <c r="F779" s="30">
        <v>1274</v>
      </c>
      <c r="G779" s="30">
        <v>50</v>
      </c>
      <c r="H779" s="38">
        <v>600</v>
      </c>
      <c r="I779" s="30">
        <v>695</v>
      </c>
      <c r="J779" s="30">
        <v>50</v>
      </c>
      <c r="K779" s="31"/>
      <c r="L779" s="31"/>
      <c r="M779" s="31"/>
      <c r="N779" s="31"/>
      <c r="O779" s="31"/>
      <c r="P779" s="31"/>
      <c r="Q779" s="31"/>
      <c r="R779" s="31"/>
      <c r="S779" s="31"/>
      <c r="T779" s="31"/>
    </row>
    <row r="780" spans="1:20" ht="15.75">
      <c r="A780" s="11">
        <v>64862</v>
      </c>
      <c r="B780" s="39">
        <f t="shared" si="2"/>
        <v>31</v>
      </c>
      <c r="C780" s="30">
        <v>194.20500000000001</v>
      </c>
      <c r="D780" s="30">
        <v>267.46600000000001</v>
      </c>
      <c r="E780" s="36">
        <v>812.32899999999995</v>
      </c>
      <c r="F780" s="30">
        <v>1274</v>
      </c>
      <c r="G780" s="30">
        <v>50</v>
      </c>
      <c r="H780" s="38">
        <v>600</v>
      </c>
      <c r="I780" s="30">
        <v>695</v>
      </c>
      <c r="J780" s="30">
        <v>0</v>
      </c>
      <c r="K780" s="31"/>
      <c r="L780" s="31"/>
      <c r="M780" s="31"/>
      <c r="N780" s="31"/>
      <c r="O780" s="31"/>
      <c r="P780" s="31"/>
      <c r="Q780" s="31"/>
      <c r="R780" s="31"/>
      <c r="S780" s="31"/>
      <c r="T780" s="31"/>
    </row>
    <row r="781" spans="1:20" ht="15.75">
      <c r="A781" s="11">
        <v>64893</v>
      </c>
      <c r="B781" s="39">
        <f t="shared" si="2"/>
        <v>31</v>
      </c>
      <c r="C781" s="30">
        <v>194.20500000000001</v>
      </c>
      <c r="D781" s="30">
        <v>267.46600000000001</v>
      </c>
      <c r="E781" s="36">
        <v>812.32899999999995</v>
      </c>
      <c r="F781" s="30">
        <v>1274</v>
      </c>
      <c r="G781" s="30">
        <v>50</v>
      </c>
      <c r="H781" s="38">
        <v>600</v>
      </c>
      <c r="I781" s="30">
        <v>695</v>
      </c>
      <c r="J781" s="30">
        <v>0</v>
      </c>
      <c r="K781" s="31"/>
      <c r="L781" s="31"/>
      <c r="M781" s="31"/>
      <c r="N781" s="31"/>
      <c r="O781" s="31"/>
      <c r="P781" s="31"/>
      <c r="Q781" s="31"/>
      <c r="R781" s="31"/>
      <c r="S781" s="31"/>
      <c r="T781" s="31"/>
    </row>
    <row r="782" spans="1:20" ht="15.75">
      <c r="A782" s="11">
        <v>64923</v>
      </c>
      <c r="B782" s="39">
        <f t="shared" si="2"/>
        <v>30</v>
      </c>
      <c r="C782" s="30">
        <v>194.20500000000001</v>
      </c>
      <c r="D782" s="30">
        <v>267.46600000000001</v>
      </c>
      <c r="E782" s="36">
        <v>812.32899999999995</v>
      </c>
      <c r="F782" s="30">
        <v>1274</v>
      </c>
      <c r="G782" s="30">
        <v>50</v>
      </c>
      <c r="H782" s="38">
        <v>600</v>
      </c>
      <c r="I782" s="30">
        <v>695</v>
      </c>
      <c r="J782" s="30">
        <v>0</v>
      </c>
      <c r="K782" s="31"/>
      <c r="L782" s="31"/>
      <c r="M782" s="31"/>
      <c r="N782" s="31"/>
      <c r="O782" s="31"/>
      <c r="P782" s="31"/>
      <c r="Q782" s="31"/>
      <c r="R782" s="31"/>
      <c r="S782" s="31"/>
      <c r="T782" s="31"/>
    </row>
    <row r="783" spans="1:20" ht="15.75">
      <c r="A783" s="11">
        <v>64954</v>
      </c>
      <c r="B783" s="39">
        <f t="shared" si="2"/>
        <v>31</v>
      </c>
      <c r="C783" s="30">
        <v>131.881</v>
      </c>
      <c r="D783" s="30">
        <v>277.16699999999997</v>
      </c>
      <c r="E783" s="36">
        <v>829.952</v>
      </c>
      <c r="F783" s="30">
        <v>1239</v>
      </c>
      <c r="G783" s="30">
        <v>75</v>
      </c>
      <c r="H783" s="38">
        <v>600</v>
      </c>
      <c r="I783" s="30">
        <v>695</v>
      </c>
      <c r="J783" s="30">
        <v>0</v>
      </c>
      <c r="K783" s="31"/>
      <c r="L783" s="31"/>
      <c r="M783" s="31"/>
      <c r="N783" s="31"/>
      <c r="O783" s="31"/>
      <c r="P783" s="31"/>
      <c r="Q783" s="31"/>
      <c r="R783" s="31"/>
      <c r="S783" s="31"/>
      <c r="T783" s="31"/>
    </row>
    <row r="784" spans="1:20" ht="15.75">
      <c r="A784" s="11">
        <v>64984</v>
      </c>
      <c r="B784" s="39">
        <f t="shared" si="2"/>
        <v>30</v>
      </c>
      <c r="C784" s="30">
        <v>122.58</v>
      </c>
      <c r="D784" s="30">
        <v>297.94099999999997</v>
      </c>
      <c r="E784" s="36">
        <v>729.47900000000004</v>
      </c>
      <c r="F784" s="30">
        <v>1150</v>
      </c>
      <c r="G784" s="30">
        <v>100</v>
      </c>
      <c r="H784" s="38">
        <v>600</v>
      </c>
      <c r="I784" s="30">
        <v>695</v>
      </c>
      <c r="J784" s="30">
        <v>50</v>
      </c>
      <c r="K784" s="31"/>
      <c r="L784" s="31"/>
      <c r="M784" s="31"/>
      <c r="N784" s="31"/>
      <c r="O784" s="31"/>
      <c r="P784" s="31"/>
      <c r="Q784" s="31"/>
      <c r="R784" s="31"/>
      <c r="S784" s="31"/>
      <c r="T784" s="31"/>
    </row>
    <row r="785" spans="1:20" ht="15.75">
      <c r="A785" s="11">
        <v>65015</v>
      </c>
      <c r="B785" s="39">
        <f t="shared" si="2"/>
        <v>31</v>
      </c>
      <c r="C785" s="30">
        <v>122.58</v>
      </c>
      <c r="D785" s="30">
        <v>297.94099999999997</v>
      </c>
      <c r="E785" s="36">
        <v>729.47900000000004</v>
      </c>
      <c r="F785" s="30">
        <v>1150</v>
      </c>
      <c r="G785" s="30">
        <v>100</v>
      </c>
      <c r="H785" s="38">
        <v>600</v>
      </c>
      <c r="I785" s="30">
        <v>695</v>
      </c>
      <c r="J785" s="30">
        <v>50</v>
      </c>
      <c r="K785" s="31"/>
      <c r="L785" s="31"/>
      <c r="M785" s="31"/>
      <c r="N785" s="31"/>
      <c r="O785" s="31"/>
      <c r="P785" s="31"/>
      <c r="Q785" s="31"/>
      <c r="R785" s="31"/>
      <c r="S785" s="31"/>
      <c r="T785" s="31"/>
    </row>
    <row r="786" spans="1:20" ht="15.75">
      <c r="A786" s="11">
        <v>65046</v>
      </c>
      <c r="B786" s="39">
        <f t="shared" ref="B786:B849" si="3">EOMONTH(A786,0)-EOMONTH(A786,-1)</f>
        <v>31</v>
      </c>
      <c r="C786" s="30">
        <v>122.58</v>
      </c>
      <c r="D786" s="30">
        <v>297.94099999999997</v>
      </c>
      <c r="E786" s="36">
        <v>729.47900000000004</v>
      </c>
      <c r="F786" s="30">
        <v>1150</v>
      </c>
      <c r="G786" s="30">
        <v>100</v>
      </c>
      <c r="H786" s="38">
        <v>600</v>
      </c>
      <c r="I786" s="30">
        <v>695</v>
      </c>
      <c r="J786" s="30">
        <v>50</v>
      </c>
      <c r="K786" s="31"/>
      <c r="L786" s="31"/>
      <c r="M786" s="31"/>
      <c r="N786" s="31"/>
      <c r="O786" s="31"/>
      <c r="P786" s="31"/>
      <c r="Q786" s="31"/>
      <c r="R786" s="31"/>
      <c r="S786" s="31"/>
      <c r="T786" s="31"/>
    </row>
    <row r="787" spans="1:20" ht="15.75">
      <c r="A787" s="11">
        <v>65074</v>
      </c>
      <c r="B787" s="39">
        <f t="shared" si="3"/>
        <v>28</v>
      </c>
      <c r="C787" s="30">
        <v>122.58</v>
      </c>
      <c r="D787" s="30">
        <v>297.94099999999997</v>
      </c>
      <c r="E787" s="36">
        <v>729.47900000000004</v>
      </c>
      <c r="F787" s="30">
        <v>1150</v>
      </c>
      <c r="G787" s="30">
        <v>100</v>
      </c>
      <c r="H787" s="38">
        <v>600</v>
      </c>
      <c r="I787" s="30">
        <v>695</v>
      </c>
      <c r="J787" s="30">
        <v>50</v>
      </c>
      <c r="K787" s="31"/>
      <c r="L787" s="31"/>
      <c r="M787" s="31"/>
      <c r="N787" s="31"/>
      <c r="O787" s="31"/>
      <c r="P787" s="31"/>
      <c r="Q787" s="31"/>
      <c r="R787" s="31"/>
      <c r="S787" s="31"/>
      <c r="T787" s="31"/>
    </row>
    <row r="788" spans="1:20" ht="15.75">
      <c r="A788" s="11">
        <v>65105</v>
      </c>
      <c r="B788" s="39">
        <f t="shared" si="3"/>
        <v>31</v>
      </c>
      <c r="C788" s="30">
        <v>122.58</v>
      </c>
      <c r="D788" s="30">
        <v>297.94099999999997</v>
      </c>
      <c r="E788" s="36">
        <v>729.47900000000004</v>
      </c>
      <c r="F788" s="30">
        <v>1150</v>
      </c>
      <c r="G788" s="30">
        <v>100</v>
      </c>
      <c r="H788" s="38">
        <v>600</v>
      </c>
      <c r="I788" s="30">
        <v>695</v>
      </c>
      <c r="J788" s="30">
        <v>50</v>
      </c>
      <c r="K788" s="31"/>
      <c r="L788" s="31"/>
      <c r="M788" s="31"/>
      <c r="N788" s="31"/>
      <c r="O788" s="31"/>
      <c r="P788" s="31"/>
      <c r="Q788" s="31"/>
      <c r="R788" s="31"/>
      <c r="S788" s="31"/>
      <c r="T788" s="31"/>
    </row>
    <row r="789" spans="1:20" ht="15.75">
      <c r="A789" s="11">
        <v>65135</v>
      </c>
      <c r="B789" s="39">
        <f t="shared" si="3"/>
        <v>30</v>
      </c>
      <c r="C789" s="30">
        <v>141.29300000000001</v>
      </c>
      <c r="D789" s="30">
        <v>267.99299999999999</v>
      </c>
      <c r="E789" s="36">
        <v>829.71400000000006</v>
      </c>
      <c r="F789" s="30">
        <v>1239</v>
      </c>
      <c r="G789" s="30">
        <v>100</v>
      </c>
      <c r="H789" s="38">
        <v>600</v>
      </c>
      <c r="I789" s="30">
        <v>695</v>
      </c>
      <c r="J789" s="30">
        <v>50</v>
      </c>
      <c r="K789" s="31"/>
      <c r="L789" s="31"/>
      <c r="M789" s="31"/>
      <c r="N789" s="31"/>
      <c r="O789" s="31"/>
      <c r="P789" s="31"/>
      <c r="Q789" s="31"/>
      <c r="R789" s="31"/>
      <c r="S789" s="31"/>
      <c r="T789" s="31"/>
    </row>
    <row r="790" spans="1:20" ht="15.75">
      <c r="A790" s="11">
        <v>65166</v>
      </c>
      <c r="B790" s="39">
        <f t="shared" si="3"/>
        <v>31</v>
      </c>
      <c r="C790" s="30">
        <v>194.20500000000001</v>
      </c>
      <c r="D790" s="30">
        <v>267.46600000000001</v>
      </c>
      <c r="E790" s="36">
        <v>812.32899999999995</v>
      </c>
      <c r="F790" s="30">
        <v>1274</v>
      </c>
      <c r="G790" s="30">
        <v>75</v>
      </c>
      <c r="H790" s="38">
        <v>600</v>
      </c>
      <c r="I790" s="30">
        <v>695</v>
      </c>
      <c r="J790" s="30">
        <v>50</v>
      </c>
      <c r="K790" s="31"/>
      <c r="L790" s="31"/>
      <c r="M790" s="31"/>
      <c r="N790" s="31"/>
      <c r="O790" s="31"/>
      <c r="P790" s="31"/>
      <c r="Q790" s="31"/>
      <c r="R790" s="31"/>
      <c r="S790" s="31"/>
      <c r="T790" s="31"/>
    </row>
    <row r="791" spans="1:20" ht="15.75">
      <c r="A791" s="11">
        <v>65196</v>
      </c>
      <c r="B791" s="39">
        <f t="shared" si="3"/>
        <v>30</v>
      </c>
      <c r="C791" s="30">
        <v>194.20500000000001</v>
      </c>
      <c r="D791" s="30">
        <v>267.46600000000001</v>
      </c>
      <c r="E791" s="36">
        <v>812.32899999999995</v>
      </c>
      <c r="F791" s="30">
        <v>1274</v>
      </c>
      <c r="G791" s="30">
        <v>50</v>
      </c>
      <c r="H791" s="38">
        <v>600</v>
      </c>
      <c r="I791" s="30">
        <v>695</v>
      </c>
      <c r="J791" s="30">
        <v>50</v>
      </c>
      <c r="K791" s="31"/>
      <c r="L791" s="31"/>
      <c r="M791" s="31"/>
      <c r="N791" s="31"/>
      <c r="O791" s="31"/>
      <c r="P791" s="31"/>
      <c r="Q791" s="31"/>
      <c r="R791" s="31"/>
      <c r="S791" s="31"/>
      <c r="T791" s="31"/>
    </row>
    <row r="792" spans="1:20" ht="15.75">
      <c r="A792" s="11">
        <v>65227</v>
      </c>
      <c r="B792" s="39">
        <f t="shared" si="3"/>
        <v>31</v>
      </c>
      <c r="C792" s="30">
        <v>194.20500000000001</v>
      </c>
      <c r="D792" s="30">
        <v>267.46600000000001</v>
      </c>
      <c r="E792" s="36">
        <v>812.32899999999995</v>
      </c>
      <c r="F792" s="30">
        <v>1274</v>
      </c>
      <c r="G792" s="30">
        <v>50</v>
      </c>
      <c r="H792" s="38">
        <v>600</v>
      </c>
      <c r="I792" s="30">
        <v>695</v>
      </c>
      <c r="J792" s="30">
        <v>0</v>
      </c>
      <c r="K792" s="31"/>
      <c r="L792" s="31"/>
      <c r="M792" s="31"/>
      <c r="N792" s="31"/>
      <c r="O792" s="31"/>
      <c r="P792" s="31"/>
      <c r="Q792" s="31"/>
      <c r="R792" s="31"/>
      <c r="S792" s="31"/>
      <c r="T792" s="31"/>
    </row>
    <row r="793" spans="1:20" ht="15.75">
      <c r="A793" s="11">
        <v>65258</v>
      </c>
      <c r="B793" s="39">
        <f t="shared" si="3"/>
        <v>31</v>
      </c>
      <c r="C793" s="30">
        <v>194.20500000000001</v>
      </c>
      <c r="D793" s="30">
        <v>267.46600000000001</v>
      </c>
      <c r="E793" s="36">
        <v>812.32899999999995</v>
      </c>
      <c r="F793" s="30">
        <v>1274</v>
      </c>
      <c r="G793" s="30">
        <v>50</v>
      </c>
      <c r="H793" s="38">
        <v>600</v>
      </c>
      <c r="I793" s="30">
        <v>695</v>
      </c>
      <c r="J793" s="30">
        <v>0</v>
      </c>
      <c r="K793" s="31"/>
      <c r="L793" s="31"/>
      <c r="M793" s="31"/>
      <c r="N793" s="31"/>
      <c r="O793" s="31"/>
      <c r="P793" s="31"/>
      <c r="Q793" s="31"/>
      <c r="R793" s="31"/>
      <c r="S793" s="31"/>
      <c r="T793" s="31"/>
    </row>
    <row r="794" spans="1:20" ht="15.75">
      <c r="A794" s="11">
        <v>65288</v>
      </c>
      <c r="B794" s="39">
        <f t="shared" si="3"/>
        <v>30</v>
      </c>
      <c r="C794" s="30">
        <v>194.20500000000001</v>
      </c>
      <c r="D794" s="30">
        <v>267.46600000000001</v>
      </c>
      <c r="E794" s="36">
        <v>812.32899999999995</v>
      </c>
      <c r="F794" s="30">
        <v>1274</v>
      </c>
      <c r="G794" s="30">
        <v>50</v>
      </c>
      <c r="H794" s="38">
        <v>600</v>
      </c>
      <c r="I794" s="30">
        <v>695</v>
      </c>
      <c r="J794" s="30">
        <v>0</v>
      </c>
      <c r="K794" s="31"/>
      <c r="L794" s="31"/>
      <c r="M794" s="31"/>
      <c r="N794" s="31"/>
      <c r="O794" s="31"/>
      <c r="P794" s="31"/>
      <c r="Q794" s="31"/>
      <c r="R794" s="31"/>
      <c r="S794" s="31"/>
      <c r="T794" s="31"/>
    </row>
    <row r="795" spans="1:20" ht="15.75">
      <c r="A795" s="11">
        <v>65319</v>
      </c>
      <c r="B795" s="39">
        <f t="shared" si="3"/>
        <v>31</v>
      </c>
      <c r="C795" s="30">
        <v>131.881</v>
      </c>
      <c r="D795" s="30">
        <v>277.16699999999997</v>
      </c>
      <c r="E795" s="36">
        <v>829.952</v>
      </c>
      <c r="F795" s="30">
        <v>1239</v>
      </c>
      <c r="G795" s="30">
        <v>75</v>
      </c>
      <c r="H795" s="38">
        <v>600</v>
      </c>
      <c r="I795" s="30">
        <v>695</v>
      </c>
      <c r="J795" s="30">
        <v>0</v>
      </c>
      <c r="K795" s="31"/>
      <c r="L795" s="31"/>
      <c r="M795" s="31"/>
      <c r="N795" s="31"/>
      <c r="O795" s="31"/>
      <c r="P795" s="31"/>
      <c r="Q795" s="31"/>
      <c r="R795" s="31"/>
      <c r="S795" s="31"/>
      <c r="T795" s="31"/>
    </row>
    <row r="796" spans="1:20" ht="15.75">
      <c r="A796" s="11">
        <v>65349</v>
      </c>
      <c r="B796" s="39">
        <f t="shared" si="3"/>
        <v>30</v>
      </c>
      <c r="C796" s="30">
        <v>122.58</v>
      </c>
      <c r="D796" s="30">
        <v>297.94099999999997</v>
      </c>
      <c r="E796" s="36">
        <v>729.47900000000004</v>
      </c>
      <c r="F796" s="30">
        <v>1150</v>
      </c>
      <c r="G796" s="30">
        <v>100</v>
      </c>
      <c r="H796" s="38">
        <v>600</v>
      </c>
      <c r="I796" s="30">
        <v>695</v>
      </c>
      <c r="J796" s="30">
        <v>50</v>
      </c>
      <c r="K796" s="31"/>
      <c r="L796" s="31"/>
      <c r="M796" s="31"/>
      <c r="N796" s="31"/>
      <c r="O796" s="31"/>
      <c r="P796" s="31"/>
      <c r="Q796" s="31"/>
      <c r="R796" s="31"/>
      <c r="S796" s="31"/>
      <c r="T796" s="31"/>
    </row>
    <row r="797" spans="1:20" ht="15.75">
      <c r="A797" s="11">
        <v>65380</v>
      </c>
      <c r="B797" s="39">
        <f t="shared" si="3"/>
        <v>31</v>
      </c>
      <c r="C797" s="30">
        <v>122.58</v>
      </c>
      <c r="D797" s="30">
        <v>297.94099999999997</v>
      </c>
      <c r="E797" s="36">
        <v>729.47900000000004</v>
      </c>
      <c r="F797" s="30">
        <v>1150</v>
      </c>
      <c r="G797" s="30">
        <v>100</v>
      </c>
      <c r="H797" s="38">
        <v>600</v>
      </c>
      <c r="I797" s="30">
        <v>695</v>
      </c>
      <c r="J797" s="30">
        <v>50</v>
      </c>
      <c r="K797" s="31"/>
      <c r="L797" s="31"/>
      <c r="M797" s="31"/>
      <c r="N797" s="31"/>
      <c r="O797" s="31"/>
      <c r="P797" s="31"/>
      <c r="Q797" s="31"/>
      <c r="R797" s="31"/>
      <c r="S797" s="31"/>
      <c r="T797" s="31"/>
    </row>
    <row r="798" spans="1:20" ht="15.75">
      <c r="A798" s="11">
        <v>65411</v>
      </c>
      <c r="B798" s="39">
        <f t="shared" si="3"/>
        <v>31</v>
      </c>
      <c r="C798" s="30">
        <v>122.58</v>
      </c>
      <c r="D798" s="30">
        <v>297.94099999999997</v>
      </c>
      <c r="E798" s="36">
        <v>729.47900000000004</v>
      </c>
      <c r="F798" s="30">
        <v>1150</v>
      </c>
      <c r="G798" s="30">
        <v>100</v>
      </c>
      <c r="H798" s="38">
        <v>600</v>
      </c>
      <c r="I798" s="30">
        <v>695</v>
      </c>
      <c r="J798" s="30">
        <v>50</v>
      </c>
      <c r="K798" s="31"/>
      <c r="L798" s="31"/>
      <c r="M798" s="31"/>
      <c r="N798" s="31"/>
      <c r="O798" s="31"/>
      <c r="P798" s="31"/>
      <c r="Q798" s="31"/>
      <c r="R798" s="31"/>
      <c r="S798" s="31"/>
      <c r="T798" s="31"/>
    </row>
    <row r="799" spans="1:20" ht="15.75">
      <c r="A799" s="11">
        <v>65439</v>
      </c>
      <c r="B799" s="39">
        <f t="shared" si="3"/>
        <v>28</v>
      </c>
      <c r="C799" s="30">
        <v>122.58</v>
      </c>
      <c r="D799" s="30">
        <v>297.94099999999997</v>
      </c>
      <c r="E799" s="36">
        <v>729.47900000000004</v>
      </c>
      <c r="F799" s="30">
        <v>1150</v>
      </c>
      <c r="G799" s="30">
        <v>100</v>
      </c>
      <c r="H799" s="38">
        <v>600</v>
      </c>
      <c r="I799" s="30">
        <v>695</v>
      </c>
      <c r="J799" s="30">
        <v>50</v>
      </c>
      <c r="K799" s="31"/>
      <c r="L799" s="31"/>
      <c r="M799" s="31"/>
      <c r="N799" s="31"/>
      <c r="O799" s="31"/>
      <c r="P799" s="31"/>
      <c r="Q799" s="31"/>
      <c r="R799" s="31"/>
      <c r="S799" s="31"/>
      <c r="T799" s="31"/>
    </row>
    <row r="800" spans="1:20" ht="15.75">
      <c r="A800" s="11">
        <v>65470</v>
      </c>
      <c r="B800" s="39">
        <f t="shared" si="3"/>
        <v>31</v>
      </c>
      <c r="C800" s="30">
        <v>122.58</v>
      </c>
      <c r="D800" s="30">
        <v>297.94099999999997</v>
      </c>
      <c r="E800" s="36">
        <v>729.47900000000004</v>
      </c>
      <c r="F800" s="30">
        <v>1150</v>
      </c>
      <c r="G800" s="30">
        <v>100</v>
      </c>
      <c r="H800" s="38">
        <v>600</v>
      </c>
      <c r="I800" s="30">
        <v>695</v>
      </c>
      <c r="J800" s="30">
        <v>50</v>
      </c>
      <c r="K800" s="31"/>
      <c r="L800" s="31"/>
      <c r="M800" s="31"/>
      <c r="N800" s="31"/>
      <c r="O800" s="31"/>
      <c r="P800" s="31"/>
      <c r="Q800" s="31"/>
      <c r="R800" s="31"/>
      <c r="S800" s="31"/>
      <c r="T800" s="31"/>
    </row>
    <row r="801" spans="1:20" ht="15.75">
      <c r="A801" s="11">
        <v>65500</v>
      </c>
      <c r="B801" s="39">
        <f t="shared" si="3"/>
        <v>30</v>
      </c>
      <c r="C801" s="30">
        <v>141.29300000000001</v>
      </c>
      <c r="D801" s="30">
        <v>267.99299999999999</v>
      </c>
      <c r="E801" s="36">
        <v>829.71400000000006</v>
      </c>
      <c r="F801" s="30">
        <v>1239</v>
      </c>
      <c r="G801" s="30">
        <v>100</v>
      </c>
      <c r="H801" s="38">
        <v>600</v>
      </c>
      <c r="I801" s="30">
        <v>695</v>
      </c>
      <c r="J801" s="30">
        <v>50</v>
      </c>
      <c r="K801" s="31"/>
      <c r="L801" s="31"/>
      <c r="M801" s="31"/>
      <c r="N801" s="31"/>
      <c r="O801" s="31"/>
      <c r="P801" s="31"/>
      <c r="Q801" s="31"/>
      <c r="R801" s="31"/>
      <c r="S801" s="31"/>
      <c r="T801" s="31"/>
    </row>
    <row r="802" spans="1:20" ht="15.75">
      <c r="A802" s="11">
        <v>65531</v>
      </c>
      <c r="B802" s="39">
        <f t="shared" si="3"/>
        <v>31</v>
      </c>
      <c r="C802" s="30">
        <v>194.20500000000001</v>
      </c>
      <c r="D802" s="30">
        <v>267.46600000000001</v>
      </c>
      <c r="E802" s="36">
        <v>812.32899999999995</v>
      </c>
      <c r="F802" s="30">
        <v>1274</v>
      </c>
      <c r="G802" s="30">
        <v>75</v>
      </c>
      <c r="H802" s="38">
        <v>600</v>
      </c>
      <c r="I802" s="30">
        <v>695</v>
      </c>
      <c r="J802" s="30">
        <v>50</v>
      </c>
      <c r="K802" s="31"/>
      <c r="L802" s="31"/>
      <c r="M802" s="31"/>
      <c r="N802" s="31"/>
      <c r="O802" s="31"/>
      <c r="P802" s="31"/>
      <c r="Q802" s="31"/>
      <c r="R802" s="31"/>
      <c r="S802" s="31"/>
      <c r="T802" s="31"/>
    </row>
    <row r="803" spans="1:20" ht="15.75">
      <c r="A803" s="11">
        <v>65561</v>
      </c>
      <c r="B803" s="39">
        <f t="shared" si="3"/>
        <v>30</v>
      </c>
      <c r="C803" s="30">
        <v>194.20500000000001</v>
      </c>
      <c r="D803" s="30">
        <v>267.46600000000001</v>
      </c>
      <c r="E803" s="36">
        <v>812.32899999999995</v>
      </c>
      <c r="F803" s="30">
        <v>1274</v>
      </c>
      <c r="G803" s="30">
        <v>50</v>
      </c>
      <c r="H803" s="38">
        <v>600</v>
      </c>
      <c r="I803" s="30">
        <v>695</v>
      </c>
      <c r="J803" s="30">
        <v>50</v>
      </c>
      <c r="K803" s="31"/>
      <c r="L803" s="31"/>
      <c r="M803" s="31"/>
      <c r="N803" s="31"/>
      <c r="O803" s="31"/>
      <c r="P803" s="31"/>
      <c r="Q803" s="31"/>
      <c r="R803" s="31"/>
      <c r="S803" s="31"/>
      <c r="T803" s="31"/>
    </row>
    <row r="804" spans="1:20" ht="15.75">
      <c r="A804" s="11">
        <v>65592</v>
      </c>
      <c r="B804" s="39">
        <f t="shared" si="3"/>
        <v>31</v>
      </c>
      <c r="C804" s="30">
        <v>194.20500000000001</v>
      </c>
      <c r="D804" s="30">
        <v>267.46600000000001</v>
      </c>
      <c r="E804" s="36">
        <v>812.32899999999995</v>
      </c>
      <c r="F804" s="30">
        <v>1274</v>
      </c>
      <c r="G804" s="30">
        <v>50</v>
      </c>
      <c r="H804" s="38">
        <v>600</v>
      </c>
      <c r="I804" s="30">
        <v>695</v>
      </c>
      <c r="J804" s="30">
        <v>0</v>
      </c>
      <c r="K804" s="31"/>
      <c r="L804" s="31"/>
      <c r="M804" s="31"/>
      <c r="N804" s="31"/>
      <c r="O804" s="31"/>
      <c r="P804" s="31"/>
      <c r="Q804" s="31"/>
      <c r="R804" s="31"/>
      <c r="S804" s="31"/>
      <c r="T804" s="31"/>
    </row>
    <row r="805" spans="1:20" ht="15.75">
      <c r="A805" s="11">
        <v>65623</v>
      </c>
      <c r="B805" s="39">
        <f t="shared" si="3"/>
        <v>31</v>
      </c>
      <c r="C805" s="30">
        <v>194.20500000000001</v>
      </c>
      <c r="D805" s="30">
        <v>267.46600000000001</v>
      </c>
      <c r="E805" s="36">
        <v>812.32899999999995</v>
      </c>
      <c r="F805" s="30">
        <v>1274</v>
      </c>
      <c r="G805" s="30">
        <v>50</v>
      </c>
      <c r="H805" s="38">
        <v>600</v>
      </c>
      <c r="I805" s="30">
        <v>695</v>
      </c>
      <c r="J805" s="30">
        <v>0</v>
      </c>
      <c r="K805" s="31"/>
      <c r="L805" s="31"/>
      <c r="M805" s="31"/>
      <c r="N805" s="31"/>
      <c r="O805" s="31"/>
      <c r="P805" s="31"/>
      <c r="Q805" s="31"/>
      <c r="R805" s="31"/>
      <c r="S805" s="31"/>
      <c r="T805" s="31"/>
    </row>
    <row r="806" spans="1:20" ht="15.75">
      <c r="A806" s="11">
        <v>65653</v>
      </c>
      <c r="B806" s="39">
        <f t="shared" si="3"/>
        <v>30</v>
      </c>
      <c r="C806" s="30">
        <v>194.20500000000001</v>
      </c>
      <c r="D806" s="30">
        <v>267.46600000000001</v>
      </c>
      <c r="E806" s="36">
        <v>812.32899999999995</v>
      </c>
      <c r="F806" s="30">
        <v>1274</v>
      </c>
      <c r="G806" s="30">
        <v>50</v>
      </c>
      <c r="H806" s="38">
        <v>600</v>
      </c>
      <c r="I806" s="30">
        <v>695</v>
      </c>
      <c r="J806" s="30">
        <v>0</v>
      </c>
      <c r="K806" s="31"/>
      <c r="L806" s="31"/>
      <c r="M806" s="31"/>
      <c r="N806" s="31"/>
      <c r="O806" s="31"/>
      <c r="P806" s="31"/>
      <c r="Q806" s="31"/>
      <c r="R806" s="31"/>
      <c r="S806" s="31"/>
      <c r="T806" s="31"/>
    </row>
    <row r="807" spans="1:20" ht="15.75">
      <c r="A807" s="11">
        <v>65684</v>
      </c>
      <c r="B807" s="39">
        <f t="shared" si="3"/>
        <v>31</v>
      </c>
      <c r="C807" s="30">
        <v>131.881</v>
      </c>
      <c r="D807" s="30">
        <v>277.16699999999997</v>
      </c>
      <c r="E807" s="36">
        <v>829.952</v>
      </c>
      <c r="F807" s="30">
        <v>1239</v>
      </c>
      <c r="G807" s="30">
        <v>75</v>
      </c>
      <c r="H807" s="38">
        <v>600</v>
      </c>
      <c r="I807" s="30">
        <v>695</v>
      </c>
      <c r="J807" s="30">
        <v>0</v>
      </c>
      <c r="K807" s="31"/>
      <c r="L807" s="31"/>
      <c r="M807" s="31"/>
      <c r="N807" s="31"/>
      <c r="O807" s="31"/>
      <c r="P807" s="31"/>
      <c r="Q807" s="31"/>
      <c r="R807" s="31"/>
      <c r="S807" s="31"/>
      <c r="T807" s="31"/>
    </row>
    <row r="808" spans="1:20" ht="15.75">
      <c r="A808" s="11">
        <v>65714</v>
      </c>
      <c r="B808" s="39">
        <f t="shared" si="3"/>
        <v>30</v>
      </c>
      <c r="C808" s="30">
        <v>122.58</v>
      </c>
      <c r="D808" s="30">
        <v>297.94099999999997</v>
      </c>
      <c r="E808" s="36">
        <v>729.47900000000004</v>
      </c>
      <c r="F808" s="30">
        <v>1150</v>
      </c>
      <c r="G808" s="30">
        <v>100</v>
      </c>
      <c r="H808" s="38">
        <v>600</v>
      </c>
      <c r="I808" s="30">
        <v>695</v>
      </c>
      <c r="J808" s="30">
        <v>50</v>
      </c>
      <c r="K808" s="31"/>
      <c r="L808" s="31"/>
      <c r="M808" s="31"/>
      <c r="N808" s="31"/>
      <c r="O808" s="31"/>
      <c r="P808" s="31"/>
      <c r="Q808" s="31"/>
      <c r="R808" s="31"/>
      <c r="S808" s="31"/>
      <c r="T808" s="31"/>
    </row>
    <row r="809" spans="1:20" ht="15.75">
      <c r="A809" s="11">
        <v>65745</v>
      </c>
      <c r="B809" s="39">
        <f t="shared" si="3"/>
        <v>31</v>
      </c>
      <c r="C809" s="30">
        <v>122.58</v>
      </c>
      <c r="D809" s="30">
        <v>297.94099999999997</v>
      </c>
      <c r="E809" s="36">
        <v>729.47900000000004</v>
      </c>
      <c r="F809" s="30">
        <v>1150</v>
      </c>
      <c r="G809" s="30">
        <v>100</v>
      </c>
      <c r="H809" s="38">
        <v>600</v>
      </c>
      <c r="I809" s="30">
        <v>695</v>
      </c>
      <c r="J809" s="30">
        <v>50</v>
      </c>
      <c r="K809" s="31"/>
      <c r="L809" s="31"/>
      <c r="M809" s="31"/>
      <c r="N809" s="31"/>
      <c r="O809" s="31"/>
      <c r="P809" s="31"/>
      <c r="Q809" s="31"/>
      <c r="R809" s="31"/>
      <c r="S809" s="31"/>
      <c r="T809" s="31"/>
    </row>
    <row r="810" spans="1:20" ht="15.75">
      <c r="A810" s="11">
        <v>65776</v>
      </c>
      <c r="B810" s="39">
        <f t="shared" si="3"/>
        <v>31</v>
      </c>
      <c r="C810" s="30">
        <v>122.58</v>
      </c>
      <c r="D810" s="30">
        <v>297.94099999999997</v>
      </c>
      <c r="E810" s="36">
        <v>729.47900000000004</v>
      </c>
      <c r="F810" s="30">
        <v>1150</v>
      </c>
      <c r="G810" s="30">
        <v>100</v>
      </c>
      <c r="H810" s="38">
        <v>600</v>
      </c>
      <c r="I810" s="30">
        <v>695</v>
      </c>
      <c r="J810" s="30">
        <v>50</v>
      </c>
      <c r="K810" s="31"/>
      <c r="L810" s="31"/>
      <c r="M810" s="31"/>
      <c r="N810" s="31"/>
      <c r="O810" s="31"/>
      <c r="P810" s="31"/>
      <c r="Q810" s="31"/>
      <c r="R810" s="31"/>
      <c r="S810" s="31"/>
      <c r="T810" s="31"/>
    </row>
    <row r="811" spans="1:20" ht="15.75">
      <c r="A811" s="11">
        <v>65805</v>
      </c>
      <c r="B811" s="39">
        <f t="shared" si="3"/>
        <v>29</v>
      </c>
      <c r="C811" s="30">
        <v>122.58</v>
      </c>
      <c r="D811" s="30">
        <v>297.94099999999997</v>
      </c>
      <c r="E811" s="36">
        <v>729.47900000000004</v>
      </c>
      <c r="F811" s="30">
        <v>1150</v>
      </c>
      <c r="G811" s="30">
        <v>100</v>
      </c>
      <c r="H811" s="38">
        <v>600</v>
      </c>
      <c r="I811" s="30">
        <v>695</v>
      </c>
      <c r="J811" s="30">
        <v>50</v>
      </c>
      <c r="K811" s="31"/>
      <c r="L811" s="31"/>
      <c r="M811" s="31"/>
      <c r="N811" s="31"/>
      <c r="O811" s="31"/>
      <c r="P811" s="31"/>
      <c r="Q811" s="31"/>
      <c r="R811" s="31"/>
      <c r="S811" s="31"/>
      <c r="T811" s="31"/>
    </row>
    <row r="812" spans="1:20" ht="15.75">
      <c r="A812" s="11">
        <v>65836</v>
      </c>
      <c r="B812" s="39">
        <f t="shared" si="3"/>
        <v>31</v>
      </c>
      <c r="C812" s="30">
        <v>122.58</v>
      </c>
      <c r="D812" s="30">
        <v>297.94099999999997</v>
      </c>
      <c r="E812" s="36">
        <v>729.47900000000004</v>
      </c>
      <c r="F812" s="30">
        <v>1150</v>
      </c>
      <c r="G812" s="30">
        <v>100</v>
      </c>
      <c r="H812" s="38">
        <v>600</v>
      </c>
      <c r="I812" s="30">
        <v>695</v>
      </c>
      <c r="J812" s="30">
        <v>50</v>
      </c>
      <c r="K812" s="31"/>
      <c r="L812" s="31"/>
      <c r="M812" s="31"/>
      <c r="N812" s="31"/>
      <c r="O812" s="31"/>
      <c r="P812" s="31"/>
      <c r="Q812" s="31"/>
      <c r="R812" s="31"/>
      <c r="S812" s="31"/>
      <c r="T812" s="31"/>
    </row>
    <row r="813" spans="1:20" ht="15.75">
      <c r="A813" s="11">
        <v>65866</v>
      </c>
      <c r="B813" s="39">
        <f t="shared" si="3"/>
        <v>30</v>
      </c>
      <c r="C813" s="30">
        <v>141.29300000000001</v>
      </c>
      <c r="D813" s="30">
        <v>267.99299999999999</v>
      </c>
      <c r="E813" s="36">
        <v>829.71400000000006</v>
      </c>
      <c r="F813" s="30">
        <v>1239</v>
      </c>
      <c r="G813" s="30">
        <v>100</v>
      </c>
      <c r="H813" s="38">
        <v>600</v>
      </c>
      <c r="I813" s="30">
        <v>695</v>
      </c>
      <c r="J813" s="30">
        <v>50</v>
      </c>
      <c r="K813" s="31"/>
      <c r="L813" s="31"/>
      <c r="M813" s="31"/>
      <c r="N813" s="31"/>
      <c r="O813" s="31"/>
      <c r="P813" s="31"/>
      <c r="Q813" s="31"/>
      <c r="R813" s="31"/>
      <c r="S813" s="31"/>
      <c r="T813" s="31"/>
    </row>
    <row r="814" spans="1:20" ht="15.75">
      <c r="A814" s="11">
        <v>65897</v>
      </c>
      <c r="B814" s="39">
        <f t="shared" si="3"/>
        <v>31</v>
      </c>
      <c r="C814" s="30">
        <v>194.20500000000001</v>
      </c>
      <c r="D814" s="30">
        <v>267.46600000000001</v>
      </c>
      <c r="E814" s="36">
        <v>812.32899999999995</v>
      </c>
      <c r="F814" s="30">
        <v>1274</v>
      </c>
      <c r="G814" s="30">
        <v>75</v>
      </c>
      <c r="H814" s="38">
        <v>600</v>
      </c>
      <c r="I814" s="30">
        <v>695</v>
      </c>
      <c r="J814" s="30">
        <v>50</v>
      </c>
      <c r="K814" s="31"/>
      <c r="L814" s="31"/>
      <c r="M814" s="31"/>
      <c r="N814" s="31"/>
      <c r="O814" s="31"/>
      <c r="P814" s="31"/>
      <c r="Q814" s="31"/>
      <c r="R814" s="31"/>
      <c r="S814" s="31"/>
      <c r="T814" s="31"/>
    </row>
    <row r="815" spans="1:20" ht="15.75">
      <c r="A815" s="11">
        <v>65927</v>
      </c>
      <c r="B815" s="39">
        <f t="shared" si="3"/>
        <v>30</v>
      </c>
      <c r="C815" s="30">
        <v>194.20500000000001</v>
      </c>
      <c r="D815" s="30">
        <v>267.46600000000001</v>
      </c>
      <c r="E815" s="36">
        <v>812.32899999999995</v>
      </c>
      <c r="F815" s="30">
        <v>1274</v>
      </c>
      <c r="G815" s="30">
        <v>50</v>
      </c>
      <c r="H815" s="38">
        <v>600</v>
      </c>
      <c r="I815" s="30">
        <v>695</v>
      </c>
      <c r="J815" s="30">
        <v>50</v>
      </c>
      <c r="K815" s="31"/>
      <c r="L815" s="31"/>
      <c r="M815" s="31"/>
      <c r="N815" s="31"/>
      <c r="O815" s="31"/>
      <c r="P815" s="31"/>
      <c r="Q815" s="31"/>
      <c r="R815" s="31"/>
      <c r="S815" s="31"/>
      <c r="T815" s="31"/>
    </row>
    <row r="816" spans="1:20" ht="15.75">
      <c r="A816" s="11">
        <v>65958</v>
      </c>
      <c r="B816" s="39">
        <f t="shared" si="3"/>
        <v>31</v>
      </c>
      <c r="C816" s="30">
        <v>194.20500000000001</v>
      </c>
      <c r="D816" s="30">
        <v>267.46600000000001</v>
      </c>
      <c r="E816" s="36">
        <v>812.32899999999995</v>
      </c>
      <c r="F816" s="30">
        <v>1274</v>
      </c>
      <c r="G816" s="30">
        <v>50</v>
      </c>
      <c r="H816" s="38">
        <v>600</v>
      </c>
      <c r="I816" s="30">
        <v>695</v>
      </c>
      <c r="J816" s="30">
        <v>0</v>
      </c>
      <c r="K816" s="31"/>
      <c r="L816" s="31"/>
      <c r="M816" s="31"/>
      <c r="N816" s="31"/>
      <c r="O816" s="31"/>
      <c r="P816" s="31"/>
      <c r="Q816" s="31"/>
      <c r="R816" s="31"/>
      <c r="S816" s="31"/>
      <c r="T816" s="31"/>
    </row>
    <row r="817" spans="1:20" ht="15.75">
      <c r="A817" s="11">
        <v>65989</v>
      </c>
      <c r="B817" s="39">
        <f t="shared" si="3"/>
        <v>31</v>
      </c>
      <c r="C817" s="30">
        <v>194.20500000000001</v>
      </c>
      <c r="D817" s="30">
        <v>267.46600000000001</v>
      </c>
      <c r="E817" s="36">
        <v>812.32899999999995</v>
      </c>
      <c r="F817" s="30">
        <v>1274</v>
      </c>
      <c r="G817" s="30">
        <v>50</v>
      </c>
      <c r="H817" s="38">
        <v>600</v>
      </c>
      <c r="I817" s="30">
        <v>695</v>
      </c>
      <c r="J817" s="30">
        <v>0</v>
      </c>
      <c r="K817" s="31"/>
      <c r="L817" s="31"/>
      <c r="M817" s="31"/>
      <c r="N817" s="31"/>
      <c r="O817" s="31"/>
      <c r="P817" s="31"/>
      <c r="Q817" s="31"/>
      <c r="R817" s="31"/>
      <c r="S817" s="31"/>
      <c r="T817" s="31"/>
    </row>
    <row r="818" spans="1:20" ht="15.75">
      <c r="A818" s="11">
        <v>66019</v>
      </c>
      <c r="B818" s="39">
        <f t="shared" si="3"/>
        <v>30</v>
      </c>
      <c r="C818" s="30">
        <v>194.20500000000001</v>
      </c>
      <c r="D818" s="30">
        <v>267.46600000000001</v>
      </c>
      <c r="E818" s="36">
        <v>812.32899999999995</v>
      </c>
      <c r="F818" s="30">
        <v>1274</v>
      </c>
      <c r="G818" s="30">
        <v>50</v>
      </c>
      <c r="H818" s="38">
        <v>600</v>
      </c>
      <c r="I818" s="30">
        <v>695</v>
      </c>
      <c r="J818" s="30">
        <v>0</v>
      </c>
      <c r="K818" s="31"/>
      <c r="L818" s="31"/>
      <c r="M818" s="31"/>
      <c r="N818" s="31"/>
      <c r="O818" s="31"/>
      <c r="P818" s="31"/>
      <c r="Q818" s="31"/>
      <c r="R818" s="31"/>
      <c r="S818" s="31"/>
      <c r="T818" s="31"/>
    </row>
    <row r="819" spans="1:20" ht="15.75">
      <c r="A819" s="11">
        <v>66050</v>
      </c>
      <c r="B819" s="39">
        <f t="shared" si="3"/>
        <v>31</v>
      </c>
      <c r="C819" s="30">
        <v>131.881</v>
      </c>
      <c r="D819" s="30">
        <v>277.16699999999997</v>
      </c>
      <c r="E819" s="36">
        <v>829.952</v>
      </c>
      <c r="F819" s="30">
        <v>1239</v>
      </c>
      <c r="G819" s="30">
        <v>75</v>
      </c>
      <c r="H819" s="38">
        <v>600</v>
      </c>
      <c r="I819" s="30">
        <v>695</v>
      </c>
      <c r="J819" s="30">
        <v>0</v>
      </c>
      <c r="K819" s="31"/>
      <c r="L819" s="31"/>
      <c r="M819" s="31"/>
      <c r="N819" s="31"/>
      <c r="O819" s="31"/>
      <c r="P819" s="31"/>
      <c r="Q819" s="31"/>
      <c r="R819" s="31"/>
      <c r="S819" s="31"/>
      <c r="T819" s="31"/>
    </row>
    <row r="820" spans="1:20" ht="15.75">
      <c r="A820" s="11">
        <v>66080</v>
      </c>
      <c r="B820" s="39">
        <f t="shared" si="3"/>
        <v>30</v>
      </c>
      <c r="C820" s="30">
        <v>122.58</v>
      </c>
      <c r="D820" s="30">
        <v>297.94099999999997</v>
      </c>
      <c r="E820" s="36">
        <v>729.47900000000004</v>
      </c>
      <c r="F820" s="30">
        <v>1150</v>
      </c>
      <c r="G820" s="30">
        <v>100</v>
      </c>
      <c r="H820" s="38">
        <v>600</v>
      </c>
      <c r="I820" s="30">
        <v>695</v>
      </c>
      <c r="J820" s="30">
        <v>50</v>
      </c>
      <c r="K820" s="31"/>
      <c r="L820" s="31"/>
      <c r="M820" s="31"/>
      <c r="N820" s="31"/>
      <c r="O820" s="31"/>
      <c r="P820" s="31"/>
      <c r="Q820" s="31"/>
      <c r="R820" s="31"/>
      <c r="S820" s="31"/>
      <c r="T820" s="31"/>
    </row>
    <row r="821" spans="1:20" ht="15.75">
      <c r="A821" s="11">
        <v>66111</v>
      </c>
      <c r="B821" s="39">
        <f t="shared" si="3"/>
        <v>31</v>
      </c>
      <c r="C821" s="30">
        <v>122.58</v>
      </c>
      <c r="D821" s="30">
        <v>297.94099999999997</v>
      </c>
      <c r="E821" s="36">
        <v>729.47900000000004</v>
      </c>
      <c r="F821" s="30">
        <v>1150</v>
      </c>
      <c r="G821" s="30">
        <v>100</v>
      </c>
      <c r="H821" s="38">
        <v>600</v>
      </c>
      <c r="I821" s="30">
        <v>695</v>
      </c>
      <c r="J821" s="30">
        <v>50</v>
      </c>
      <c r="K821" s="31"/>
      <c r="L821" s="31"/>
      <c r="M821" s="31"/>
      <c r="N821" s="31"/>
      <c r="O821" s="31"/>
      <c r="P821" s="31"/>
      <c r="Q821" s="31"/>
      <c r="R821" s="31"/>
      <c r="S821" s="31"/>
      <c r="T821" s="31"/>
    </row>
    <row r="822" spans="1:20" ht="15.75">
      <c r="A822" s="11">
        <v>66142</v>
      </c>
      <c r="B822" s="39">
        <f t="shared" si="3"/>
        <v>31</v>
      </c>
      <c r="C822" s="30">
        <v>122.58</v>
      </c>
      <c r="D822" s="30">
        <v>297.94099999999997</v>
      </c>
      <c r="E822" s="36">
        <v>729.47900000000004</v>
      </c>
      <c r="F822" s="30">
        <v>1150</v>
      </c>
      <c r="G822" s="30">
        <v>100</v>
      </c>
      <c r="H822" s="38">
        <v>600</v>
      </c>
      <c r="I822" s="30">
        <v>695</v>
      </c>
      <c r="J822" s="30">
        <v>50</v>
      </c>
      <c r="K822" s="31"/>
      <c r="L822" s="31"/>
      <c r="M822" s="31"/>
      <c r="N822" s="31"/>
      <c r="O822" s="31"/>
      <c r="P822" s="31"/>
      <c r="Q822" s="31"/>
      <c r="R822" s="31"/>
      <c r="S822" s="31"/>
      <c r="T822" s="31"/>
    </row>
    <row r="823" spans="1:20" ht="15.75">
      <c r="A823" s="11">
        <v>66170</v>
      </c>
      <c r="B823" s="39">
        <f t="shared" si="3"/>
        <v>28</v>
      </c>
      <c r="C823" s="30">
        <v>122.58</v>
      </c>
      <c r="D823" s="30">
        <v>297.94099999999997</v>
      </c>
      <c r="E823" s="36">
        <v>729.47900000000004</v>
      </c>
      <c r="F823" s="30">
        <v>1150</v>
      </c>
      <c r="G823" s="30">
        <v>100</v>
      </c>
      <c r="H823" s="38">
        <v>600</v>
      </c>
      <c r="I823" s="30">
        <v>695</v>
      </c>
      <c r="J823" s="30">
        <v>50</v>
      </c>
      <c r="K823" s="31"/>
      <c r="L823" s="31"/>
      <c r="M823" s="31"/>
      <c r="N823" s="31"/>
      <c r="O823" s="31"/>
      <c r="P823" s="31"/>
      <c r="Q823" s="31"/>
      <c r="R823" s="31"/>
      <c r="S823" s="31"/>
      <c r="T823" s="31"/>
    </row>
    <row r="824" spans="1:20" ht="15.75">
      <c r="A824" s="11">
        <v>66201</v>
      </c>
      <c r="B824" s="39">
        <f t="shared" si="3"/>
        <v>31</v>
      </c>
      <c r="C824" s="30">
        <v>122.58</v>
      </c>
      <c r="D824" s="30">
        <v>297.94099999999997</v>
      </c>
      <c r="E824" s="36">
        <v>729.47900000000004</v>
      </c>
      <c r="F824" s="30">
        <v>1150</v>
      </c>
      <c r="G824" s="30">
        <v>100</v>
      </c>
      <c r="H824" s="38">
        <v>600</v>
      </c>
      <c r="I824" s="30">
        <v>695</v>
      </c>
      <c r="J824" s="30">
        <v>50</v>
      </c>
      <c r="K824" s="31"/>
      <c r="L824" s="31"/>
      <c r="M824" s="31"/>
      <c r="N824" s="31"/>
      <c r="O824" s="31"/>
      <c r="P824" s="31"/>
      <c r="Q824" s="31"/>
      <c r="R824" s="31"/>
      <c r="S824" s="31"/>
      <c r="T824" s="31"/>
    </row>
    <row r="825" spans="1:20" ht="15.75">
      <c r="A825" s="11">
        <v>66231</v>
      </c>
      <c r="B825" s="39">
        <f t="shared" si="3"/>
        <v>30</v>
      </c>
      <c r="C825" s="30">
        <v>141.29300000000001</v>
      </c>
      <c r="D825" s="30">
        <v>267.99299999999999</v>
      </c>
      <c r="E825" s="36">
        <v>829.71400000000006</v>
      </c>
      <c r="F825" s="30">
        <v>1239</v>
      </c>
      <c r="G825" s="30">
        <v>100</v>
      </c>
      <c r="H825" s="38">
        <v>600</v>
      </c>
      <c r="I825" s="30">
        <v>695</v>
      </c>
      <c r="J825" s="30">
        <v>50</v>
      </c>
      <c r="K825" s="31"/>
      <c r="L825" s="31"/>
      <c r="M825" s="31"/>
      <c r="N825" s="31"/>
      <c r="O825" s="31"/>
      <c r="P825" s="31"/>
      <c r="Q825" s="31"/>
      <c r="R825" s="31"/>
      <c r="S825" s="31"/>
      <c r="T825" s="31"/>
    </row>
    <row r="826" spans="1:20" ht="15.75">
      <c r="A826" s="11">
        <v>66262</v>
      </c>
      <c r="B826" s="39">
        <f t="shared" si="3"/>
        <v>31</v>
      </c>
      <c r="C826" s="30">
        <v>194.20500000000001</v>
      </c>
      <c r="D826" s="30">
        <v>267.46600000000001</v>
      </c>
      <c r="E826" s="36">
        <v>812.32899999999995</v>
      </c>
      <c r="F826" s="30">
        <v>1274</v>
      </c>
      <c r="G826" s="30">
        <v>75</v>
      </c>
      <c r="H826" s="38">
        <v>600</v>
      </c>
      <c r="I826" s="30">
        <v>695</v>
      </c>
      <c r="J826" s="30">
        <v>50</v>
      </c>
      <c r="K826" s="31"/>
      <c r="L826" s="31"/>
      <c r="M826" s="31"/>
      <c r="N826" s="31"/>
      <c r="O826" s="31"/>
      <c r="P826" s="31"/>
      <c r="Q826" s="31"/>
      <c r="R826" s="31"/>
      <c r="S826" s="31"/>
      <c r="T826" s="31"/>
    </row>
    <row r="827" spans="1:20" ht="15.75">
      <c r="A827" s="11">
        <v>66292</v>
      </c>
      <c r="B827" s="39">
        <f t="shared" si="3"/>
        <v>30</v>
      </c>
      <c r="C827" s="30">
        <v>194.20500000000001</v>
      </c>
      <c r="D827" s="30">
        <v>267.46600000000001</v>
      </c>
      <c r="E827" s="36">
        <v>812.32899999999995</v>
      </c>
      <c r="F827" s="30">
        <v>1274</v>
      </c>
      <c r="G827" s="30">
        <v>50</v>
      </c>
      <c r="H827" s="38">
        <v>600</v>
      </c>
      <c r="I827" s="30">
        <v>695</v>
      </c>
      <c r="J827" s="30">
        <v>50</v>
      </c>
      <c r="K827" s="31"/>
      <c r="L827" s="31"/>
      <c r="M827" s="31"/>
      <c r="N827" s="31"/>
      <c r="O827" s="31"/>
      <c r="P827" s="31"/>
      <c r="Q827" s="31"/>
      <c r="R827" s="31"/>
      <c r="S827" s="31"/>
      <c r="T827" s="31"/>
    </row>
    <row r="828" spans="1:20" ht="15.75">
      <c r="A828" s="11">
        <v>66323</v>
      </c>
      <c r="B828" s="39">
        <f t="shared" si="3"/>
        <v>31</v>
      </c>
      <c r="C828" s="30">
        <v>194.20500000000001</v>
      </c>
      <c r="D828" s="30">
        <v>267.46600000000001</v>
      </c>
      <c r="E828" s="36">
        <v>812.32899999999995</v>
      </c>
      <c r="F828" s="30">
        <v>1274</v>
      </c>
      <c r="G828" s="30">
        <v>50</v>
      </c>
      <c r="H828" s="38">
        <v>600</v>
      </c>
      <c r="I828" s="30">
        <v>695</v>
      </c>
      <c r="J828" s="30">
        <v>0</v>
      </c>
      <c r="K828" s="31"/>
      <c r="L828" s="31"/>
      <c r="M828" s="31"/>
      <c r="N828" s="31"/>
      <c r="O828" s="31"/>
      <c r="P828" s="31"/>
      <c r="Q828" s="31"/>
      <c r="R828" s="31"/>
      <c r="S828" s="31"/>
      <c r="T828" s="31"/>
    </row>
    <row r="829" spans="1:20" ht="15.75">
      <c r="A829" s="11">
        <v>66354</v>
      </c>
      <c r="B829" s="39">
        <f t="shared" si="3"/>
        <v>31</v>
      </c>
      <c r="C829" s="30">
        <v>194.20500000000001</v>
      </c>
      <c r="D829" s="30">
        <v>267.46600000000001</v>
      </c>
      <c r="E829" s="36">
        <v>812.32899999999995</v>
      </c>
      <c r="F829" s="30">
        <v>1274</v>
      </c>
      <c r="G829" s="30">
        <v>50</v>
      </c>
      <c r="H829" s="38">
        <v>600</v>
      </c>
      <c r="I829" s="30">
        <v>695</v>
      </c>
      <c r="J829" s="30">
        <v>0</v>
      </c>
      <c r="K829" s="31"/>
      <c r="L829" s="31"/>
      <c r="M829" s="31"/>
      <c r="N829" s="31"/>
      <c r="O829" s="31"/>
      <c r="P829" s="31"/>
      <c r="Q829" s="31"/>
      <c r="R829" s="31"/>
      <c r="S829" s="31"/>
      <c r="T829" s="31"/>
    </row>
    <row r="830" spans="1:20" ht="15.75">
      <c r="A830" s="11">
        <v>66384</v>
      </c>
      <c r="B830" s="39">
        <f t="shared" si="3"/>
        <v>30</v>
      </c>
      <c r="C830" s="30">
        <v>194.20500000000001</v>
      </c>
      <c r="D830" s="30">
        <v>267.46600000000001</v>
      </c>
      <c r="E830" s="36">
        <v>812.32899999999995</v>
      </c>
      <c r="F830" s="30">
        <v>1274</v>
      </c>
      <c r="G830" s="30">
        <v>50</v>
      </c>
      <c r="H830" s="38">
        <v>600</v>
      </c>
      <c r="I830" s="30">
        <v>695</v>
      </c>
      <c r="J830" s="30">
        <v>0</v>
      </c>
      <c r="K830" s="31"/>
      <c r="L830" s="31"/>
      <c r="M830" s="31"/>
      <c r="N830" s="31"/>
      <c r="O830" s="31"/>
      <c r="P830" s="31"/>
      <c r="Q830" s="31"/>
      <c r="R830" s="31"/>
      <c r="S830" s="31"/>
      <c r="T830" s="31"/>
    </row>
    <row r="831" spans="1:20" ht="15.75">
      <c r="A831" s="11">
        <v>66415</v>
      </c>
      <c r="B831" s="39">
        <f t="shared" si="3"/>
        <v>31</v>
      </c>
      <c r="C831" s="30">
        <v>131.881</v>
      </c>
      <c r="D831" s="30">
        <v>277.16699999999997</v>
      </c>
      <c r="E831" s="36">
        <v>829.952</v>
      </c>
      <c r="F831" s="30">
        <v>1239</v>
      </c>
      <c r="G831" s="30">
        <v>75</v>
      </c>
      <c r="H831" s="38">
        <v>600</v>
      </c>
      <c r="I831" s="30">
        <v>695</v>
      </c>
      <c r="J831" s="30">
        <v>0</v>
      </c>
      <c r="K831" s="31"/>
      <c r="L831" s="31"/>
      <c r="M831" s="31"/>
      <c r="N831" s="31"/>
      <c r="O831" s="31"/>
      <c r="P831" s="31"/>
      <c r="Q831" s="31"/>
      <c r="R831" s="31"/>
      <c r="S831" s="31"/>
      <c r="T831" s="31"/>
    </row>
    <row r="832" spans="1:20" ht="15.75">
      <c r="A832" s="11">
        <v>66445</v>
      </c>
      <c r="B832" s="39">
        <f t="shared" si="3"/>
        <v>30</v>
      </c>
      <c r="C832" s="30">
        <v>122.58</v>
      </c>
      <c r="D832" s="30">
        <v>297.94099999999997</v>
      </c>
      <c r="E832" s="36">
        <v>729.47900000000004</v>
      </c>
      <c r="F832" s="30">
        <v>1150</v>
      </c>
      <c r="G832" s="30">
        <v>100</v>
      </c>
      <c r="H832" s="38">
        <v>600</v>
      </c>
      <c r="I832" s="30">
        <v>695</v>
      </c>
      <c r="J832" s="30">
        <v>50</v>
      </c>
      <c r="K832" s="31"/>
      <c r="L832" s="31"/>
      <c r="M832" s="31"/>
      <c r="N832" s="31"/>
      <c r="O832" s="31"/>
      <c r="P832" s="31"/>
      <c r="Q832" s="31"/>
      <c r="R832" s="31"/>
      <c r="S832" s="31"/>
      <c r="T832" s="31"/>
    </row>
    <row r="833" spans="1:20" ht="15.75">
      <c r="A833" s="11">
        <v>66476</v>
      </c>
      <c r="B833" s="39">
        <f t="shared" si="3"/>
        <v>31</v>
      </c>
      <c r="C833" s="30">
        <v>122.58</v>
      </c>
      <c r="D833" s="30">
        <v>297.94099999999997</v>
      </c>
      <c r="E833" s="36">
        <v>729.47900000000004</v>
      </c>
      <c r="F833" s="30">
        <v>1150</v>
      </c>
      <c r="G833" s="30">
        <v>100</v>
      </c>
      <c r="H833" s="38">
        <v>600</v>
      </c>
      <c r="I833" s="30">
        <v>695</v>
      </c>
      <c r="J833" s="30">
        <v>50</v>
      </c>
      <c r="K833" s="31"/>
      <c r="L833" s="31"/>
      <c r="M833" s="31"/>
      <c r="N833" s="31"/>
      <c r="O833" s="31"/>
      <c r="P833" s="31"/>
      <c r="Q833" s="31"/>
      <c r="R833" s="31"/>
      <c r="S833" s="31"/>
      <c r="T833" s="31"/>
    </row>
    <row r="834" spans="1:20" ht="15.75">
      <c r="A834" s="11">
        <v>66507</v>
      </c>
      <c r="B834" s="39">
        <f t="shared" si="3"/>
        <v>31</v>
      </c>
      <c r="C834" s="30">
        <v>122.58</v>
      </c>
      <c r="D834" s="30">
        <v>297.94099999999997</v>
      </c>
      <c r="E834" s="36">
        <v>729.47900000000004</v>
      </c>
      <c r="F834" s="30">
        <v>1150</v>
      </c>
      <c r="G834" s="30">
        <v>100</v>
      </c>
      <c r="H834" s="38">
        <v>600</v>
      </c>
      <c r="I834" s="30">
        <v>695</v>
      </c>
      <c r="J834" s="30">
        <v>50</v>
      </c>
      <c r="K834" s="31"/>
      <c r="L834" s="31"/>
      <c r="M834" s="31"/>
      <c r="N834" s="31"/>
      <c r="O834" s="31"/>
      <c r="P834" s="31"/>
      <c r="Q834" s="31"/>
      <c r="R834" s="31"/>
      <c r="S834" s="31"/>
      <c r="T834" s="31"/>
    </row>
    <row r="835" spans="1:20" ht="15.75">
      <c r="A835" s="11">
        <v>66535</v>
      </c>
      <c r="B835" s="39">
        <f t="shared" si="3"/>
        <v>28</v>
      </c>
      <c r="C835" s="30">
        <v>122.58</v>
      </c>
      <c r="D835" s="30">
        <v>297.94099999999997</v>
      </c>
      <c r="E835" s="36">
        <v>729.47900000000004</v>
      </c>
      <c r="F835" s="30">
        <v>1150</v>
      </c>
      <c r="G835" s="30">
        <v>100</v>
      </c>
      <c r="H835" s="38">
        <v>600</v>
      </c>
      <c r="I835" s="30">
        <v>695</v>
      </c>
      <c r="J835" s="30">
        <v>50</v>
      </c>
      <c r="K835" s="31"/>
      <c r="L835" s="31"/>
      <c r="M835" s="31"/>
      <c r="N835" s="31"/>
      <c r="O835" s="31"/>
      <c r="P835" s="31"/>
      <c r="Q835" s="31"/>
      <c r="R835" s="31"/>
      <c r="S835" s="31"/>
      <c r="T835" s="31"/>
    </row>
    <row r="836" spans="1:20" ht="15.75">
      <c r="A836" s="11">
        <v>66566</v>
      </c>
      <c r="B836" s="39">
        <f t="shared" si="3"/>
        <v>31</v>
      </c>
      <c r="C836" s="30">
        <v>122.58</v>
      </c>
      <c r="D836" s="30">
        <v>297.94099999999997</v>
      </c>
      <c r="E836" s="36">
        <v>729.47900000000004</v>
      </c>
      <c r="F836" s="30">
        <v>1150</v>
      </c>
      <c r="G836" s="30">
        <v>100</v>
      </c>
      <c r="H836" s="38">
        <v>600</v>
      </c>
      <c r="I836" s="30">
        <v>695</v>
      </c>
      <c r="J836" s="30">
        <v>50</v>
      </c>
      <c r="K836" s="31"/>
      <c r="L836" s="31"/>
      <c r="M836" s="31"/>
      <c r="N836" s="31"/>
      <c r="O836" s="31"/>
      <c r="P836" s="31"/>
      <c r="Q836" s="31"/>
      <c r="R836" s="31"/>
      <c r="S836" s="31"/>
      <c r="T836" s="31"/>
    </row>
    <row r="837" spans="1:20" ht="15.75">
      <c r="A837" s="11">
        <v>66596</v>
      </c>
      <c r="B837" s="39">
        <f t="shared" si="3"/>
        <v>30</v>
      </c>
      <c r="C837" s="30">
        <v>141.29300000000001</v>
      </c>
      <c r="D837" s="30">
        <v>267.99299999999999</v>
      </c>
      <c r="E837" s="36">
        <v>829.71400000000006</v>
      </c>
      <c r="F837" s="30">
        <v>1239</v>
      </c>
      <c r="G837" s="30">
        <v>100</v>
      </c>
      <c r="H837" s="38">
        <v>600</v>
      </c>
      <c r="I837" s="30">
        <v>695</v>
      </c>
      <c r="J837" s="30">
        <v>50</v>
      </c>
      <c r="K837" s="31"/>
      <c r="L837" s="31"/>
      <c r="M837" s="31"/>
      <c r="N837" s="31"/>
      <c r="O837" s="31"/>
      <c r="P837" s="31"/>
      <c r="Q837" s="31"/>
      <c r="R837" s="31"/>
      <c r="S837" s="31"/>
      <c r="T837" s="31"/>
    </row>
    <row r="838" spans="1:20" ht="15.75">
      <c r="A838" s="11">
        <v>66627</v>
      </c>
      <c r="B838" s="39">
        <f t="shared" si="3"/>
        <v>31</v>
      </c>
      <c r="C838" s="30">
        <v>194.20500000000001</v>
      </c>
      <c r="D838" s="30">
        <v>267.46600000000001</v>
      </c>
      <c r="E838" s="36">
        <v>812.32899999999995</v>
      </c>
      <c r="F838" s="30">
        <v>1274</v>
      </c>
      <c r="G838" s="30">
        <v>75</v>
      </c>
      <c r="H838" s="38">
        <v>600</v>
      </c>
      <c r="I838" s="30">
        <v>695</v>
      </c>
      <c r="J838" s="30">
        <v>50</v>
      </c>
      <c r="K838" s="31"/>
      <c r="L838" s="31"/>
      <c r="M838" s="31"/>
      <c r="N838" s="31"/>
      <c r="O838" s="31"/>
      <c r="P838" s="31"/>
      <c r="Q838" s="31"/>
      <c r="R838" s="31"/>
      <c r="S838" s="31"/>
      <c r="T838" s="31"/>
    </row>
    <row r="839" spans="1:20" ht="15.75">
      <c r="A839" s="11">
        <v>66657</v>
      </c>
      <c r="B839" s="39">
        <f t="shared" si="3"/>
        <v>30</v>
      </c>
      <c r="C839" s="30">
        <v>194.20500000000001</v>
      </c>
      <c r="D839" s="30">
        <v>267.46600000000001</v>
      </c>
      <c r="E839" s="36">
        <v>812.32899999999995</v>
      </c>
      <c r="F839" s="30">
        <v>1274</v>
      </c>
      <c r="G839" s="30">
        <v>50</v>
      </c>
      <c r="H839" s="38">
        <v>600</v>
      </c>
      <c r="I839" s="30">
        <v>695</v>
      </c>
      <c r="J839" s="30">
        <v>50</v>
      </c>
      <c r="K839" s="31"/>
      <c r="L839" s="31"/>
      <c r="M839" s="31"/>
      <c r="N839" s="31"/>
      <c r="O839" s="31"/>
      <c r="P839" s="31"/>
      <c r="Q839" s="31"/>
      <c r="R839" s="31"/>
      <c r="S839" s="31"/>
      <c r="T839" s="31"/>
    </row>
    <row r="840" spans="1:20" ht="15.75">
      <c r="A840" s="11">
        <v>66688</v>
      </c>
      <c r="B840" s="39">
        <f t="shared" si="3"/>
        <v>31</v>
      </c>
      <c r="C840" s="30">
        <v>194.20500000000001</v>
      </c>
      <c r="D840" s="30">
        <v>267.46600000000001</v>
      </c>
      <c r="E840" s="36">
        <v>812.32899999999995</v>
      </c>
      <c r="F840" s="30">
        <v>1274</v>
      </c>
      <c r="G840" s="30">
        <v>50</v>
      </c>
      <c r="H840" s="38">
        <v>600</v>
      </c>
      <c r="I840" s="30">
        <v>695</v>
      </c>
      <c r="J840" s="30">
        <v>0</v>
      </c>
      <c r="K840" s="31"/>
      <c r="L840" s="31"/>
      <c r="M840" s="31"/>
      <c r="N840" s="31"/>
      <c r="O840" s="31"/>
      <c r="P840" s="31"/>
      <c r="Q840" s="31"/>
      <c r="R840" s="31"/>
      <c r="S840" s="31"/>
      <c r="T840" s="31"/>
    </row>
    <row r="841" spans="1:20" ht="15.75">
      <c r="A841" s="11">
        <v>66719</v>
      </c>
      <c r="B841" s="39">
        <f t="shared" si="3"/>
        <v>31</v>
      </c>
      <c r="C841" s="30">
        <v>194.20500000000001</v>
      </c>
      <c r="D841" s="30">
        <v>267.46600000000001</v>
      </c>
      <c r="E841" s="36">
        <v>812.32899999999995</v>
      </c>
      <c r="F841" s="30">
        <v>1274</v>
      </c>
      <c r="G841" s="30">
        <v>50</v>
      </c>
      <c r="H841" s="38">
        <v>600</v>
      </c>
      <c r="I841" s="30">
        <v>695</v>
      </c>
      <c r="J841" s="30">
        <v>0</v>
      </c>
      <c r="K841" s="31"/>
      <c r="L841" s="31"/>
      <c r="M841" s="31"/>
      <c r="N841" s="31"/>
      <c r="O841" s="31"/>
      <c r="P841" s="31"/>
      <c r="Q841" s="31"/>
      <c r="R841" s="31"/>
      <c r="S841" s="31"/>
      <c r="T841" s="31"/>
    </row>
    <row r="842" spans="1:20" ht="15.75">
      <c r="A842" s="11">
        <v>66749</v>
      </c>
      <c r="B842" s="39">
        <f t="shared" si="3"/>
        <v>30</v>
      </c>
      <c r="C842" s="30">
        <v>194.20500000000001</v>
      </c>
      <c r="D842" s="30">
        <v>267.46600000000001</v>
      </c>
      <c r="E842" s="36">
        <v>812.32899999999995</v>
      </c>
      <c r="F842" s="30">
        <v>1274</v>
      </c>
      <c r="G842" s="30">
        <v>50</v>
      </c>
      <c r="H842" s="38">
        <v>600</v>
      </c>
      <c r="I842" s="30">
        <v>695</v>
      </c>
      <c r="J842" s="30">
        <v>0</v>
      </c>
      <c r="K842" s="31"/>
      <c r="L842" s="31"/>
      <c r="M842" s="31"/>
      <c r="N842" s="31"/>
      <c r="O842" s="31"/>
      <c r="P842" s="31"/>
      <c r="Q842" s="31"/>
      <c r="R842" s="31"/>
      <c r="S842" s="31"/>
      <c r="T842" s="31"/>
    </row>
    <row r="843" spans="1:20" ht="15.75">
      <c r="A843" s="11">
        <v>66780</v>
      </c>
      <c r="B843" s="39">
        <f t="shared" si="3"/>
        <v>31</v>
      </c>
      <c r="C843" s="30">
        <v>131.881</v>
      </c>
      <c r="D843" s="30">
        <v>277.16699999999997</v>
      </c>
      <c r="E843" s="36">
        <v>829.952</v>
      </c>
      <c r="F843" s="30">
        <v>1239</v>
      </c>
      <c r="G843" s="30">
        <v>75</v>
      </c>
      <c r="H843" s="38">
        <v>600</v>
      </c>
      <c r="I843" s="30">
        <v>695</v>
      </c>
      <c r="J843" s="30">
        <v>0</v>
      </c>
      <c r="K843" s="31"/>
      <c r="L843" s="31"/>
      <c r="M843" s="31"/>
      <c r="N843" s="31"/>
      <c r="O843" s="31"/>
      <c r="P843" s="31"/>
      <c r="Q843" s="31"/>
      <c r="R843" s="31"/>
      <c r="S843" s="31"/>
      <c r="T843" s="31"/>
    </row>
    <row r="844" spans="1:20" ht="15.75">
      <c r="A844" s="11">
        <v>66810</v>
      </c>
      <c r="B844" s="39">
        <f t="shared" si="3"/>
        <v>30</v>
      </c>
      <c r="C844" s="30">
        <v>122.58</v>
      </c>
      <c r="D844" s="30">
        <v>297.94099999999997</v>
      </c>
      <c r="E844" s="36">
        <v>729.47900000000004</v>
      </c>
      <c r="F844" s="30">
        <v>1150</v>
      </c>
      <c r="G844" s="30">
        <v>100</v>
      </c>
      <c r="H844" s="38">
        <v>600</v>
      </c>
      <c r="I844" s="30">
        <v>695</v>
      </c>
      <c r="J844" s="30">
        <v>50</v>
      </c>
      <c r="K844" s="31"/>
      <c r="L844" s="31"/>
      <c r="M844" s="31"/>
      <c r="N844" s="31"/>
      <c r="O844" s="31"/>
      <c r="P844" s="31"/>
      <c r="Q844" s="31"/>
      <c r="R844" s="31"/>
      <c r="S844" s="31"/>
      <c r="T844" s="31"/>
    </row>
    <row r="845" spans="1:20" ht="15.75">
      <c r="A845" s="11">
        <v>66841</v>
      </c>
      <c r="B845" s="39">
        <f t="shared" si="3"/>
        <v>31</v>
      </c>
      <c r="C845" s="30">
        <v>122.58</v>
      </c>
      <c r="D845" s="30">
        <v>297.94099999999997</v>
      </c>
      <c r="E845" s="36">
        <v>729.47900000000004</v>
      </c>
      <c r="F845" s="30">
        <v>1150</v>
      </c>
      <c r="G845" s="30">
        <v>100</v>
      </c>
      <c r="H845" s="38">
        <v>600</v>
      </c>
      <c r="I845" s="30">
        <v>695</v>
      </c>
      <c r="J845" s="30">
        <v>50</v>
      </c>
      <c r="K845" s="31"/>
      <c r="L845" s="31"/>
      <c r="M845" s="31"/>
      <c r="N845" s="31"/>
      <c r="O845" s="31"/>
      <c r="P845" s="31"/>
      <c r="Q845" s="31"/>
      <c r="R845" s="31"/>
      <c r="S845" s="31"/>
      <c r="T845" s="31"/>
    </row>
    <row r="846" spans="1:20" ht="15.75">
      <c r="A846" s="11">
        <v>66872</v>
      </c>
      <c r="B846" s="39">
        <f t="shared" si="3"/>
        <v>31</v>
      </c>
      <c r="C846" s="30">
        <v>122.58</v>
      </c>
      <c r="D846" s="30">
        <v>297.94099999999997</v>
      </c>
      <c r="E846" s="36">
        <v>729.47900000000004</v>
      </c>
      <c r="F846" s="30">
        <v>1150</v>
      </c>
      <c r="G846" s="30">
        <v>100</v>
      </c>
      <c r="H846" s="38">
        <v>600</v>
      </c>
      <c r="I846" s="30">
        <v>695</v>
      </c>
      <c r="J846" s="30">
        <v>50</v>
      </c>
      <c r="K846" s="31"/>
      <c r="L846" s="31"/>
      <c r="M846" s="31"/>
      <c r="N846" s="31"/>
      <c r="O846" s="31"/>
      <c r="P846" s="31"/>
      <c r="Q846" s="31"/>
      <c r="R846" s="31"/>
      <c r="S846" s="31"/>
      <c r="T846" s="31"/>
    </row>
    <row r="847" spans="1:20" ht="15.75">
      <c r="A847" s="11">
        <v>66900</v>
      </c>
      <c r="B847" s="39">
        <f t="shared" si="3"/>
        <v>28</v>
      </c>
      <c r="C847" s="30">
        <v>122.58</v>
      </c>
      <c r="D847" s="30">
        <v>297.94099999999997</v>
      </c>
      <c r="E847" s="36">
        <v>729.47900000000004</v>
      </c>
      <c r="F847" s="30">
        <v>1150</v>
      </c>
      <c r="G847" s="30">
        <v>100</v>
      </c>
      <c r="H847" s="38">
        <v>600</v>
      </c>
      <c r="I847" s="30">
        <v>695</v>
      </c>
      <c r="J847" s="30">
        <v>50</v>
      </c>
      <c r="K847" s="31"/>
      <c r="L847" s="31"/>
      <c r="M847" s="31"/>
      <c r="N847" s="31"/>
      <c r="O847" s="31"/>
      <c r="P847" s="31"/>
      <c r="Q847" s="31"/>
      <c r="R847" s="31"/>
      <c r="S847" s="31"/>
      <c r="T847" s="31"/>
    </row>
    <row r="848" spans="1:20" ht="15.75">
      <c r="A848" s="11">
        <v>66931</v>
      </c>
      <c r="B848" s="39">
        <f t="shared" si="3"/>
        <v>31</v>
      </c>
      <c r="C848" s="30">
        <v>122.58</v>
      </c>
      <c r="D848" s="30">
        <v>297.94099999999997</v>
      </c>
      <c r="E848" s="36">
        <v>729.47900000000004</v>
      </c>
      <c r="F848" s="30">
        <v>1150</v>
      </c>
      <c r="G848" s="30">
        <v>100</v>
      </c>
      <c r="H848" s="38">
        <v>600</v>
      </c>
      <c r="I848" s="30">
        <v>695</v>
      </c>
      <c r="J848" s="30">
        <v>50</v>
      </c>
      <c r="K848" s="31"/>
      <c r="L848" s="31"/>
      <c r="M848" s="31"/>
      <c r="N848" s="31"/>
      <c r="O848" s="31"/>
      <c r="P848" s="31"/>
      <c r="Q848" s="31"/>
      <c r="R848" s="31"/>
      <c r="S848" s="31"/>
      <c r="T848" s="31"/>
    </row>
    <row r="849" spans="1:20" ht="15.75">
      <c r="A849" s="11">
        <v>66961</v>
      </c>
      <c r="B849" s="39">
        <f t="shared" si="3"/>
        <v>30</v>
      </c>
      <c r="C849" s="30">
        <v>141.29300000000001</v>
      </c>
      <c r="D849" s="30">
        <v>267.99299999999999</v>
      </c>
      <c r="E849" s="36">
        <v>829.71400000000006</v>
      </c>
      <c r="F849" s="30">
        <v>1239</v>
      </c>
      <c r="G849" s="30">
        <v>100</v>
      </c>
      <c r="H849" s="38">
        <v>600</v>
      </c>
      <c r="I849" s="30">
        <v>695</v>
      </c>
      <c r="J849" s="30">
        <v>50</v>
      </c>
      <c r="K849" s="31"/>
      <c r="L849" s="31"/>
      <c r="M849" s="31"/>
      <c r="N849" s="31"/>
      <c r="O849" s="31"/>
      <c r="P849" s="31"/>
      <c r="Q849" s="31"/>
      <c r="R849" s="31"/>
      <c r="S849" s="31"/>
      <c r="T849" s="31"/>
    </row>
    <row r="850" spans="1:20" ht="15.75">
      <c r="A850" s="11">
        <v>66992</v>
      </c>
      <c r="B850" s="39">
        <f t="shared" ref="B850:B913" si="4">EOMONTH(A850,0)-EOMONTH(A850,-1)</f>
        <v>31</v>
      </c>
      <c r="C850" s="30">
        <v>194.20500000000001</v>
      </c>
      <c r="D850" s="30">
        <v>267.46600000000001</v>
      </c>
      <c r="E850" s="36">
        <v>812.32899999999995</v>
      </c>
      <c r="F850" s="30">
        <v>1274</v>
      </c>
      <c r="G850" s="30">
        <v>75</v>
      </c>
      <c r="H850" s="38">
        <v>600</v>
      </c>
      <c r="I850" s="30">
        <v>695</v>
      </c>
      <c r="J850" s="30">
        <v>50</v>
      </c>
      <c r="K850" s="31"/>
      <c r="L850" s="31"/>
      <c r="M850" s="31"/>
      <c r="N850" s="31"/>
      <c r="O850" s="31"/>
      <c r="P850" s="31"/>
      <c r="Q850" s="31"/>
      <c r="R850" s="31"/>
      <c r="S850" s="31"/>
      <c r="T850" s="31"/>
    </row>
    <row r="851" spans="1:20" ht="15.75">
      <c r="A851" s="11">
        <v>67022</v>
      </c>
      <c r="B851" s="39">
        <f t="shared" si="4"/>
        <v>30</v>
      </c>
      <c r="C851" s="30">
        <v>194.20500000000001</v>
      </c>
      <c r="D851" s="30">
        <v>267.46600000000001</v>
      </c>
      <c r="E851" s="36">
        <v>812.32899999999995</v>
      </c>
      <c r="F851" s="30">
        <v>1274</v>
      </c>
      <c r="G851" s="30">
        <v>50</v>
      </c>
      <c r="H851" s="38">
        <v>600</v>
      </c>
      <c r="I851" s="30">
        <v>695</v>
      </c>
      <c r="J851" s="30">
        <v>50</v>
      </c>
      <c r="K851" s="31"/>
      <c r="L851" s="31"/>
      <c r="M851" s="31"/>
      <c r="N851" s="31"/>
      <c r="O851" s="31"/>
      <c r="P851" s="31"/>
      <c r="Q851" s="31"/>
      <c r="R851" s="31"/>
      <c r="S851" s="31"/>
      <c r="T851" s="31"/>
    </row>
    <row r="852" spans="1:20" ht="15.75">
      <c r="A852" s="11">
        <v>67053</v>
      </c>
      <c r="B852" s="39">
        <f t="shared" si="4"/>
        <v>31</v>
      </c>
      <c r="C852" s="30">
        <v>194.20500000000001</v>
      </c>
      <c r="D852" s="30">
        <v>267.46600000000001</v>
      </c>
      <c r="E852" s="36">
        <v>812.32899999999995</v>
      </c>
      <c r="F852" s="30">
        <v>1274</v>
      </c>
      <c r="G852" s="30">
        <v>50</v>
      </c>
      <c r="H852" s="38">
        <v>600</v>
      </c>
      <c r="I852" s="30">
        <v>695</v>
      </c>
      <c r="J852" s="30">
        <v>0</v>
      </c>
      <c r="K852" s="31"/>
      <c r="L852" s="31"/>
      <c r="M852" s="31"/>
      <c r="N852" s="31"/>
      <c r="O852" s="31"/>
      <c r="P852" s="31"/>
      <c r="Q852" s="31"/>
      <c r="R852" s="31"/>
      <c r="S852" s="31"/>
      <c r="T852" s="31"/>
    </row>
    <row r="853" spans="1:20" ht="15.75">
      <c r="A853" s="11">
        <v>67084</v>
      </c>
      <c r="B853" s="39">
        <f t="shared" si="4"/>
        <v>31</v>
      </c>
      <c r="C853" s="30">
        <v>194.20500000000001</v>
      </c>
      <c r="D853" s="30">
        <v>267.46600000000001</v>
      </c>
      <c r="E853" s="36">
        <v>812.32899999999995</v>
      </c>
      <c r="F853" s="30">
        <v>1274</v>
      </c>
      <c r="G853" s="30">
        <v>50</v>
      </c>
      <c r="H853" s="38">
        <v>600</v>
      </c>
      <c r="I853" s="30">
        <v>695</v>
      </c>
      <c r="J853" s="30">
        <v>0</v>
      </c>
      <c r="K853" s="31"/>
      <c r="L853" s="31"/>
      <c r="M853" s="31"/>
      <c r="N853" s="31"/>
      <c r="O853" s="31"/>
      <c r="P853" s="31"/>
      <c r="Q853" s="31"/>
      <c r="R853" s="31"/>
      <c r="S853" s="31"/>
      <c r="T853" s="31"/>
    </row>
    <row r="854" spans="1:20" ht="15.75">
      <c r="A854" s="11">
        <v>67114</v>
      </c>
      <c r="B854" s="39">
        <f t="shared" si="4"/>
        <v>30</v>
      </c>
      <c r="C854" s="30">
        <v>194.20500000000001</v>
      </c>
      <c r="D854" s="30">
        <v>267.46600000000001</v>
      </c>
      <c r="E854" s="36">
        <v>812.32899999999995</v>
      </c>
      <c r="F854" s="30">
        <v>1274</v>
      </c>
      <c r="G854" s="30">
        <v>50</v>
      </c>
      <c r="H854" s="38">
        <v>600</v>
      </c>
      <c r="I854" s="30">
        <v>695</v>
      </c>
      <c r="J854" s="30">
        <v>0</v>
      </c>
      <c r="K854" s="31"/>
      <c r="L854" s="31"/>
      <c r="M854" s="31"/>
      <c r="N854" s="31"/>
      <c r="O854" s="31"/>
      <c r="P854" s="31"/>
      <c r="Q854" s="31"/>
      <c r="R854" s="31"/>
      <c r="S854" s="31"/>
      <c r="T854" s="31"/>
    </row>
    <row r="855" spans="1:20" ht="15.75">
      <c r="A855" s="11">
        <v>67145</v>
      </c>
      <c r="B855" s="39">
        <f t="shared" si="4"/>
        <v>31</v>
      </c>
      <c r="C855" s="30">
        <v>131.881</v>
      </c>
      <c r="D855" s="30">
        <v>277.16699999999997</v>
      </c>
      <c r="E855" s="36">
        <v>829.952</v>
      </c>
      <c r="F855" s="30">
        <v>1239</v>
      </c>
      <c r="G855" s="30">
        <v>75</v>
      </c>
      <c r="H855" s="38">
        <v>600</v>
      </c>
      <c r="I855" s="30">
        <v>695</v>
      </c>
      <c r="J855" s="30">
        <v>0</v>
      </c>
      <c r="K855" s="31"/>
      <c r="L855" s="31"/>
      <c r="M855" s="31"/>
      <c r="N855" s="31"/>
      <c r="O855" s="31"/>
      <c r="P855" s="31"/>
      <c r="Q855" s="31"/>
      <c r="R855" s="31"/>
      <c r="S855" s="31"/>
      <c r="T855" s="31"/>
    </row>
    <row r="856" spans="1:20" ht="15.75">
      <c r="A856" s="11">
        <v>67175</v>
      </c>
      <c r="B856" s="39">
        <f t="shared" si="4"/>
        <v>30</v>
      </c>
      <c r="C856" s="30">
        <v>122.58</v>
      </c>
      <c r="D856" s="30">
        <v>297.94099999999997</v>
      </c>
      <c r="E856" s="36">
        <v>729.47900000000004</v>
      </c>
      <c r="F856" s="30">
        <v>1150</v>
      </c>
      <c r="G856" s="30">
        <v>100</v>
      </c>
      <c r="H856" s="38">
        <v>600</v>
      </c>
      <c r="I856" s="30">
        <v>695</v>
      </c>
      <c r="J856" s="30">
        <v>50</v>
      </c>
      <c r="K856" s="31"/>
      <c r="L856" s="31"/>
      <c r="M856" s="31"/>
      <c r="N856" s="31"/>
      <c r="O856" s="31"/>
      <c r="P856" s="31"/>
      <c r="Q856" s="31"/>
      <c r="R856" s="31"/>
      <c r="S856" s="31"/>
      <c r="T856" s="31"/>
    </row>
    <row r="857" spans="1:20" ht="15.75">
      <c r="A857" s="11">
        <v>67206</v>
      </c>
      <c r="B857" s="39">
        <f t="shared" si="4"/>
        <v>31</v>
      </c>
      <c r="C857" s="30">
        <v>122.58</v>
      </c>
      <c r="D857" s="30">
        <v>297.94099999999997</v>
      </c>
      <c r="E857" s="36">
        <v>729.47900000000004</v>
      </c>
      <c r="F857" s="30">
        <v>1150</v>
      </c>
      <c r="G857" s="30">
        <v>100</v>
      </c>
      <c r="H857" s="38">
        <v>600</v>
      </c>
      <c r="I857" s="30">
        <v>695</v>
      </c>
      <c r="J857" s="30">
        <v>50</v>
      </c>
      <c r="K857" s="31"/>
      <c r="L857" s="31"/>
      <c r="M857" s="31"/>
      <c r="N857" s="31"/>
      <c r="O857" s="31"/>
      <c r="P857" s="31"/>
      <c r="Q857" s="31"/>
      <c r="R857" s="31"/>
      <c r="S857" s="31"/>
      <c r="T857" s="31"/>
    </row>
    <row r="858" spans="1:20" ht="15.75">
      <c r="A858" s="11">
        <v>67237</v>
      </c>
      <c r="B858" s="39">
        <f t="shared" si="4"/>
        <v>31</v>
      </c>
      <c r="C858" s="30">
        <v>122.58</v>
      </c>
      <c r="D858" s="30">
        <v>297.94099999999997</v>
      </c>
      <c r="E858" s="36">
        <v>729.47900000000004</v>
      </c>
      <c r="F858" s="30">
        <v>1150</v>
      </c>
      <c r="G858" s="30">
        <v>100</v>
      </c>
      <c r="H858" s="38">
        <v>600</v>
      </c>
      <c r="I858" s="30">
        <v>695</v>
      </c>
      <c r="J858" s="30">
        <v>50</v>
      </c>
      <c r="K858" s="31"/>
      <c r="L858" s="31"/>
      <c r="M858" s="31"/>
      <c r="N858" s="31"/>
      <c r="O858" s="31"/>
      <c r="P858" s="31"/>
      <c r="Q858" s="31"/>
      <c r="R858" s="31"/>
      <c r="S858" s="31"/>
      <c r="T858" s="31"/>
    </row>
    <row r="859" spans="1:20" ht="15.75">
      <c r="A859" s="11">
        <v>67266</v>
      </c>
      <c r="B859" s="39">
        <f t="shared" si="4"/>
        <v>29</v>
      </c>
      <c r="C859" s="30">
        <v>122.58</v>
      </c>
      <c r="D859" s="30">
        <v>297.94099999999997</v>
      </c>
      <c r="E859" s="36">
        <v>729.47900000000004</v>
      </c>
      <c r="F859" s="30">
        <v>1150</v>
      </c>
      <c r="G859" s="30">
        <v>100</v>
      </c>
      <c r="H859" s="38">
        <v>600</v>
      </c>
      <c r="I859" s="30">
        <v>695</v>
      </c>
      <c r="J859" s="30">
        <v>50</v>
      </c>
      <c r="K859" s="31"/>
      <c r="L859" s="31"/>
      <c r="M859" s="31"/>
      <c r="N859" s="31"/>
      <c r="O859" s="31"/>
      <c r="P859" s="31"/>
      <c r="Q859" s="31"/>
      <c r="R859" s="31"/>
      <c r="S859" s="31"/>
      <c r="T859" s="31"/>
    </row>
    <row r="860" spans="1:20" ht="15.75">
      <c r="A860" s="11">
        <v>67297</v>
      </c>
      <c r="B860" s="39">
        <f t="shared" si="4"/>
        <v>31</v>
      </c>
      <c r="C860" s="30">
        <v>122.58</v>
      </c>
      <c r="D860" s="30">
        <v>297.94099999999997</v>
      </c>
      <c r="E860" s="36">
        <v>729.47900000000004</v>
      </c>
      <c r="F860" s="30">
        <v>1150</v>
      </c>
      <c r="G860" s="30">
        <v>100</v>
      </c>
      <c r="H860" s="38">
        <v>600</v>
      </c>
      <c r="I860" s="30">
        <v>695</v>
      </c>
      <c r="J860" s="30">
        <v>50</v>
      </c>
      <c r="K860" s="31"/>
      <c r="L860" s="31"/>
      <c r="M860" s="31"/>
      <c r="N860" s="31"/>
      <c r="O860" s="31"/>
      <c r="P860" s="31"/>
      <c r="Q860" s="31"/>
      <c r="R860" s="31"/>
      <c r="S860" s="31"/>
      <c r="T860" s="31"/>
    </row>
    <row r="861" spans="1:20" ht="15.75">
      <c r="A861" s="11">
        <v>67327</v>
      </c>
      <c r="B861" s="39">
        <f t="shared" si="4"/>
        <v>30</v>
      </c>
      <c r="C861" s="30">
        <v>141.29300000000001</v>
      </c>
      <c r="D861" s="30">
        <v>267.99299999999999</v>
      </c>
      <c r="E861" s="36">
        <v>829.71400000000006</v>
      </c>
      <c r="F861" s="30">
        <v>1239</v>
      </c>
      <c r="G861" s="30">
        <v>100</v>
      </c>
      <c r="H861" s="38">
        <v>600</v>
      </c>
      <c r="I861" s="30">
        <v>695</v>
      </c>
      <c r="J861" s="30">
        <v>50</v>
      </c>
      <c r="K861" s="31"/>
      <c r="L861" s="31"/>
      <c r="M861" s="31"/>
      <c r="N861" s="31"/>
      <c r="O861" s="31"/>
      <c r="P861" s="31"/>
      <c r="Q861" s="31"/>
      <c r="R861" s="31"/>
      <c r="S861" s="31"/>
      <c r="T861" s="31"/>
    </row>
    <row r="862" spans="1:20" ht="15.75">
      <c r="A862" s="11">
        <v>67358</v>
      </c>
      <c r="B862" s="39">
        <f t="shared" si="4"/>
        <v>31</v>
      </c>
      <c r="C862" s="30">
        <v>194.20500000000001</v>
      </c>
      <c r="D862" s="30">
        <v>267.46600000000001</v>
      </c>
      <c r="E862" s="36">
        <v>812.32899999999995</v>
      </c>
      <c r="F862" s="30">
        <v>1274</v>
      </c>
      <c r="G862" s="30">
        <v>75</v>
      </c>
      <c r="H862" s="38">
        <v>600</v>
      </c>
      <c r="I862" s="30">
        <v>695</v>
      </c>
      <c r="J862" s="30">
        <v>50</v>
      </c>
      <c r="K862" s="31"/>
      <c r="L862" s="31"/>
      <c r="M862" s="31"/>
      <c r="N862" s="31"/>
      <c r="O862" s="31"/>
      <c r="P862" s="31"/>
      <c r="Q862" s="31"/>
      <c r="R862" s="31"/>
      <c r="S862" s="31"/>
      <c r="T862" s="31"/>
    </row>
    <row r="863" spans="1:20" ht="15.75">
      <c r="A863" s="11">
        <v>67388</v>
      </c>
      <c r="B863" s="39">
        <f t="shared" si="4"/>
        <v>30</v>
      </c>
      <c r="C863" s="30">
        <v>194.20500000000001</v>
      </c>
      <c r="D863" s="30">
        <v>267.46600000000001</v>
      </c>
      <c r="E863" s="36">
        <v>812.32899999999995</v>
      </c>
      <c r="F863" s="30">
        <v>1274</v>
      </c>
      <c r="G863" s="30">
        <v>50</v>
      </c>
      <c r="H863" s="38">
        <v>600</v>
      </c>
      <c r="I863" s="30">
        <v>695</v>
      </c>
      <c r="J863" s="30">
        <v>50</v>
      </c>
      <c r="K863" s="31"/>
      <c r="L863" s="31"/>
      <c r="M863" s="31"/>
      <c r="N863" s="31"/>
      <c r="O863" s="31"/>
      <c r="P863" s="31"/>
      <c r="Q863" s="31"/>
      <c r="R863" s="31"/>
      <c r="S863" s="31"/>
      <c r="T863" s="31"/>
    </row>
    <row r="864" spans="1:20" ht="15.75">
      <c r="A864" s="11">
        <v>67419</v>
      </c>
      <c r="B864" s="39">
        <f t="shared" si="4"/>
        <v>31</v>
      </c>
      <c r="C864" s="30">
        <v>194.20500000000001</v>
      </c>
      <c r="D864" s="30">
        <v>267.46600000000001</v>
      </c>
      <c r="E864" s="36">
        <v>812.32899999999995</v>
      </c>
      <c r="F864" s="30">
        <v>1274</v>
      </c>
      <c r="G864" s="30">
        <v>50</v>
      </c>
      <c r="H864" s="38">
        <v>600</v>
      </c>
      <c r="I864" s="30">
        <v>695</v>
      </c>
      <c r="J864" s="30">
        <v>0</v>
      </c>
      <c r="K864" s="31"/>
      <c r="L864" s="31"/>
      <c r="M864" s="31"/>
      <c r="N864" s="31"/>
      <c r="O864" s="31"/>
      <c r="P864" s="31"/>
      <c r="Q864" s="31"/>
      <c r="R864" s="31"/>
      <c r="S864" s="31"/>
      <c r="T864" s="31"/>
    </row>
    <row r="865" spans="1:20" ht="15.75">
      <c r="A865" s="11">
        <v>67450</v>
      </c>
      <c r="B865" s="39">
        <f t="shared" si="4"/>
        <v>31</v>
      </c>
      <c r="C865" s="30">
        <v>194.20500000000001</v>
      </c>
      <c r="D865" s="30">
        <v>267.46600000000001</v>
      </c>
      <c r="E865" s="36">
        <v>812.32899999999995</v>
      </c>
      <c r="F865" s="30">
        <v>1274</v>
      </c>
      <c r="G865" s="30">
        <v>50</v>
      </c>
      <c r="H865" s="38">
        <v>600</v>
      </c>
      <c r="I865" s="30">
        <v>695</v>
      </c>
      <c r="J865" s="30">
        <v>0</v>
      </c>
      <c r="K865" s="31"/>
      <c r="L865" s="31"/>
      <c r="M865" s="31"/>
      <c r="N865" s="31"/>
      <c r="O865" s="31"/>
      <c r="P865" s="31"/>
      <c r="Q865" s="31"/>
      <c r="R865" s="31"/>
      <c r="S865" s="31"/>
      <c r="T865" s="31"/>
    </row>
    <row r="866" spans="1:20" ht="15.75">
      <c r="A866" s="11">
        <v>67480</v>
      </c>
      <c r="B866" s="39">
        <f t="shared" si="4"/>
        <v>30</v>
      </c>
      <c r="C866" s="30">
        <v>194.20500000000001</v>
      </c>
      <c r="D866" s="30">
        <v>267.46600000000001</v>
      </c>
      <c r="E866" s="36">
        <v>812.32899999999995</v>
      </c>
      <c r="F866" s="30">
        <v>1274</v>
      </c>
      <c r="G866" s="30">
        <v>50</v>
      </c>
      <c r="H866" s="38">
        <v>600</v>
      </c>
      <c r="I866" s="30">
        <v>695</v>
      </c>
      <c r="J866" s="30">
        <v>0</v>
      </c>
      <c r="K866" s="31"/>
      <c r="L866" s="31"/>
      <c r="M866" s="31"/>
      <c r="N866" s="31"/>
      <c r="O866" s="31"/>
      <c r="P866" s="31"/>
      <c r="Q866" s="31"/>
      <c r="R866" s="31"/>
      <c r="S866" s="31"/>
      <c r="T866" s="31"/>
    </row>
    <row r="867" spans="1:20" ht="15.75">
      <c r="A867" s="11">
        <v>67511</v>
      </c>
      <c r="B867" s="39">
        <f t="shared" si="4"/>
        <v>31</v>
      </c>
      <c r="C867" s="30">
        <v>131.881</v>
      </c>
      <c r="D867" s="30">
        <v>277.16699999999997</v>
      </c>
      <c r="E867" s="36">
        <v>829.952</v>
      </c>
      <c r="F867" s="30">
        <v>1239</v>
      </c>
      <c r="G867" s="30">
        <v>75</v>
      </c>
      <c r="H867" s="38">
        <v>600</v>
      </c>
      <c r="I867" s="30">
        <v>695</v>
      </c>
      <c r="J867" s="30">
        <v>0</v>
      </c>
      <c r="K867" s="31"/>
      <c r="L867" s="31"/>
      <c r="M867" s="31"/>
      <c r="N867" s="31"/>
      <c r="O867" s="31"/>
      <c r="P867" s="31"/>
      <c r="Q867" s="31"/>
      <c r="R867" s="31"/>
      <c r="S867" s="31"/>
      <c r="T867" s="31"/>
    </row>
    <row r="868" spans="1:20" ht="15.75">
      <c r="A868" s="11">
        <v>67541</v>
      </c>
      <c r="B868" s="39">
        <f t="shared" si="4"/>
        <v>30</v>
      </c>
      <c r="C868" s="30">
        <v>122.58</v>
      </c>
      <c r="D868" s="30">
        <v>297.94099999999997</v>
      </c>
      <c r="E868" s="36">
        <v>729.47900000000004</v>
      </c>
      <c r="F868" s="30">
        <v>1150</v>
      </c>
      <c r="G868" s="30">
        <v>100</v>
      </c>
      <c r="H868" s="38">
        <v>600</v>
      </c>
      <c r="I868" s="30">
        <v>695</v>
      </c>
      <c r="J868" s="30">
        <v>50</v>
      </c>
      <c r="K868" s="31"/>
      <c r="L868" s="31"/>
      <c r="M868" s="31"/>
      <c r="N868" s="31"/>
      <c r="O868" s="31"/>
      <c r="P868" s="31"/>
      <c r="Q868" s="31"/>
      <c r="R868" s="31"/>
      <c r="S868" s="31"/>
      <c r="T868" s="31"/>
    </row>
    <row r="869" spans="1:20" ht="15.75">
      <c r="A869" s="11">
        <v>67572</v>
      </c>
      <c r="B869" s="39">
        <f t="shared" si="4"/>
        <v>31</v>
      </c>
      <c r="C869" s="30">
        <v>122.58</v>
      </c>
      <c r="D869" s="30">
        <v>297.94099999999997</v>
      </c>
      <c r="E869" s="36">
        <v>729.47900000000004</v>
      </c>
      <c r="F869" s="30">
        <v>1150</v>
      </c>
      <c r="G869" s="30">
        <v>100</v>
      </c>
      <c r="H869" s="38">
        <v>600</v>
      </c>
      <c r="I869" s="30">
        <v>695</v>
      </c>
      <c r="J869" s="30">
        <v>50</v>
      </c>
      <c r="K869" s="31"/>
      <c r="L869" s="31"/>
      <c r="M869" s="31"/>
      <c r="N869" s="31"/>
      <c r="O869" s="31"/>
      <c r="P869" s="31"/>
      <c r="Q869" s="31"/>
      <c r="R869" s="31"/>
      <c r="S869" s="31"/>
      <c r="T869" s="31"/>
    </row>
    <row r="870" spans="1:20" ht="15.75">
      <c r="A870" s="11">
        <v>67603</v>
      </c>
      <c r="B870" s="39">
        <f t="shared" si="4"/>
        <v>31</v>
      </c>
      <c r="C870" s="30">
        <v>122.58</v>
      </c>
      <c r="D870" s="30">
        <v>297.94099999999997</v>
      </c>
      <c r="E870" s="36">
        <v>729.47900000000004</v>
      </c>
      <c r="F870" s="30">
        <v>1150</v>
      </c>
      <c r="G870" s="30">
        <v>100</v>
      </c>
      <c r="H870" s="38">
        <v>600</v>
      </c>
      <c r="I870" s="30">
        <v>695</v>
      </c>
      <c r="J870" s="30">
        <v>50</v>
      </c>
      <c r="K870" s="31"/>
      <c r="L870" s="31"/>
      <c r="M870" s="31"/>
      <c r="N870" s="31"/>
      <c r="O870" s="31"/>
      <c r="P870" s="31"/>
      <c r="Q870" s="31"/>
      <c r="R870" s="31"/>
      <c r="S870" s="31"/>
      <c r="T870" s="31"/>
    </row>
    <row r="871" spans="1:20" ht="15.75">
      <c r="A871" s="11">
        <v>67631</v>
      </c>
      <c r="B871" s="39">
        <f t="shared" si="4"/>
        <v>28</v>
      </c>
      <c r="C871" s="30">
        <v>122.58</v>
      </c>
      <c r="D871" s="30">
        <v>297.94099999999997</v>
      </c>
      <c r="E871" s="36">
        <v>729.47900000000004</v>
      </c>
      <c r="F871" s="30">
        <v>1150</v>
      </c>
      <c r="G871" s="30">
        <v>100</v>
      </c>
      <c r="H871" s="38">
        <v>600</v>
      </c>
      <c r="I871" s="30">
        <v>695</v>
      </c>
      <c r="J871" s="30">
        <v>50</v>
      </c>
      <c r="K871" s="31"/>
      <c r="L871" s="31"/>
      <c r="M871" s="31"/>
      <c r="N871" s="31"/>
      <c r="O871" s="31"/>
      <c r="P871" s="31"/>
      <c r="Q871" s="31"/>
      <c r="R871" s="31"/>
      <c r="S871" s="31"/>
      <c r="T871" s="31"/>
    </row>
    <row r="872" spans="1:20" ht="15.75">
      <c r="A872" s="11">
        <v>67662</v>
      </c>
      <c r="B872" s="39">
        <f t="shared" si="4"/>
        <v>31</v>
      </c>
      <c r="C872" s="30">
        <v>122.58</v>
      </c>
      <c r="D872" s="30">
        <v>297.94099999999997</v>
      </c>
      <c r="E872" s="36">
        <v>729.47900000000004</v>
      </c>
      <c r="F872" s="30">
        <v>1150</v>
      </c>
      <c r="G872" s="30">
        <v>100</v>
      </c>
      <c r="H872" s="38">
        <v>600</v>
      </c>
      <c r="I872" s="30">
        <v>695</v>
      </c>
      <c r="J872" s="30">
        <v>50</v>
      </c>
      <c r="K872" s="31"/>
      <c r="L872" s="31"/>
      <c r="M872" s="31"/>
      <c r="N872" s="31"/>
      <c r="O872" s="31"/>
      <c r="P872" s="31"/>
      <c r="Q872" s="31"/>
      <c r="R872" s="31"/>
      <c r="S872" s="31"/>
      <c r="T872" s="31"/>
    </row>
    <row r="873" spans="1:20" ht="15.75">
      <c r="A873" s="11">
        <v>67692</v>
      </c>
      <c r="B873" s="39">
        <f t="shared" si="4"/>
        <v>30</v>
      </c>
      <c r="C873" s="30">
        <v>141.29300000000001</v>
      </c>
      <c r="D873" s="30">
        <v>267.99299999999999</v>
      </c>
      <c r="E873" s="36">
        <v>829.71400000000006</v>
      </c>
      <c r="F873" s="30">
        <v>1239</v>
      </c>
      <c r="G873" s="30">
        <v>100</v>
      </c>
      <c r="H873" s="38">
        <v>600</v>
      </c>
      <c r="I873" s="30">
        <v>695</v>
      </c>
      <c r="J873" s="30">
        <v>50</v>
      </c>
      <c r="K873" s="31"/>
      <c r="L873" s="31"/>
      <c r="M873" s="31"/>
      <c r="N873" s="31"/>
      <c r="O873" s="31"/>
      <c r="P873" s="31"/>
      <c r="Q873" s="31"/>
      <c r="R873" s="31"/>
      <c r="S873" s="31"/>
      <c r="T873" s="31"/>
    </row>
    <row r="874" spans="1:20" ht="15.75">
      <c r="A874" s="11">
        <v>67723</v>
      </c>
      <c r="B874" s="39">
        <f t="shared" si="4"/>
        <v>31</v>
      </c>
      <c r="C874" s="30">
        <v>194.20500000000001</v>
      </c>
      <c r="D874" s="30">
        <v>267.46600000000001</v>
      </c>
      <c r="E874" s="36">
        <v>812.32899999999995</v>
      </c>
      <c r="F874" s="30">
        <v>1274</v>
      </c>
      <c r="G874" s="30">
        <v>75</v>
      </c>
      <c r="H874" s="38">
        <v>600</v>
      </c>
      <c r="I874" s="30">
        <v>695</v>
      </c>
      <c r="J874" s="30">
        <v>50</v>
      </c>
      <c r="K874" s="31"/>
      <c r="L874" s="31"/>
      <c r="M874" s="31"/>
      <c r="N874" s="31"/>
      <c r="O874" s="31"/>
      <c r="P874" s="31"/>
      <c r="Q874" s="31"/>
      <c r="R874" s="31"/>
      <c r="S874" s="31"/>
      <c r="T874" s="31"/>
    </row>
    <row r="875" spans="1:20" ht="15.75">
      <c r="A875" s="11">
        <v>67753</v>
      </c>
      <c r="B875" s="39">
        <f t="shared" si="4"/>
        <v>30</v>
      </c>
      <c r="C875" s="30">
        <v>194.20500000000001</v>
      </c>
      <c r="D875" s="30">
        <v>267.46600000000001</v>
      </c>
      <c r="E875" s="36">
        <v>812.32899999999995</v>
      </c>
      <c r="F875" s="30">
        <v>1274</v>
      </c>
      <c r="G875" s="30">
        <v>50</v>
      </c>
      <c r="H875" s="38">
        <v>600</v>
      </c>
      <c r="I875" s="30">
        <v>695</v>
      </c>
      <c r="J875" s="30">
        <v>50</v>
      </c>
      <c r="K875" s="31"/>
      <c r="L875" s="31"/>
      <c r="M875" s="31"/>
      <c r="N875" s="31"/>
      <c r="O875" s="31"/>
      <c r="P875" s="31"/>
      <c r="Q875" s="31"/>
      <c r="R875" s="31"/>
      <c r="S875" s="31"/>
      <c r="T875" s="31"/>
    </row>
    <row r="876" spans="1:20" ht="15.75">
      <c r="A876" s="11">
        <v>67784</v>
      </c>
      <c r="B876" s="39">
        <f t="shared" si="4"/>
        <v>31</v>
      </c>
      <c r="C876" s="30">
        <v>194.20500000000001</v>
      </c>
      <c r="D876" s="30">
        <v>267.46600000000001</v>
      </c>
      <c r="E876" s="36">
        <v>812.32899999999995</v>
      </c>
      <c r="F876" s="30">
        <v>1274</v>
      </c>
      <c r="G876" s="30">
        <v>50</v>
      </c>
      <c r="H876" s="38">
        <v>600</v>
      </c>
      <c r="I876" s="30">
        <v>695</v>
      </c>
      <c r="J876" s="30">
        <v>0</v>
      </c>
      <c r="K876" s="31"/>
      <c r="L876" s="31"/>
      <c r="M876" s="31"/>
      <c r="N876" s="31"/>
      <c r="O876" s="31"/>
      <c r="P876" s="31"/>
      <c r="Q876" s="31"/>
      <c r="R876" s="31"/>
      <c r="S876" s="31"/>
      <c r="T876" s="31"/>
    </row>
    <row r="877" spans="1:20" ht="15.75">
      <c r="A877" s="11">
        <v>67815</v>
      </c>
      <c r="B877" s="39">
        <f t="shared" si="4"/>
        <v>31</v>
      </c>
      <c r="C877" s="30">
        <v>194.20500000000001</v>
      </c>
      <c r="D877" s="30">
        <v>267.46600000000001</v>
      </c>
      <c r="E877" s="36">
        <v>812.32899999999995</v>
      </c>
      <c r="F877" s="30">
        <v>1274</v>
      </c>
      <c r="G877" s="30">
        <v>50</v>
      </c>
      <c r="H877" s="38">
        <v>600</v>
      </c>
      <c r="I877" s="30">
        <v>695</v>
      </c>
      <c r="J877" s="30">
        <v>0</v>
      </c>
      <c r="K877" s="31"/>
      <c r="L877" s="31"/>
      <c r="M877" s="31"/>
      <c r="N877" s="31"/>
      <c r="O877" s="31"/>
      <c r="P877" s="31"/>
      <c r="Q877" s="31"/>
      <c r="R877" s="31"/>
      <c r="S877" s="31"/>
      <c r="T877" s="31"/>
    </row>
    <row r="878" spans="1:20" ht="15.75">
      <c r="A878" s="11">
        <v>67845</v>
      </c>
      <c r="B878" s="39">
        <f t="shared" si="4"/>
        <v>30</v>
      </c>
      <c r="C878" s="30">
        <v>194.20500000000001</v>
      </c>
      <c r="D878" s="30">
        <v>267.46600000000001</v>
      </c>
      <c r="E878" s="36">
        <v>812.32899999999995</v>
      </c>
      <c r="F878" s="30">
        <v>1274</v>
      </c>
      <c r="G878" s="30">
        <v>50</v>
      </c>
      <c r="H878" s="38">
        <v>600</v>
      </c>
      <c r="I878" s="30">
        <v>695</v>
      </c>
      <c r="J878" s="30">
        <v>0</v>
      </c>
      <c r="K878" s="31"/>
      <c r="L878" s="31"/>
      <c r="M878" s="31"/>
      <c r="N878" s="31"/>
      <c r="O878" s="31"/>
      <c r="P878" s="31"/>
      <c r="Q878" s="31"/>
      <c r="R878" s="31"/>
      <c r="S878" s="31"/>
      <c r="T878" s="31"/>
    </row>
    <row r="879" spans="1:20" ht="15.75">
      <c r="A879" s="11">
        <v>67876</v>
      </c>
      <c r="B879" s="39">
        <f t="shared" si="4"/>
        <v>31</v>
      </c>
      <c r="C879" s="30">
        <v>131.881</v>
      </c>
      <c r="D879" s="30">
        <v>277.16699999999997</v>
      </c>
      <c r="E879" s="36">
        <v>829.952</v>
      </c>
      <c r="F879" s="30">
        <v>1239</v>
      </c>
      <c r="G879" s="30">
        <v>75</v>
      </c>
      <c r="H879" s="38">
        <v>600</v>
      </c>
      <c r="I879" s="30">
        <v>695</v>
      </c>
      <c r="J879" s="30">
        <v>0</v>
      </c>
      <c r="K879" s="31"/>
      <c r="L879" s="31"/>
      <c r="M879" s="31"/>
      <c r="N879" s="31"/>
      <c r="O879" s="31"/>
      <c r="P879" s="31"/>
      <c r="Q879" s="31"/>
      <c r="R879" s="31"/>
      <c r="S879" s="31"/>
      <c r="T879" s="31"/>
    </row>
    <row r="880" spans="1:20" ht="15.75">
      <c r="A880" s="11">
        <v>67906</v>
      </c>
      <c r="B880" s="39">
        <f t="shared" si="4"/>
        <v>30</v>
      </c>
      <c r="C880" s="30">
        <v>122.58</v>
      </c>
      <c r="D880" s="30">
        <v>297.94099999999997</v>
      </c>
      <c r="E880" s="36">
        <v>729.47900000000004</v>
      </c>
      <c r="F880" s="30">
        <v>1150</v>
      </c>
      <c r="G880" s="30">
        <v>100</v>
      </c>
      <c r="H880" s="38">
        <v>600</v>
      </c>
      <c r="I880" s="30">
        <v>695</v>
      </c>
      <c r="J880" s="30">
        <v>50</v>
      </c>
      <c r="K880" s="31"/>
      <c r="L880" s="31"/>
      <c r="M880" s="31"/>
      <c r="N880" s="31"/>
      <c r="O880" s="31"/>
      <c r="P880" s="31"/>
      <c r="Q880" s="31"/>
      <c r="R880" s="31"/>
      <c r="S880" s="31"/>
      <c r="T880" s="31"/>
    </row>
    <row r="881" spans="1:20" ht="15.75">
      <c r="A881" s="11">
        <v>67937</v>
      </c>
      <c r="B881" s="39">
        <f t="shared" si="4"/>
        <v>31</v>
      </c>
      <c r="C881" s="30">
        <v>122.58</v>
      </c>
      <c r="D881" s="30">
        <v>297.94099999999997</v>
      </c>
      <c r="E881" s="36">
        <v>729.47900000000004</v>
      </c>
      <c r="F881" s="30">
        <v>1150</v>
      </c>
      <c r="G881" s="30">
        <v>100</v>
      </c>
      <c r="H881" s="38">
        <v>600</v>
      </c>
      <c r="I881" s="30">
        <v>695</v>
      </c>
      <c r="J881" s="30">
        <v>50</v>
      </c>
      <c r="K881" s="31"/>
      <c r="L881" s="31"/>
      <c r="M881" s="31"/>
      <c r="N881" s="31"/>
      <c r="O881" s="31"/>
      <c r="P881" s="31"/>
      <c r="Q881" s="31"/>
      <c r="R881" s="31"/>
      <c r="S881" s="31"/>
      <c r="T881" s="31"/>
    </row>
    <row r="882" spans="1:20" ht="15.75">
      <c r="A882" s="11">
        <v>67968</v>
      </c>
      <c r="B882" s="39">
        <f t="shared" si="4"/>
        <v>31</v>
      </c>
      <c r="C882" s="30">
        <v>122.58</v>
      </c>
      <c r="D882" s="30">
        <v>297.94099999999997</v>
      </c>
      <c r="E882" s="36">
        <v>729.47900000000004</v>
      </c>
      <c r="F882" s="30">
        <v>1150</v>
      </c>
      <c r="G882" s="30">
        <v>100</v>
      </c>
      <c r="H882" s="38">
        <v>600</v>
      </c>
      <c r="I882" s="30">
        <v>695</v>
      </c>
      <c r="J882" s="30">
        <v>50</v>
      </c>
      <c r="K882" s="31"/>
      <c r="L882" s="31"/>
      <c r="M882" s="31"/>
      <c r="N882" s="31"/>
      <c r="O882" s="31"/>
      <c r="P882" s="31"/>
      <c r="Q882" s="31"/>
      <c r="R882" s="31"/>
      <c r="S882" s="31"/>
      <c r="T882" s="31"/>
    </row>
    <row r="883" spans="1:20" ht="15.75">
      <c r="A883" s="11">
        <v>67996</v>
      </c>
      <c r="B883" s="39">
        <f t="shared" si="4"/>
        <v>28</v>
      </c>
      <c r="C883" s="30">
        <v>122.58</v>
      </c>
      <c r="D883" s="30">
        <v>297.94099999999997</v>
      </c>
      <c r="E883" s="36">
        <v>729.47900000000004</v>
      </c>
      <c r="F883" s="30">
        <v>1150</v>
      </c>
      <c r="G883" s="30">
        <v>100</v>
      </c>
      <c r="H883" s="38">
        <v>600</v>
      </c>
      <c r="I883" s="30">
        <v>695</v>
      </c>
      <c r="J883" s="30">
        <v>50</v>
      </c>
      <c r="K883" s="31"/>
      <c r="L883" s="31"/>
      <c r="M883" s="31"/>
      <c r="N883" s="31"/>
      <c r="O883" s="31"/>
      <c r="P883" s="31"/>
      <c r="Q883" s="31"/>
      <c r="R883" s="31"/>
      <c r="S883" s="31"/>
      <c r="T883" s="31"/>
    </row>
    <row r="884" spans="1:20" ht="15.75">
      <c r="A884" s="11">
        <v>68027</v>
      </c>
      <c r="B884" s="39">
        <f t="shared" si="4"/>
        <v>31</v>
      </c>
      <c r="C884" s="30">
        <v>122.58</v>
      </c>
      <c r="D884" s="30">
        <v>297.94099999999997</v>
      </c>
      <c r="E884" s="36">
        <v>729.47900000000004</v>
      </c>
      <c r="F884" s="30">
        <v>1150</v>
      </c>
      <c r="G884" s="30">
        <v>100</v>
      </c>
      <c r="H884" s="38">
        <v>600</v>
      </c>
      <c r="I884" s="30">
        <v>695</v>
      </c>
      <c r="J884" s="30">
        <v>50</v>
      </c>
      <c r="K884" s="31"/>
      <c r="L884" s="31"/>
      <c r="M884" s="31"/>
      <c r="N884" s="31"/>
      <c r="O884" s="31"/>
      <c r="P884" s="31"/>
      <c r="Q884" s="31"/>
      <c r="R884" s="31"/>
      <c r="S884" s="31"/>
      <c r="T884" s="31"/>
    </row>
    <row r="885" spans="1:20" ht="15.75">
      <c r="A885" s="11">
        <v>68057</v>
      </c>
      <c r="B885" s="39">
        <f t="shared" si="4"/>
        <v>30</v>
      </c>
      <c r="C885" s="30">
        <v>141.29300000000001</v>
      </c>
      <c r="D885" s="30">
        <v>267.99299999999999</v>
      </c>
      <c r="E885" s="36">
        <v>829.71400000000006</v>
      </c>
      <c r="F885" s="30">
        <v>1239</v>
      </c>
      <c r="G885" s="30">
        <v>100</v>
      </c>
      <c r="H885" s="38">
        <v>600</v>
      </c>
      <c r="I885" s="30">
        <v>695</v>
      </c>
      <c r="J885" s="30">
        <v>50</v>
      </c>
      <c r="K885" s="31"/>
      <c r="L885" s="31"/>
      <c r="M885" s="31"/>
      <c r="N885" s="31"/>
      <c r="O885" s="31"/>
      <c r="P885" s="31"/>
      <c r="Q885" s="31"/>
      <c r="R885" s="31"/>
      <c r="S885" s="31"/>
      <c r="T885" s="31"/>
    </row>
    <row r="886" spans="1:20" ht="15.75">
      <c r="A886" s="11">
        <v>68088</v>
      </c>
      <c r="B886" s="39">
        <f t="shared" si="4"/>
        <v>31</v>
      </c>
      <c r="C886" s="30">
        <v>194.20500000000001</v>
      </c>
      <c r="D886" s="30">
        <v>267.46600000000001</v>
      </c>
      <c r="E886" s="36">
        <v>812.32899999999995</v>
      </c>
      <c r="F886" s="30">
        <v>1274</v>
      </c>
      <c r="G886" s="30">
        <v>75</v>
      </c>
      <c r="H886" s="38">
        <v>600</v>
      </c>
      <c r="I886" s="30">
        <v>695</v>
      </c>
      <c r="J886" s="30">
        <v>50</v>
      </c>
      <c r="K886" s="31"/>
      <c r="L886" s="31"/>
      <c r="M886" s="31"/>
      <c r="N886" s="31"/>
      <c r="O886" s="31"/>
      <c r="P886" s="31"/>
      <c r="Q886" s="31"/>
      <c r="R886" s="31"/>
      <c r="S886" s="31"/>
      <c r="T886" s="31"/>
    </row>
    <row r="887" spans="1:20" ht="15.75">
      <c r="A887" s="11">
        <v>68118</v>
      </c>
      <c r="B887" s="39">
        <f t="shared" si="4"/>
        <v>30</v>
      </c>
      <c r="C887" s="30">
        <v>194.20500000000001</v>
      </c>
      <c r="D887" s="30">
        <v>267.46600000000001</v>
      </c>
      <c r="E887" s="36">
        <v>812.32899999999995</v>
      </c>
      <c r="F887" s="30">
        <v>1274</v>
      </c>
      <c r="G887" s="30">
        <v>50</v>
      </c>
      <c r="H887" s="38">
        <v>600</v>
      </c>
      <c r="I887" s="30">
        <v>695</v>
      </c>
      <c r="J887" s="30">
        <v>50</v>
      </c>
      <c r="K887" s="31"/>
      <c r="L887" s="31"/>
      <c r="M887" s="31"/>
      <c r="N887" s="31"/>
      <c r="O887" s="31"/>
      <c r="P887" s="31"/>
      <c r="Q887" s="31"/>
      <c r="R887" s="31"/>
      <c r="S887" s="31"/>
      <c r="T887" s="31"/>
    </row>
    <row r="888" spans="1:20" ht="15.75">
      <c r="A888" s="11">
        <v>68149</v>
      </c>
      <c r="B888" s="39">
        <f t="shared" si="4"/>
        <v>31</v>
      </c>
      <c r="C888" s="30">
        <v>194.20500000000001</v>
      </c>
      <c r="D888" s="30">
        <v>267.46600000000001</v>
      </c>
      <c r="E888" s="36">
        <v>812.32899999999995</v>
      </c>
      <c r="F888" s="30">
        <v>1274</v>
      </c>
      <c r="G888" s="30">
        <v>50</v>
      </c>
      <c r="H888" s="38">
        <v>600</v>
      </c>
      <c r="I888" s="30">
        <v>695</v>
      </c>
      <c r="J888" s="30">
        <v>0</v>
      </c>
      <c r="K888" s="31"/>
      <c r="L888" s="31"/>
      <c r="M888" s="31"/>
      <c r="N888" s="31"/>
      <c r="O888" s="31"/>
      <c r="P888" s="31"/>
      <c r="Q888" s="31"/>
      <c r="R888" s="31"/>
      <c r="S888" s="31"/>
      <c r="T888" s="31"/>
    </row>
    <row r="889" spans="1:20" ht="15.75">
      <c r="A889" s="11">
        <v>68180</v>
      </c>
      <c r="B889" s="39">
        <f t="shared" si="4"/>
        <v>31</v>
      </c>
      <c r="C889" s="30">
        <v>194.20500000000001</v>
      </c>
      <c r="D889" s="30">
        <v>267.46600000000001</v>
      </c>
      <c r="E889" s="36">
        <v>812.32899999999995</v>
      </c>
      <c r="F889" s="30">
        <v>1274</v>
      </c>
      <c r="G889" s="30">
        <v>50</v>
      </c>
      <c r="H889" s="38">
        <v>600</v>
      </c>
      <c r="I889" s="30">
        <v>695</v>
      </c>
      <c r="J889" s="30">
        <v>0</v>
      </c>
      <c r="K889" s="31"/>
      <c r="L889" s="31"/>
      <c r="M889" s="31"/>
      <c r="N889" s="31"/>
      <c r="O889" s="31"/>
      <c r="P889" s="31"/>
      <c r="Q889" s="31"/>
      <c r="R889" s="31"/>
      <c r="S889" s="31"/>
      <c r="T889" s="31"/>
    </row>
    <row r="890" spans="1:20" ht="15.75">
      <c r="A890" s="11">
        <v>68210</v>
      </c>
      <c r="B890" s="39">
        <f t="shared" si="4"/>
        <v>30</v>
      </c>
      <c r="C890" s="30">
        <v>194.20500000000001</v>
      </c>
      <c r="D890" s="30">
        <v>267.46600000000001</v>
      </c>
      <c r="E890" s="36">
        <v>812.32899999999995</v>
      </c>
      <c r="F890" s="30">
        <v>1274</v>
      </c>
      <c r="G890" s="30">
        <v>50</v>
      </c>
      <c r="H890" s="38">
        <v>600</v>
      </c>
      <c r="I890" s="30">
        <v>695</v>
      </c>
      <c r="J890" s="30">
        <v>0</v>
      </c>
      <c r="K890" s="31"/>
      <c r="L890" s="31"/>
      <c r="M890" s="31"/>
      <c r="N890" s="31"/>
      <c r="O890" s="31"/>
      <c r="P890" s="31"/>
      <c r="Q890" s="31"/>
      <c r="R890" s="31"/>
      <c r="S890" s="31"/>
      <c r="T890" s="31"/>
    </row>
    <row r="891" spans="1:20" ht="15.75">
      <c r="A891" s="11">
        <v>68241</v>
      </c>
      <c r="B891" s="39">
        <f t="shared" si="4"/>
        <v>31</v>
      </c>
      <c r="C891" s="30">
        <v>131.881</v>
      </c>
      <c r="D891" s="30">
        <v>277.16699999999997</v>
      </c>
      <c r="E891" s="36">
        <v>829.952</v>
      </c>
      <c r="F891" s="30">
        <v>1239</v>
      </c>
      <c r="G891" s="30">
        <v>75</v>
      </c>
      <c r="H891" s="38">
        <v>600</v>
      </c>
      <c r="I891" s="30">
        <v>695</v>
      </c>
      <c r="J891" s="30">
        <v>0</v>
      </c>
      <c r="K891" s="31"/>
      <c r="L891" s="31"/>
      <c r="M891" s="31"/>
      <c r="N891" s="31"/>
      <c r="O891" s="31"/>
      <c r="P891" s="31"/>
      <c r="Q891" s="31"/>
      <c r="R891" s="31"/>
      <c r="S891" s="31"/>
      <c r="T891" s="31"/>
    </row>
    <row r="892" spans="1:20" ht="15.75">
      <c r="A892" s="11">
        <v>68271</v>
      </c>
      <c r="B892" s="39">
        <f t="shared" si="4"/>
        <v>30</v>
      </c>
      <c r="C892" s="30">
        <v>122.58</v>
      </c>
      <c r="D892" s="30">
        <v>297.94099999999997</v>
      </c>
      <c r="E892" s="36">
        <v>729.47900000000004</v>
      </c>
      <c r="F892" s="30">
        <v>1150</v>
      </c>
      <c r="G892" s="30">
        <v>100</v>
      </c>
      <c r="H892" s="38">
        <v>600</v>
      </c>
      <c r="I892" s="30">
        <v>695</v>
      </c>
      <c r="J892" s="30">
        <v>50</v>
      </c>
      <c r="K892" s="31"/>
      <c r="L892" s="31"/>
      <c r="M892" s="31"/>
      <c r="N892" s="31"/>
      <c r="O892" s="31"/>
      <c r="P892" s="31"/>
      <c r="Q892" s="31"/>
      <c r="R892" s="31"/>
      <c r="S892" s="31"/>
      <c r="T892" s="31"/>
    </row>
    <row r="893" spans="1:20" ht="15.75">
      <c r="A893" s="11">
        <v>68302</v>
      </c>
      <c r="B893" s="39">
        <f t="shared" si="4"/>
        <v>31</v>
      </c>
      <c r="C893" s="30">
        <v>122.58</v>
      </c>
      <c r="D893" s="30">
        <v>297.94099999999997</v>
      </c>
      <c r="E893" s="36">
        <v>729.47900000000004</v>
      </c>
      <c r="F893" s="30">
        <v>1150</v>
      </c>
      <c r="G893" s="30">
        <v>100</v>
      </c>
      <c r="H893" s="38">
        <v>600</v>
      </c>
      <c r="I893" s="30">
        <v>695</v>
      </c>
      <c r="J893" s="30">
        <v>50</v>
      </c>
      <c r="K893" s="31"/>
      <c r="L893" s="31"/>
      <c r="M893" s="31"/>
      <c r="N893" s="31"/>
      <c r="O893" s="31"/>
      <c r="P893" s="31"/>
      <c r="Q893" s="31"/>
      <c r="R893" s="31"/>
      <c r="S893" s="31"/>
      <c r="T893" s="31"/>
    </row>
    <row r="894" spans="1:20" ht="15.75">
      <c r="A894" s="11">
        <v>68333</v>
      </c>
      <c r="B894" s="39">
        <f t="shared" si="4"/>
        <v>31</v>
      </c>
      <c r="C894" s="30">
        <v>122.58</v>
      </c>
      <c r="D894" s="30">
        <v>297.94099999999997</v>
      </c>
      <c r="E894" s="36">
        <v>729.47900000000004</v>
      </c>
      <c r="F894" s="30">
        <v>1150</v>
      </c>
      <c r="G894" s="30">
        <v>100</v>
      </c>
      <c r="H894" s="38">
        <v>600</v>
      </c>
      <c r="I894" s="30">
        <v>695</v>
      </c>
      <c r="J894" s="30">
        <v>50</v>
      </c>
      <c r="K894" s="31"/>
      <c r="L894" s="31"/>
      <c r="M894" s="31"/>
      <c r="N894" s="31"/>
      <c r="O894" s="31"/>
      <c r="P894" s="31"/>
      <c r="Q894" s="31"/>
      <c r="R894" s="31"/>
      <c r="S894" s="31"/>
      <c r="T894" s="31"/>
    </row>
    <row r="895" spans="1:20" ht="15.75">
      <c r="A895" s="11">
        <v>68361</v>
      </c>
      <c r="B895" s="39">
        <f t="shared" si="4"/>
        <v>28</v>
      </c>
      <c r="C895" s="30">
        <v>122.58</v>
      </c>
      <c r="D895" s="30">
        <v>297.94099999999997</v>
      </c>
      <c r="E895" s="36">
        <v>729.47900000000004</v>
      </c>
      <c r="F895" s="30">
        <v>1150</v>
      </c>
      <c r="G895" s="30">
        <v>100</v>
      </c>
      <c r="H895" s="38">
        <v>600</v>
      </c>
      <c r="I895" s="30">
        <v>695</v>
      </c>
      <c r="J895" s="30">
        <v>50</v>
      </c>
      <c r="K895" s="31"/>
      <c r="L895" s="31"/>
      <c r="M895" s="31"/>
      <c r="N895" s="31"/>
      <c r="O895" s="31"/>
      <c r="P895" s="31"/>
      <c r="Q895" s="31"/>
      <c r="R895" s="31"/>
      <c r="S895" s="31"/>
      <c r="T895" s="31"/>
    </row>
    <row r="896" spans="1:20" ht="15.75">
      <c r="A896" s="11">
        <v>68392</v>
      </c>
      <c r="B896" s="39">
        <f t="shared" si="4"/>
        <v>31</v>
      </c>
      <c r="C896" s="30">
        <v>122.58</v>
      </c>
      <c r="D896" s="30">
        <v>297.94099999999997</v>
      </c>
      <c r="E896" s="36">
        <v>729.47900000000004</v>
      </c>
      <c r="F896" s="30">
        <v>1150</v>
      </c>
      <c r="G896" s="30">
        <v>100</v>
      </c>
      <c r="H896" s="38">
        <v>600</v>
      </c>
      <c r="I896" s="30">
        <v>695</v>
      </c>
      <c r="J896" s="30">
        <v>50</v>
      </c>
      <c r="K896" s="31"/>
      <c r="L896" s="31"/>
      <c r="M896" s="31"/>
      <c r="N896" s="31"/>
      <c r="O896" s="31"/>
      <c r="P896" s="31"/>
      <c r="Q896" s="31"/>
      <c r="R896" s="31"/>
      <c r="S896" s="31"/>
      <c r="T896" s="31"/>
    </row>
    <row r="897" spans="1:20" ht="15.75">
      <c r="A897" s="11">
        <v>68422</v>
      </c>
      <c r="B897" s="39">
        <f t="shared" si="4"/>
        <v>30</v>
      </c>
      <c r="C897" s="30">
        <v>141.29300000000001</v>
      </c>
      <c r="D897" s="30">
        <v>267.99299999999999</v>
      </c>
      <c r="E897" s="36">
        <v>829.71400000000006</v>
      </c>
      <c r="F897" s="30">
        <v>1239</v>
      </c>
      <c r="G897" s="30">
        <v>100</v>
      </c>
      <c r="H897" s="38">
        <v>600</v>
      </c>
      <c r="I897" s="30">
        <v>695</v>
      </c>
      <c r="J897" s="30">
        <v>50</v>
      </c>
      <c r="K897" s="31"/>
      <c r="L897" s="31"/>
      <c r="M897" s="31"/>
      <c r="N897" s="31"/>
      <c r="O897" s="31"/>
      <c r="P897" s="31"/>
      <c r="Q897" s="31"/>
      <c r="R897" s="31"/>
      <c r="S897" s="31"/>
      <c r="T897" s="31"/>
    </row>
    <row r="898" spans="1:20" ht="15.75">
      <c r="A898" s="11">
        <v>68453</v>
      </c>
      <c r="B898" s="39">
        <f t="shared" si="4"/>
        <v>31</v>
      </c>
      <c r="C898" s="30">
        <v>194.20500000000001</v>
      </c>
      <c r="D898" s="30">
        <v>267.46600000000001</v>
      </c>
      <c r="E898" s="36">
        <v>812.32899999999995</v>
      </c>
      <c r="F898" s="30">
        <v>1274</v>
      </c>
      <c r="G898" s="30">
        <v>75</v>
      </c>
      <c r="H898" s="38">
        <v>600</v>
      </c>
      <c r="I898" s="30">
        <v>695</v>
      </c>
      <c r="J898" s="30">
        <v>50</v>
      </c>
      <c r="K898" s="31"/>
      <c r="L898" s="31"/>
      <c r="M898" s="31"/>
      <c r="N898" s="31"/>
      <c r="O898" s="31"/>
      <c r="P898" s="31"/>
      <c r="Q898" s="31"/>
      <c r="R898" s="31"/>
      <c r="S898" s="31"/>
      <c r="T898" s="31"/>
    </row>
    <row r="899" spans="1:20" ht="15.75">
      <c r="A899" s="11">
        <v>68483</v>
      </c>
      <c r="B899" s="39">
        <f t="shared" si="4"/>
        <v>30</v>
      </c>
      <c r="C899" s="30">
        <v>194.20500000000001</v>
      </c>
      <c r="D899" s="30">
        <v>267.46600000000001</v>
      </c>
      <c r="E899" s="36">
        <v>812.32899999999995</v>
      </c>
      <c r="F899" s="30">
        <v>1274</v>
      </c>
      <c r="G899" s="30">
        <v>50</v>
      </c>
      <c r="H899" s="38">
        <v>600</v>
      </c>
      <c r="I899" s="30">
        <v>695</v>
      </c>
      <c r="J899" s="30">
        <v>50</v>
      </c>
      <c r="K899" s="31"/>
      <c r="L899" s="31"/>
      <c r="M899" s="31"/>
      <c r="N899" s="31"/>
      <c r="O899" s="31"/>
      <c r="P899" s="31"/>
      <c r="Q899" s="31"/>
      <c r="R899" s="31"/>
      <c r="S899" s="31"/>
      <c r="T899" s="31"/>
    </row>
    <row r="900" spans="1:20" ht="15.75">
      <c r="A900" s="11">
        <v>68514</v>
      </c>
      <c r="B900" s="39">
        <f t="shared" si="4"/>
        <v>31</v>
      </c>
      <c r="C900" s="30">
        <v>194.20500000000001</v>
      </c>
      <c r="D900" s="30">
        <v>267.46600000000001</v>
      </c>
      <c r="E900" s="36">
        <v>812.32899999999995</v>
      </c>
      <c r="F900" s="30">
        <v>1274</v>
      </c>
      <c r="G900" s="30">
        <v>50</v>
      </c>
      <c r="H900" s="38">
        <v>600</v>
      </c>
      <c r="I900" s="30">
        <v>695</v>
      </c>
      <c r="J900" s="30">
        <v>0</v>
      </c>
      <c r="K900" s="31"/>
      <c r="L900" s="31"/>
      <c r="M900" s="31"/>
      <c r="N900" s="31"/>
      <c r="O900" s="31"/>
      <c r="P900" s="31"/>
      <c r="Q900" s="31"/>
      <c r="R900" s="31"/>
      <c r="S900" s="31"/>
      <c r="T900" s="31"/>
    </row>
    <row r="901" spans="1:20" ht="15.75">
      <c r="A901" s="11">
        <v>68545</v>
      </c>
      <c r="B901" s="39">
        <f t="shared" si="4"/>
        <v>31</v>
      </c>
      <c r="C901" s="30">
        <v>194.20500000000001</v>
      </c>
      <c r="D901" s="30">
        <v>267.46600000000001</v>
      </c>
      <c r="E901" s="36">
        <v>812.32899999999995</v>
      </c>
      <c r="F901" s="30">
        <v>1274</v>
      </c>
      <c r="G901" s="30">
        <v>50</v>
      </c>
      <c r="H901" s="38">
        <v>600</v>
      </c>
      <c r="I901" s="30">
        <v>695</v>
      </c>
      <c r="J901" s="30">
        <v>0</v>
      </c>
      <c r="K901" s="31"/>
      <c r="L901" s="31"/>
      <c r="M901" s="31"/>
      <c r="N901" s="31"/>
      <c r="O901" s="31"/>
      <c r="P901" s="31"/>
      <c r="Q901" s="31"/>
      <c r="R901" s="31"/>
      <c r="S901" s="31"/>
      <c r="T901" s="31"/>
    </row>
    <row r="902" spans="1:20" ht="15.75">
      <c r="A902" s="11">
        <v>68575</v>
      </c>
      <c r="B902" s="39">
        <f t="shared" si="4"/>
        <v>30</v>
      </c>
      <c r="C902" s="30">
        <v>194.20500000000001</v>
      </c>
      <c r="D902" s="30">
        <v>267.46600000000001</v>
      </c>
      <c r="E902" s="36">
        <v>812.32899999999995</v>
      </c>
      <c r="F902" s="30">
        <v>1274</v>
      </c>
      <c r="G902" s="30">
        <v>50</v>
      </c>
      <c r="H902" s="38">
        <v>600</v>
      </c>
      <c r="I902" s="30">
        <v>695</v>
      </c>
      <c r="J902" s="30">
        <v>0</v>
      </c>
      <c r="K902" s="31"/>
      <c r="L902" s="31"/>
      <c r="M902" s="31"/>
      <c r="N902" s="31"/>
      <c r="O902" s="31"/>
      <c r="P902" s="31"/>
      <c r="Q902" s="31"/>
      <c r="R902" s="31"/>
      <c r="S902" s="31"/>
      <c r="T902" s="31"/>
    </row>
    <row r="903" spans="1:20" ht="15.75">
      <c r="A903" s="11">
        <v>68606</v>
      </c>
      <c r="B903" s="39">
        <f t="shared" si="4"/>
        <v>31</v>
      </c>
      <c r="C903" s="30">
        <v>131.881</v>
      </c>
      <c r="D903" s="30">
        <v>277.16699999999997</v>
      </c>
      <c r="E903" s="36">
        <v>829.952</v>
      </c>
      <c r="F903" s="30">
        <v>1239</v>
      </c>
      <c r="G903" s="30">
        <v>75</v>
      </c>
      <c r="H903" s="38">
        <v>600</v>
      </c>
      <c r="I903" s="30">
        <v>695</v>
      </c>
      <c r="J903" s="30">
        <v>0</v>
      </c>
      <c r="K903" s="31"/>
      <c r="L903" s="31"/>
      <c r="M903" s="31"/>
      <c r="N903" s="31"/>
      <c r="O903" s="31"/>
      <c r="P903" s="31"/>
      <c r="Q903" s="31"/>
      <c r="R903" s="31"/>
      <c r="S903" s="31"/>
      <c r="T903" s="31"/>
    </row>
    <row r="904" spans="1:20" ht="15.75">
      <c r="A904" s="11">
        <v>68636</v>
      </c>
      <c r="B904" s="39">
        <f t="shared" si="4"/>
        <v>30</v>
      </c>
      <c r="C904" s="30">
        <v>122.58</v>
      </c>
      <c r="D904" s="30">
        <v>297.94099999999997</v>
      </c>
      <c r="E904" s="36">
        <v>729.47900000000004</v>
      </c>
      <c r="F904" s="30">
        <v>1150</v>
      </c>
      <c r="G904" s="30">
        <v>100</v>
      </c>
      <c r="H904" s="38">
        <v>600</v>
      </c>
      <c r="I904" s="30">
        <v>695</v>
      </c>
      <c r="J904" s="30">
        <v>50</v>
      </c>
      <c r="K904" s="31"/>
      <c r="L904" s="31"/>
      <c r="M904" s="31"/>
      <c r="N904" s="31"/>
      <c r="O904" s="31"/>
      <c r="P904" s="31"/>
      <c r="Q904" s="31"/>
      <c r="R904" s="31"/>
      <c r="S904" s="31"/>
      <c r="T904" s="31"/>
    </row>
    <row r="905" spans="1:20" ht="15.75">
      <c r="A905" s="11">
        <v>68667</v>
      </c>
      <c r="B905" s="39">
        <f t="shared" si="4"/>
        <v>31</v>
      </c>
      <c r="C905" s="30">
        <v>122.58</v>
      </c>
      <c r="D905" s="30">
        <v>297.94099999999997</v>
      </c>
      <c r="E905" s="36">
        <v>729.47900000000004</v>
      </c>
      <c r="F905" s="30">
        <v>1150</v>
      </c>
      <c r="G905" s="30">
        <v>100</v>
      </c>
      <c r="H905" s="38">
        <v>600</v>
      </c>
      <c r="I905" s="30">
        <v>695</v>
      </c>
      <c r="J905" s="30">
        <v>50</v>
      </c>
      <c r="K905" s="31"/>
      <c r="L905" s="31"/>
      <c r="M905" s="31"/>
      <c r="N905" s="31"/>
      <c r="O905" s="31"/>
      <c r="P905" s="31"/>
      <c r="Q905" s="31"/>
      <c r="R905" s="31"/>
      <c r="S905" s="31"/>
      <c r="T905" s="31"/>
    </row>
    <row r="906" spans="1:20" ht="15.75">
      <c r="A906" s="11">
        <v>68698</v>
      </c>
      <c r="B906" s="39">
        <f t="shared" si="4"/>
        <v>31</v>
      </c>
      <c r="C906" s="30">
        <v>122.58</v>
      </c>
      <c r="D906" s="30">
        <v>297.94099999999997</v>
      </c>
      <c r="E906" s="36">
        <v>729.47900000000004</v>
      </c>
      <c r="F906" s="30">
        <v>1150</v>
      </c>
      <c r="G906" s="30">
        <v>100</v>
      </c>
      <c r="H906" s="38">
        <v>600</v>
      </c>
      <c r="I906" s="30">
        <v>695</v>
      </c>
      <c r="J906" s="30">
        <v>50</v>
      </c>
      <c r="K906" s="31"/>
      <c r="L906" s="31"/>
      <c r="M906" s="31"/>
      <c r="N906" s="31"/>
      <c r="O906" s="31"/>
      <c r="P906" s="31"/>
      <c r="Q906" s="31"/>
      <c r="R906" s="31"/>
      <c r="S906" s="31"/>
      <c r="T906" s="31"/>
    </row>
    <row r="907" spans="1:20" ht="15.75">
      <c r="A907" s="11">
        <v>68727</v>
      </c>
      <c r="B907" s="39">
        <f t="shared" si="4"/>
        <v>29</v>
      </c>
      <c r="C907" s="30">
        <v>122.58</v>
      </c>
      <c r="D907" s="30">
        <v>297.94099999999997</v>
      </c>
      <c r="E907" s="36">
        <v>729.47900000000004</v>
      </c>
      <c r="F907" s="30">
        <v>1150</v>
      </c>
      <c r="G907" s="30">
        <v>100</v>
      </c>
      <c r="H907" s="38">
        <v>600</v>
      </c>
      <c r="I907" s="30">
        <v>695</v>
      </c>
      <c r="J907" s="30">
        <v>50</v>
      </c>
      <c r="K907" s="31"/>
      <c r="L907" s="31"/>
      <c r="M907" s="31"/>
      <c r="N907" s="31"/>
      <c r="O907" s="31"/>
      <c r="P907" s="31"/>
      <c r="Q907" s="31"/>
      <c r="R907" s="31"/>
      <c r="S907" s="31"/>
      <c r="T907" s="31"/>
    </row>
    <row r="908" spans="1:20" ht="15.75">
      <c r="A908" s="11">
        <v>68758</v>
      </c>
      <c r="B908" s="39">
        <f t="shared" si="4"/>
        <v>31</v>
      </c>
      <c r="C908" s="30">
        <v>122.58</v>
      </c>
      <c r="D908" s="30">
        <v>297.94099999999997</v>
      </c>
      <c r="E908" s="36">
        <v>729.47900000000004</v>
      </c>
      <c r="F908" s="30">
        <v>1150</v>
      </c>
      <c r="G908" s="30">
        <v>100</v>
      </c>
      <c r="H908" s="38">
        <v>600</v>
      </c>
      <c r="I908" s="30">
        <v>695</v>
      </c>
      <c r="J908" s="30">
        <v>50</v>
      </c>
      <c r="K908" s="31"/>
      <c r="L908" s="31"/>
      <c r="M908" s="31"/>
      <c r="N908" s="31"/>
      <c r="O908" s="31"/>
      <c r="P908" s="31"/>
      <c r="Q908" s="31"/>
      <c r="R908" s="31"/>
      <c r="S908" s="31"/>
      <c r="T908" s="31"/>
    </row>
    <row r="909" spans="1:20" ht="15.75">
      <c r="A909" s="11">
        <v>68788</v>
      </c>
      <c r="B909" s="39">
        <f t="shared" si="4"/>
        <v>30</v>
      </c>
      <c r="C909" s="30">
        <v>141.29300000000001</v>
      </c>
      <c r="D909" s="30">
        <v>267.99299999999999</v>
      </c>
      <c r="E909" s="36">
        <v>829.71400000000006</v>
      </c>
      <c r="F909" s="30">
        <v>1239</v>
      </c>
      <c r="G909" s="30">
        <v>100</v>
      </c>
      <c r="H909" s="38">
        <v>600</v>
      </c>
      <c r="I909" s="30">
        <v>695</v>
      </c>
      <c r="J909" s="30">
        <v>50</v>
      </c>
      <c r="K909" s="31"/>
      <c r="L909" s="31"/>
      <c r="M909" s="31"/>
      <c r="N909" s="31"/>
      <c r="O909" s="31"/>
      <c r="P909" s="31"/>
      <c r="Q909" s="31"/>
      <c r="R909" s="31"/>
      <c r="S909" s="31"/>
      <c r="T909" s="31"/>
    </row>
    <row r="910" spans="1:20" ht="15.75">
      <c r="A910" s="11">
        <v>68819</v>
      </c>
      <c r="B910" s="39">
        <f t="shared" si="4"/>
        <v>31</v>
      </c>
      <c r="C910" s="30">
        <v>194.20500000000001</v>
      </c>
      <c r="D910" s="30">
        <v>267.46600000000001</v>
      </c>
      <c r="E910" s="36">
        <v>812.32899999999995</v>
      </c>
      <c r="F910" s="30">
        <v>1274</v>
      </c>
      <c r="G910" s="30">
        <v>75</v>
      </c>
      <c r="H910" s="38">
        <v>600</v>
      </c>
      <c r="I910" s="30">
        <v>695</v>
      </c>
      <c r="J910" s="30">
        <v>50</v>
      </c>
      <c r="K910" s="31"/>
      <c r="L910" s="31"/>
      <c r="M910" s="31"/>
      <c r="N910" s="31"/>
      <c r="O910" s="31"/>
      <c r="P910" s="31"/>
      <c r="Q910" s="31"/>
      <c r="R910" s="31"/>
      <c r="S910" s="31"/>
      <c r="T910" s="31"/>
    </row>
    <row r="911" spans="1:20" ht="15.75">
      <c r="A911" s="11">
        <v>68849</v>
      </c>
      <c r="B911" s="39">
        <f t="shared" si="4"/>
        <v>30</v>
      </c>
      <c r="C911" s="30">
        <v>194.20500000000001</v>
      </c>
      <c r="D911" s="30">
        <v>267.46600000000001</v>
      </c>
      <c r="E911" s="36">
        <v>812.32899999999995</v>
      </c>
      <c r="F911" s="30">
        <v>1274</v>
      </c>
      <c r="G911" s="30">
        <v>50</v>
      </c>
      <c r="H911" s="38">
        <v>600</v>
      </c>
      <c r="I911" s="30">
        <v>695</v>
      </c>
      <c r="J911" s="30">
        <v>50</v>
      </c>
      <c r="K911" s="31"/>
      <c r="L911" s="31"/>
      <c r="M911" s="31"/>
      <c r="N911" s="31"/>
      <c r="O911" s="31"/>
      <c r="P911" s="31"/>
      <c r="Q911" s="31"/>
      <c r="R911" s="31"/>
      <c r="S911" s="31"/>
      <c r="T911" s="31"/>
    </row>
    <row r="912" spans="1:20" ht="15.75">
      <c r="A912" s="11">
        <v>68880</v>
      </c>
      <c r="B912" s="39">
        <f t="shared" si="4"/>
        <v>31</v>
      </c>
      <c r="C912" s="30">
        <v>194.20500000000001</v>
      </c>
      <c r="D912" s="30">
        <v>267.46600000000001</v>
      </c>
      <c r="E912" s="36">
        <v>812.32899999999995</v>
      </c>
      <c r="F912" s="30">
        <v>1274</v>
      </c>
      <c r="G912" s="30">
        <v>50</v>
      </c>
      <c r="H912" s="38">
        <v>600</v>
      </c>
      <c r="I912" s="30">
        <v>695</v>
      </c>
      <c r="J912" s="30">
        <v>0</v>
      </c>
      <c r="K912" s="31"/>
      <c r="L912" s="31"/>
      <c r="M912" s="31"/>
      <c r="N912" s="31"/>
      <c r="O912" s="31"/>
      <c r="P912" s="31"/>
      <c r="Q912" s="31"/>
      <c r="R912" s="31"/>
      <c r="S912" s="31"/>
      <c r="T912" s="31"/>
    </row>
    <row r="913" spans="1:20" ht="15.75">
      <c r="A913" s="11">
        <v>68911</v>
      </c>
      <c r="B913" s="39">
        <f t="shared" si="4"/>
        <v>31</v>
      </c>
      <c r="C913" s="30">
        <v>194.20500000000001</v>
      </c>
      <c r="D913" s="30">
        <v>267.46600000000001</v>
      </c>
      <c r="E913" s="36">
        <v>812.32899999999995</v>
      </c>
      <c r="F913" s="30">
        <v>1274</v>
      </c>
      <c r="G913" s="30">
        <v>50</v>
      </c>
      <c r="H913" s="38">
        <v>600</v>
      </c>
      <c r="I913" s="30">
        <v>695</v>
      </c>
      <c r="J913" s="30">
        <v>0</v>
      </c>
      <c r="K913" s="31"/>
      <c r="L913" s="31"/>
      <c r="M913" s="31"/>
      <c r="N913" s="31"/>
      <c r="O913" s="31"/>
      <c r="P913" s="31"/>
      <c r="Q913" s="31"/>
      <c r="R913" s="31"/>
      <c r="S913" s="31"/>
      <c r="T913" s="31"/>
    </row>
    <row r="914" spans="1:20" ht="15.75">
      <c r="A914" s="11">
        <v>68941</v>
      </c>
      <c r="B914" s="39">
        <f t="shared" ref="B914:B977" si="5">EOMONTH(A914,0)-EOMONTH(A914,-1)</f>
        <v>30</v>
      </c>
      <c r="C914" s="30">
        <v>194.20500000000001</v>
      </c>
      <c r="D914" s="30">
        <v>267.46600000000001</v>
      </c>
      <c r="E914" s="36">
        <v>812.32899999999995</v>
      </c>
      <c r="F914" s="30">
        <v>1274</v>
      </c>
      <c r="G914" s="30">
        <v>50</v>
      </c>
      <c r="H914" s="38">
        <v>600</v>
      </c>
      <c r="I914" s="30">
        <v>695</v>
      </c>
      <c r="J914" s="30">
        <v>0</v>
      </c>
      <c r="K914" s="31"/>
      <c r="L914" s="31"/>
      <c r="M914" s="31"/>
      <c r="N914" s="31"/>
      <c r="O914" s="31"/>
      <c r="P914" s="31"/>
      <c r="Q914" s="31"/>
      <c r="R914" s="31"/>
      <c r="S914" s="31"/>
      <c r="T914" s="31"/>
    </row>
    <row r="915" spans="1:20" ht="15.75">
      <c r="A915" s="11">
        <v>68972</v>
      </c>
      <c r="B915" s="39">
        <f t="shared" si="5"/>
        <v>31</v>
      </c>
      <c r="C915" s="30">
        <v>131.881</v>
      </c>
      <c r="D915" s="30">
        <v>277.16699999999997</v>
      </c>
      <c r="E915" s="36">
        <v>829.952</v>
      </c>
      <c r="F915" s="30">
        <v>1239</v>
      </c>
      <c r="G915" s="30">
        <v>75</v>
      </c>
      <c r="H915" s="38">
        <v>600</v>
      </c>
      <c r="I915" s="30">
        <v>695</v>
      </c>
      <c r="J915" s="30">
        <v>0</v>
      </c>
      <c r="K915" s="31"/>
      <c r="L915" s="31"/>
      <c r="M915" s="31"/>
      <c r="N915" s="31"/>
      <c r="O915" s="31"/>
      <c r="P915" s="31"/>
      <c r="Q915" s="31"/>
      <c r="R915" s="31"/>
      <c r="S915" s="31"/>
      <c r="T915" s="31"/>
    </row>
    <row r="916" spans="1:20" ht="15.75">
      <c r="A916" s="11">
        <v>69002</v>
      </c>
      <c r="B916" s="39">
        <f t="shared" si="5"/>
        <v>30</v>
      </c>
      <c r="C916" s="30">
        <v>122.58</v>
      </c>
      <c r="D916" s="30">
        <v>297.94099999999997</v>
      </c>
      <c r="E916" s="36">
        <v>729.47900000000004</v>
      </c>
      <c r="F916" s="30">
        <v>1150</v>
      </c>
      <c r="G916" s="30">
        <v>100</v>
      </c>
      <c r="H916" s="38">
        <v>600</v>
      </c>
      <c r="I916" s="30">
        <v>695</v>
      </c>
      <c r="J916" s="30">
        <v>50</v>
      </c>
      <c r="K916" s="31"/>
      <c r="L916" s="31"/>
      <c r="M916" s="31"/>
      <c r="N916" s="31"/>
      <c r="O916" s="31"/>
      <c r="P916" s="31"/>
      <c r="Q916" s="31"/>
      <c r="R916" s="31"/>
      <c r="S916" s="31"/>
      <c r="T916" s="31"/>
    </row>
    <row r="917" spans="1:20" ht="15.75">
      <c r="A917" s="11">
        <v>69033</v>
      </c>
      <c r="B917" s="39">
        <f t="shared" si="5"/>
        <v>31</v>
      </c>
      <c r="C917" s="30">
        <v>122.58</v>
      </c>
      <c r="D917" s="30">
        <v>297.94099999999997</v>
      </c>
      <c r="E917" s="36">
        <v>729.47900000000004</v>
      </c>
      <c r="F917" s="30">
        <v>1150</v>
      </c>
      <c r="G917" s="30">
        <v>100</v>
      </c>
      <c r="H917" s="38">
        <v>600</v>
      </c>
      <c r="I917" s="30">
        <v>695</v>
      </c>
      <c r="J917" s="30">
        <v>50</v>
      </c>
      <c r="K917" s="31"/>
      <c r="L917" s="31"/>
      <c r="M917" s="31"/>
      <c r="N917" s="31"/>
      <c r="O917" s="31"/>
      <c r="P917" s="31"/>
      <c r="Q917" s="31"/>
      <c r="R917" s="31"/>
      <c r="S917" s="31"/>
      <c r="T917" s="31"/>
    </row>
    <row r="918" spans="1:20" ht="15.75">
      <c r="A918" s="11">
        <v>69064</v>
      </c>
      <c r="B918" s="39">
        <f t="shared" si="5"/>
        <v>31</v>
      </c>
      <c r="C918" s="30">
        <v>122.58</v>
      </c>
      <c r="D918" s="30">
        <v>297.94099999999997</v>
      </c>
      <c r="E918" s="36">
        <v>729.47900000000004</v>
      </c>
      <c r="F918" s="30">
        <v>1150</v>
      </c>
      <c r="G918" s="30">
        <v>100</v>
      </c>
      <c r="H918" s="38">
        <v>600</v>
      </c>
      <c r="I918" s="30">
        <v>695</v>
      </c>
      <c r="J918" s="30">
        <v>50</v>
      </c>
      <c r="K918" s="31"/>
      <c r="L918" s="31"/>
      <c r="M918" s="31"/>
      <c r="N918" s="31"/>
      <c r="O918" s="31"/>
      <c r="P918" s="31"/>
      <c r="Q918" s="31"/>
      <c r="R918" s="31"/>
      <c r="S918" s="31"/>
      <c r="T918" s="31"/>
    </row>
    <row r="919" spans="1:20" ht="15.75">
      <c r="A919" s="11">
        <v>69092</v>
      </c>
      <c r="B919" s="39">
        <f t="shared" si="5"/>
        <v>28</v>
      </c>
      <c r="C919" s="30">
        <v>122.58</v>
      </c>
      <c r="D919" s="30">
        <v>297.94099999999997</v>
      </c>
      <c r="E919" s="36">
        <v>729.47900000000004</v>
      </c>
      <c r="F919" s="30">
        <v>1150</v>
      </c>
      <c r="G919" s="30">
        <v>100</v>
      </c>
      <c r="H919" s="38">
        <v>600</v>
      </c>
      <c r="I919" s="30">
        <v>695</v>
      </c>
      <c r="J919" s="30">
        <v>50</v>
      </c>
      <c r="K919" s="31"/>
      <c r="L919" s="31"/>
      <c r="M919" s="31"/>
      <c r="N919" s="31"/>
      <c r="O919" s="31"/>
      <c r="P919" s="31"/>
      <c r="Q919" s="31"/>
      <c r="R919" s="31"/>
      <c r="S919" s="31"/>
      <c r="T919" s="31"/>
    </row>
    <row r="920" spans="1:20" ht="15.75">
      <c r="A920" s="11">
        <v>69123</v>
      </c>
      <c r="B920" s="39">
        <f t="shared" si="5"/>
        <v>31</v>
      </c>
      <c r="C920" s="30">
        <v>122.58</v>
      </c>
      <c r="D920" s="30">
        <v>297.94099999999997</v>
      </c>
      <c r="E920" s="36">
        <v>729.47900000000004</v>
      </c>
      <c r="F920" s="30">
        <v>1150</v>
      </c>
      <c r="G920" s="30">
        <v>100</v>
      </c>
      <c r="H920" s="38">
        <v>600</v>
      </c>
      <c r="I920" s="30">
        <v>695</v>
      </c>
      <c r="J920" s="30">
        <v>50</v>
      </c>
      <c r="K920" s="31"/>
      <c r="L920" s="31"/>
      <c r="M920" s="31"/>
      <c r="N920" s="31"/>
      <c r="O920" s="31"/>
      <c r="P920" s="31"/>
      <c r="Q920" s="31"/>
      <c r="R920" s="31"/>
      <c r="S920" s="31"/>
      <c r="T920" s="31"/>
    </row>
    <row r="921" spans="1:20" ht="15.75">
      <c r="A921" s="11">
        <v>69153</v>
      </c>
      <c r="B921" s="39">
        <f t="shared" si="5"/>
        <v>30</v>
      </c>
      <c r="C921" s="30">
        <v>141.29300000000001</v>
      </c>
      <c r="D921" s="30">
        <v>267.99299999999999</v>
      </c>
      <c r="E921" s="36">
        <v>829.71400000000006</v>
      </c>
      <c r="F921" s="30">
        <v>1239</v>
      </c>
      <c r="G921" s="30">
        <v>100</v>
      </c>
      <c r="H921" s="38">
        <v>600</v>
      </c>
      <c r="I921" s="30">
        <v>695</v>
      </c>
      <c r="J921" s="30">
        <v>50</v>
      </c>
      <c r="K921" s="31"/>
      <c r="L921" s="31"/>
      <c r="M921" s="31"/>
      <c r="N921" s="31"/>
      <c r="O921" s="31"/>
      <c r="P921" s="31"/>
      <c r="Q921" s="31"/>
      <c r="R921" s="31"/>
      <c r="S921" s="31"/>
      <c r="T921" s="31"/>
    </row>
    <row r="922" spans="1:20" ht="15.75">
      <c r="A922" s="11">
        <v>69184</v>
      </c>
      <c r="B922" s="39">
        <f t="shared" si="5"/>
        <v>31</v>
      </c>
      <c r="C922" s="30">
        <v>194.20500000000001</v>
      </c>
      <c r="D922" s="30">
        <v>267.46600000000001</v>
      </c>
      <c r="E922" s="36">
        <v>812.32899999999995</v>
      </c>
      <c r="F922" s="30">
        <v>1274</v>
      </c>
      <c r="G922" s="30">
        <v>75</v>
      </c>
      <c r="H922" s="38">
        <v>600</v>
      </c>
      <c r="I922" s="30">
        <v>695</v>
      </c>
      <c r="J922" s="30">
        <v>50</v>
      </c>
      <c r="K922" s="31"/>
      <c r="L922" s="31"/>
      <c r="M922" s="31"/>
      <c r="N922" s="31"/>
      <c r="O922" s="31"/>
      <c r="P922" s="31"/>
      <c r="Q922" s="31"/>
      <c r="R922" s="31"/>
      <c r="S922" s="31"/>
      <c r="T922" s="31"/>
    </row>
    <row r="923" spans="1:20" ht="15.75">
      <c r="A923" s="11">
        <v>69214</v>
      </c>
      <c r="B923" s="39">
        <f t="shared" si="5"/>
        <v>30</v>
      </c>
      <c r="C923" s="30">
        <v>194.20500000000001</v>
      </c>
      <c r="D923" s="30">
        <v>267.46600000000001</v>
      </c>
      <c r="E923" s="36">
        <v>812.32899999999995</v>
      </c>
      <c r="F923" s="30">
        <v>1274</v>
      </c>
      <c r="G923" s="30">
        <v>50</v>
      </c>
      <c r="H923" s="38">
        <v>600</v>
      </c>
      <c r="I923" s="30">
        <v>695</v>
      </c>
      <c r="J923" s="30">
        <v>50</v>
      </c>
      <c r="K923" s="31"/>
      <c r="L923" s="31"/>
      <c r="M923" s="31"/>
      <c r="N923" s="31"/>
      <c r="O923" s="31"/>
      <c r="P923" s="31"/>
      <c r="Q923" s="31"/>
      <c r="R923" s="31"/>
      <c r="S923" s="31"/>
      <c r="T923" s="31"/>
    </row>
    <row r="924" spans="1:20" ht="15.75">
      <c r="A924" s="11">
        <v>69245</v>
      </c>
      <c r="B924" s="39">
        <f t="shared" si="5"/>
        <v>31</v>
      </c>
      <c r="C924" s="30">
        <v>194.20500000000001</v>
      </c>
      <c r="D924" s="30">
        <v>267.46600000000001</v>
      </c>
      <c r="E924" s="36">
        <v>812.32899999999995</v>
      </c>
      <c r="F924" s="30">
        <v>1274</v>
      </c>
      <c r="G924" s="30">
        <v>50</v>
      </c>
      <c r="H924" s="38">
        <v>600</v>
      </c>
      <c r="I924" s="30">
        <v>695</v>
      </c>
      <c r="J924" s="30">
        <v>0</v>
      </c>
      <c r="K924" s="31"/>
      <c r="L924" s="31"/>
      <c r="M924" s="31"/>
      <c r="N924" s="31"/>
      <c r="O924" s="31"/>
      <c r="P924" s="31"/>
      <c r="Q924" s="31"/>
      <c r="R924" s="31"/>
      <c r="S924" s="31"/>
      <c r="T924" s="31"/>
    </row>
    <row r="925" spans="1:20" ht="15.75">
      <c r="A925" s="11">
        <v>69276</v>
      </c>
      <c r="B925" s="39">
        <f t="shared" si="5"/>
        <v>31</v>
      </c>
      <c r="C925" s="30">
        <v>194.20500000000001</v>
      </c>
      <c r="D925" s="30">
        <v>267.46600000000001</v>
      </c>
      <c r="E925" s="36">
        <v>812.32899999999995</v>
      </c>
      <c r="F925" s="30">
        <v>1274</v>
      </c>
      <c r="G925" s="30">
        <v>50</v>
      </c>
      <c r="H925" s="38">
        <v>600</v>
      </c>
      <c r="I925" s="30">
        <v>695</v>
      </c>
      <c r="J925" s="30">
        <v>0</v>
      </c>
      <c r="K925" s="31"/>
      <c r="L925" s="31"/>
      <c r="M925" s="31"/>
      <c r="N925" s="31"/>
      <c r="O925" s="31"/>
      <c r="P925" s="31"/>
      <c r="Q925" s="31"/>
      <c r="R925" s="31"/>
      <c r="S925" s="31"/>
      <c r="T925" s="31"/>
    </row>
    <row r="926" spans="1:20" ht="15.75">
      <c r="A926" s="11">
        <v>69306</v>
      </c>
      <c r="B926" s="39">
        <f t="shared" si="5"/>
        <v>30</v>
      </c>
      <c r="C926" s="30">
        <v>194.20500000000001</v>
      </c>
      <c r="D926" s="30">
        <v>267.46600000000001</v>
      </c>
      <c r="E926" s="36">
        <v>812.32899999999995</v>
      </c>
      <c r="F926" s="30">
        <v>1274</v>
      </c>
      <c r="G926" s="30">
        <v>50</v>
      </c>
      <c r="H926" s="38">
        <v>600</v>
      </c>
      <c r="I926" s="30">
        <v>695</v>
      </c>
      <c r="J926" s="30">
        <v>0</v>
      </c>
      <c r="K926" s="31"/>
      <c r="L926" s="31"/>
      <c r="M926" s="31"/>
      <c r="N926" s="31"/>
      <c r="O926" s="31"/>
      <c r="P926" s="31"/>
      <c r="Q926" s="31"/>
      <c r="R926" s="31"/>
      <c r="S926" s="31"/>
      <c r="T926" s="31"/>
    </row>
    <row r="927" spans="1:20" ht="15.75">
      <c r="A927" s="11">
        <v>69337</v>
      </c>
      <c r="B927" s="39">
        <f t="shared" si="5"/>
        <v>31</v>
      </c>
      <c r="C927" s="30">
        <v>131.881</v>
      </c>
      <c r="D927" s="30">
        <v>277.16699999999997</v>
      </c>
      <c r="E927" s="36">
        <v>829.952</v>
      </c>
      <c r="F927" s="30">
        <v>1239</v>
      </c>
      <c r="G927" s="30">
        <v>75</v>
      </c>
      <c r="H927" s="38">
        <v>600</v>
      </c>
      <c r="I927" s="30">
        <v>695</v>
      </c>
      <c r="J927" s="30">
        <v>0</v>
      </c>
      <c r="K927" s="31"/>
      <c r="L927" s="31"/>
      <c r="M927" s="31"/>
      <c r="N927" s="31"/>
      <c r="O927" s="31"/>
      <c r="P927" s="31"/>
      <c r="Q927" s="31"/>
      <c r="R927" s="31"/>
      <c r="S927" s="31"/>
      <c r="T927" s="31"/>
    </row>
    <row r="928" spans="1:20" ht="15.75">
      <c r="A928" s="11">
        <v>69367</v>
      </c>
      <c r="B928" s="39">
        <f t="shared" si="5"/>
        <v>30</v>
      </c>
      <c r="C928" s="30">
        <v>122.58</v>
      </c>
      <c r="D928" s="30">
        <v>297.94099999999997</v>
      </c>
      <c r="E928" s="36">
        <v>729.47900000000004</v>
      </c>
      <c r="F928" s="30">
        <v>1150</v>
      </c>
      <c r="G928" s="30">
        <v>100</v>
      </c>
      <c r="H928" s="38">
        <v>600</v>
      </c>
      <c r="I928" s="30">
        <v>695</v>
      </c>
      <c r="J928" s="30">
        <v>50</v>
      </c>
      <c r="K928" s="31"/>
      <c r="L928" s="31"/>
      <c r="M928" s="31"/>
      <c r="N928" s="31"/>
      <c r="O928" s="31"/>
      <c r="P928" s="31"/>
      <c r="Q928" s="31"/>
      <c r="R928" s="31"/>
      <c r="S928" s="31"/>
      <c r="T928" s="31"/>
    </row>
    <row r="929" spans="1:20" ht="15.75">
      <c r="A929" s="11">
        <v>69398</v>
      </c>
      <c r="B929" s="39">
        <f t="shared" si="5"/>
        <v>31</v>
      </c>
      <c r="C929" s="30">
        <v>122.58</v>
      </c>
      <c r="D929" s="30">
        <v>297.94099999999997</v>
      </c>
      <c r="E929" s="36">
        <v>729.47900000000004</v>
      </c>
      <c r="F929" s="30">
        <v>1150</v>
      </c>
      <c r="G929" s="30">
        <v>100</v>
      </c>
      <c r="H929" s="38">
        <v>600</v>
      </c>
      <c r="I929" s="30">
        <v>695</v>
      </c>
      <c r="J929" s="30">
        <v>50</v>
      </c>
      <c r="K929" s="31"/>
      <c r="L929" s="31"/>
      <c r="M929" s="31"/>
      <c r="N929" s="31"/>
      <c r="O929" s="31"/>
      <c r="P929" s="31"/>
      <c r="Q929" s="31"/>
      <c r="R929" s="31"/>
      <c r="S929" s="31"/>
      <c r="T929" s="31"/>
    </row>
    <row r="930" spans="1:20" ht="15.75">
      <c r="A930" s="11">
        <v>69429</v>
      </c>
      <c r="B930" s="39">
        <f t="shared" si="5"/>
        <v>31</v>
      </c>
      <c r="C930" s="30">
        <v>122.58</v>
      </c>
      <c r="D930" s="30">
        <v>297.94099999999997</v>
      </c>
      <c r="E930" s="36">
        <v>729.47900000000004</v>
      </c>
      <c r="F930" s="30">
        <v>1150</v>
      </c>
      <c r="G930" s="30">
        <v>100</v>
      </c>
      <c r="H930" s="38">
        <v>600</v>
      </c>
      <c r="I930" s="30">
        <v>695</v>
      </c>
      <c r="J930" s="30">
        <v>50</v>
      </c>
      <c r="K930" s="31"/>
      <c r="L930" s="31"/>
      <c r="M930" s="31"/>
      <c r="N930" s="31"/>
      <c r="O930" s="31"/>
      <c r="P930" s="31"/>
      <c r="Q930" s="31"/>
      <c r="R930" s="31"/>
      <c r="S930" s="31"/>
      <c r="T930" s="31"/>
    </row>
    <row r="931" spans="1:20" ht="15.75">
      <c r="A931" s="11">
        <v>69457</v>
      </c>
      <c r="B931" s="39">
        <f t="shared" si="5"/>
        <v>28</v>
      </c>
      <c r="C931" s="30">
        <v>122.58</v>
      </c>
      <c r="D931" s="30">
        <v>297.94099999999997</v>
      </c>
      <c r="E931" s="36">
        <v>729.47900000000004</v>
      </c>
      <c r="F931" s="30">
        <v>1150</v>
      </c>
      <c r="G931" s="30">
        <v>100</v>
      </c>
      <c r="H931" s="38">
        <v>600</v>
      </c>
      <c r="I931" s="30">
        <v>695</v>
      </c>
      <c r="J931" s="30">
        <v>50</v>
      </c>
      <c r="K931" s="31"/>
      <c r="L931" s="31"/>
      <c r="M931" s="31"/>
      <c r="N931" s="31"/>
      <c r="O931" s="31"/>
      <c r="P931" s="31"/>
      <c r="Q931" s="31"/>
      <c r="R931" s="31"/>
      <c r="S931" s="31"/>
      <c r="T931" s="31"/>
    </row>
    <row r="932" spans="1:20" ht="15.75">
      <c r="A932" s="11">
        <v>69488</v>
      </c>
      <c r="B932" s="39">
        <f t="shared" si="5"/>
        <v>31</v>
      </c>
      <c r="C932" s="30">
        <v>122.58</v>
      </c>
      <c r="D932" s="30">
        <v>297.94099999999997</v>
      </c>
      <c r="E932" s="36">
        <v>729.47900000000004</v>
      </c>
      <c r="F932" s="30">
        <v>1150</v>
      </c>
      <c r="G932" s="30">
        <v>100</v>
      </c>
      <c r="H932" s="38">
        <v>600</v>
      </c>
      <c r="I932" s="30">
        <v>695</v>
      </c>
      <c r="J932" s="30">
        <v>50</v>
      </c>
      <c r="K932" s="31"/>
      <c r="L932" s="31"/>
      <c r="M932" s="31"/>
      <c r="N932" s="31"/>
      <c r="O932" s="31"/>
      <c r="P932" s="31"/>
      <c r="Q932" s="31"/>
      <c r="R932" s="31"/>
      <c r="S932" s="31"/>
      <c r="T932" s="31"/>
    </row>
    <row r="933" spans="1:20" ht="15.75">
      <c r="A933" s="11">
        <v>69518</v>
      </c>
      <c r="B933" s="39">
        <f t="shared" si="5"/>
        <v>30</v>
      </c>
      <c r="C933" s="30">
        <v>141.29300000000001</v>
      </c>
      <c r="D933" s="30">
        <v>267.99299999999999</v>
      </c>
      <c r="E933" s="36">
        <v>829.71400000000006</v>
      </c>
      <c r="F933" s="30">
        <v>1239</v>
      </c>
      <c r="G933" s="30">
        <v>100</v>
      </c>
      <c r="H933" s="38">
        <v>600</v>
      </c>
      <c r="I933" s="30">
        <v>695</v>
      </c>
      <c r="J933" s="30">
        <v>50</v>
      </c>
      <c r="K933" s="31"/>
      <c r="L933" s="31"/>
      <c r="M933" s="31"/>
      <c r="N933" s="31"/>
      <c r="O933" s="31"/>
      <c r="P933" s="31"/>
      <c r="Q933" s="31"/>
      <c r="R933" s="31"/>
      <c r="S933" s="31"/>
      <c r="T933" s="31"/>
    </row>
    <row r="934" spans="1:20" ht="15.75">
      <c r="A934" s="11">
        <v>69549</v>
      </c>
      <c r="B934" s="39">
        <f t="shared" si="5"/>
        <v>31</v>
      </c>
      <c r="C934" s="30">
        <v>194.20500000000001</v>
      </c>
      <c r="D934" s="30">
        <v>267.46600000000001</v>
      </c>
      <c r="E934" s="36">
        <v>812.32899999999995</v>
      </c>
      <c r="F934" s="30">
        <v>1274</v>
      </c>
      <c r="G934" s="30">
        <v>75</v>
      </c>
      <c r="H934" s="38">
        <v>600</v>
      </c>
      <c r="I934" s="30">
        <v>695</v>
      </c>
      <c r="J934" s="30">
        <v>50</v>
      </c>
      <c r="K934" s="31"/>
      <c r="L934" s="31"/>
      <c r="M934" s="31"/>
      <c r="N934" s="31"/>
      <c r="O934" s="31"/>
      <c r="P934" s="31"/>
      <c r="Q934" s="31"/>
      <c r="R934" s="31"/>
      <c r="S934" s="31"/>
      <c r="T934" s="31"/>
    </row>
    <row r="935" spans="1:20" ht="15.75">
      <c r="A935" s="11">
        <v>69579</v>
      </c>
      <c r="B935" s="39">
        <f t="shared" si="5"/>
        <v>30</v>
      </c>
      <c r="C935" s="30">
        <v>194.20500000000001</v>
      </c>
      <c r="D935" s="30">
        <v>267.46600000000001</v>
      </c>
      <c r="E935" s="36">
        <v>812.32899999999995</v>
      </c>
      <c r="F935" s="30">
        <v>1274</v>
      </c>
      <c r="G935" s="30">
        <v>50</v>
      </c>
      <c r="H935" s="38">
        <v>600</v>
      </c>
      <c r="I935" s="30">
        <v>695</v>
      </c>
      <c r="J935" s="30">
        <v>50</v>
      </c>
      <c r="K935" s="31"/>
      <c r="L935" s="31"/>
      <c r="M935" s="31"/>
      <c r="N935" s="31"/>
      <c r="O935" s="31"/>
      <c r="P935" s="31"/>
      <c r="Q935" s="31"/>
      <c r="R935" s="31"/>
      <c r="S935" s="31"/>
      <c r="T935" s="31"/>
    </row>
    <row r="936" spans="1:20" ht="15.75">
      <c r="A936" s="11">
        <v>69610</v>
      </c>
      <c r="B936" s="39">
        <f t="shared" si="5"/>
        <v>31</v>
      </c>
      <c r="C936" s="30">
        <v>194.20500000000001</v>
      </c>
      <c r="D936" s="30">
        <v>267.46600000000001</v>
      </c>
      <c r="E936" s="36">
        <v>812.32899999999995</v>
      </c>
      <c r="F936" s="30">
        <v>1274</v>
      </c>
      <c r="G936" s="30">
        <v>50</v>
      </c>
      <c r="H936" s="38">
        <v>600</v>
      </c>
      <c r="I936" s="30">
        <v>695</v>
      </c>
      <c r="J936" s="30">
        <v>0</v>
      </c>
      <c r="K936" s="31"/>
      <c r="L936" s="31"/>
      <c r="M936" s="31"/>
      <c r="N936" s="31"/>
      <c r="O936" s="31"/>
      <c r="P936" s="31"/>
      <c r="Q936" s="31"/>
      <c r="R936" s="31"/>
      <c r="S936" s="31"/>
      <c r="T936" s="31"/>
    </row>
    <row r="937" spans="1:20" ht="15.75">
      <c r="A937" s="11">
        <v>69641</v>
      </c>
      <c r="B937" s="39">
        <f t="shared" si="5"/>
        <v>31</v>
      </c>
      <c r="C937" s="30">
        <v>194.20500000000001</v>
      </c>
      <c r="D937" s="30">
        <v>267.46600000000001</v>
      </c>
      <c r="E937" s="36">
        <v>812.32899999999995</v>
      </c>
      <c r="F937" s="30">
        <v>1274</v>
      </c>
      <c r="G937" s="30">
        <v>50</v>
      </c>
      <c r="H937" s="38">
        <v>600</v>
      </c>
      <c r="I937" s="30">
        <v>695</v>
      </c>
      <c r="J937" s="30">
        <v>0</v>
      </c>
      <c r="K937" s="31"/>
      <c r="L937" s="31"/>
      <c r="M937" s="31"/>
      <c r="N937" s="31"/>
      <c r="O937" s="31"/>
      <c r="P937" s="31"/>
      <c r="Q937" s="31"/>
      <c r="R937" s="31"/>
      <c r="S937" s="31"/>
      <c r="T937" s="31"/>
    </row>
    <row r="938" spans="1:20" ht="15.75">
      <c r="A938" s="11">
        <v>69671</v>
      </c>
      <c r="B938" s="39">
        <f t="shared" si="5"/>
        <v>30</v>
      </c>
      <c r="C938" s="30">
        <v>194.20500000000001</v>
      </c>
      <c r="D938" s="30">
        <v>267.46600000000001</v>
      </c>
      <c r="E938" s="36">
        <v>812.32899999999995</v>
      </c>
      <c r="F938" s="30">
        <v>1274</v>
      </c>
      <c r="G938" s="30">
        <v>50</v>
      </c>
      <c r="H938" s="38">
        <v>600</v>
      </c>
      <c r="I938" s="30">
        <v>695</v>
      </c>
      <c r="J938" s="30">
        <v>0</v>
      </c>
      <c r="K938" s="31"/>
      <c r="L938" s="31"/>
      <c r="M938" s="31"/>
      <c r="N938" s="31"/>
      <c r="O938" s="31"/>
      <c r="P938" s="31"/>
      <c r="Q938" s="31"/>
      <c r="R938" s="31"/>
      <c r="S938" s="31"/>
      <c r="T938" s="31"/>
    </row>
    <row r="939" spans="1:20" ht="15.75">
      <c r="A939" s="11">
        <v>69702</v>
      </c>
      <c r="B939" s="39">
        <f t="shared" si="5"/>
        <v>31</v>
      </c>
      <c r="C939" s="30">
        <v>131.881</v>
      </c>
      <c r="D939" s="30">
        <v>277.16699999999997</v>
      </c>
      <c r="E939" s="36">
        <v>829.952</v>
      </c>
      <c r="F939" s="30">
        <v>1239</v>
      </c>
      <c r="G939" s="30">
        <v>75</v>
      </c>
      <c r="H939" s="38">
        <v>600</v>
      </c>
      <c r="I939" s="30">
        <v>695</v>
      </c>
      <c r="J939" s="30">
        <v>0</v>
      </c>
      <c r="K939" s="31"/>
      <c r="L939" s="31"/>
      <c r="M939" s="31"/>
      <c r="N939" s="31"/>
      <c r="O939" s="31"/>
      <c r="P939" s="31"/>
      <c r="Q939" s="31"/>
      <c r="R939" s="31"/>
      <c r="S939" s="31"/>
      <c r="T939" s="31"/>
    </row>
    <row r="940" spans="1:20" ht="15.75">
      <c r="A940" s="11">
        <v>69732</v>
      </c>
      <c r="B940" s="39">
        <f t="shared" si="5"/>
        <v>30</v>
      </c>
      <c r="C940" s="30">
        <v>122.58</v>
      </c>
      <c r="D940" s="30">
        <v>297.94099999999997</v>
      </c>
      <c r="E940" s="36">
        <v>729.47900000000004</v>
      </c>
      <c r="F940" s="30">
        <v>1150</v>
      </c>
      <c r="G940" s="30">
        <v>100</v>
      </c>
      <c r="H940" s="38">
        <v>600</v>
      </c>
      <c r="I940" s="30">
        <v>695</v>
      </c>
      <c r="J940" s="30">
        <v>50</v>
      </c>
      <c r="K940" s="31"/>
      <c r="L940" s="31"/>
      <c r="M940" s="31"/>
      <c r="N940" s="31"/>
      <c r="O940" s="31"/>
      <c r="P940" s="31"/>
      <c r="Q940" s="31"/>
      <c r="R940" s="31"/>
      <c r="S940" s="31"/>
      <c r="T940" s="31"/>
    </row>
    <row r="941" spans="1:20" ht="15.75">
      <c r="A941" s="11">
        <v>69763</v>
      </c>
      <c r="B941" s="39">
        <f t="shared" si="5"/>
        <v>31</v>
      </c>
      <c r="C941" s="30">
        <v>122.58</v>
      </c>
      <c r="D941" s="30">
        <v>297.94099999999997</v>
      </c>
      <c r="E941" s="36">
        <v>729.47900000000004</v>
      </c>
      <c r="F941" s="30">
        <v>1150</v>
      </c>
      <c r="G941" s="30">
        <v>100</v>
      </c>
      <c r="H941" s="38">
        <v>600</v>
      </c>
      <c r="I941" s="30">
        <v>695</v>
      </c>
      <c r="J941" s="30">
        <v>50</v>
      </c>
      <c r="K941" s="31"/>
      <c r="L941" s="31"/>
      <c r="M941" s="31"/>
      <c r="N941" s="31"/>
      <c r="O941" s="31"/>
      <c r="P941" s="31"/>
      <c r="Q941" s="31"/>
      <c r="R941" s="31"/>
      <c r="S941" s="31"/>
      <c r="T941" s="31"/>
    </row>
    <row r="942" spans="1:20" ht="15.75">
      <c r="A942" s="11">
        <v>69794</v>
      </c>
      <c r="B942" s="39">
        <f t="shared" si="5"/>
        <v>31</v>
      </c>
      <c r="C942" s="30">
        <v>122.58</v>
      </c>
      <c r="D942" s="30">
        <v>297.94099999999997</v>
      </c>
      <c r="E942" s="36">
        <v>729.47900000000004</v>
      </c>
      <c r="F942" s="30">
        <v>1150</v>
      </c>
      <c r="G942" s="30">
        <v>100</v>
      </c>
      <c r="H942" s="38">
        <v>600</v>
      </c>
      <c r="I942" s="30">
        <v>695</v>
      </c>
      <c r="J942" s="30">
        <v>50</v>
      </c>
      <c r="K942" s="31"/>
      <c r="L942" s="31"/>
      <c r="M942" s="31"/>
      <c r="N942" s="31"/>
      <c r="O942" s="31"/>
      <c r="P942" s="31"/>
      <c r="Q942" s="31"/>
      <c r="R942" s="31"/>
      <c r="S942" s="31"/>
      <c r="T942" s="31"/>
    </row>
    <row r="943" spans="1:20" ht="15.75">
      <c r="A943" s="11">
        <v>69822</v>
      </c>
      <c r="B943" s="39">
        <f t="shared" si="5"/>
        <v>28</v>
      </c>
      <c r="C943" s="30">
        <v>122.58</v>
      </c>
      <c r="D943" s="30">
        <v>297.94099999999997</v>
      </c>
      <c r="E943" s="36">
        <v>729.47900000000004</v>
      </c>
      <c r="F943" s="30">
        <v>1150</v>
      </c>
      <c r="G943" s="30">
        <v>100</v>
      </c>
      <c r="H943" s="38">
        <v>600</v>
      </c>
      <c r="I943" s="30">
        <v>695</v>
      </c>
      <c r="J943" s="30">
        <v>50</v>
      </c>
      <c r="K943" s="31"/>
      <c r="L943" s="31"/>
      <c r="M943" s="31"/>
      <c r="N943" s="31"/>
      <c r="O943" s="31"/>
      <c r="P943" s="31"/>
      <c r="Q943" s="31"/>
      <c r="R943" s="31"/>
      <c r="S943" s="31"/>
      <c r="T943" s="31"/>
    </row>
    <row r="944" spans="1:20" ht="15.75">
      <c r="A944" s="11">
        <v>69853</v>
      </c>
      <c r="B944" s="39">
        <f t="shared" si="5"/>
        <v>31</v>
      </c>
      <c r="C944" s="30">
        <v>122.58</v>
      </c>
      <c r="D944" s="30">
        <v>297.94099999999997</v>
      </c>
      <c r="E944" s="36">
        <v>729.47900000000004</v>
      </c>
      <c r="F944" s="30">
        <v>1150</v>
      </c>
      <c r="G944" s="30">
        <v>100</v>
      </c>
      <c r="H944" s="38">
        <v>600</v>
      </c>
      <c r="I944" s="30">
        <v>695</v>
      </c>
      <c r="J944" s="30">
        <v>50</v>
      </c>
      <c r="K944" s="31"/>
      <c r="L944" s="31"/>
      <c r="M944" s="31"/>
      <c r="N944" s="31"/>
      <c r="O944" s="31"/>
      <c r="P944" s="31"/>
      <c r="Q944" s="31"/>
      <c r="R944" s="31"/>
      <c r="S944" s="31"/>
      <c r="T944" s="31"/>
    </row>
    <row r="945" spans="1:20" ht="15.75">
      <c r="A945" s="11">
        <v>69883</v>
      </c>
      <c r="B945" s="39">
        <f t="shared" si="5"/>
        <v>30</v>
      </c>
      <c r="C945" s="30">
        <v>141.29300000000001</v>
      </c>
      <c r="D945" s="30">
        <v>267.99299999999999</v>
      </c>
      <c r="E945" s="36">
        <v>829.71400000000006</v>
      </c>
      <c r="F945" s="30">
        <v>1239</v>
      </c>
      <c r="G945" s="30">
        <v>100</v>
      </c>
      <c r="H945" s="38">
        <v>600</v>
      </c>
      <c r="I945" s="30">
        <v>695</v>
      </c>
      <c r="J945" s="30">
        <v>50</v>
      </c>
      <c r="K945" s="31"/>
      <c r="L945" s="31"/>
      <c r="M945" s="31"/>
      <c r="N945" s="31"/>
      <c r="O945" s="31"/>
      <c r="P945" s="31"/>
      <c r="Q945" s="31"/>
      <c r="R945" s="31"/>
      <c r="S945" s="31"/>
      <c r="T945" s="31"/>
    </row>
    <row r="946" spans="1:20" ht="15.75">
      <c r="A946" s="11">
        <v>69914</v>
      </c>
      <c r="B946" s="39">
        <f t="shared" si="5"/>
        <v>31</v>
      </c>
      <c r="C946" s="30">
        <v>194.20500000000001</v>
      </c>
      <c r="D946" s="30">
        <v>267.46600000000001</v>
      </c>
      <c r="E946" s="36">
        <v>812.32899999999995</v>
      </c>
      <c r="F946" s="30">
        <v>1274</v>
      </c>
      <c r="G946" s="30">
        <v>75</v>
      </c>
      <c r="H946" s="38">
        <v>600</v>
      </c>
      <c r="I946" s="30">
        <v>695</v>
      </c>
      <c r="J946" s="30">
        <v>50</v>
      </c>
      <c r="K946" s="31"/>
      <c r="L946" s="31"/>
      <c r="M946" s="31"/>
      <c r="N946" s="31"/>
      <c r="O946" s="31"/>
      <c r="P946" s="31"/>
      <c r="Q946" s="31"/>
      <c r="R946" s="31"/>
      <c r="S946" s="31"/>
      <c r="T946" s="31"/>
    </row>
    <row r="947" spans="1:20" ht="15.75">
      <c r="A947" s="11">
        <v>69944</v>
      </c>
      <c r="B947" s="39">
        <f t="shared" si="5"/>
        <v>30</v>
      </c>
      <c r="C947" s="30">
        <v>194.20500000000001</v>
      </c>
      <c r="D947" s="30">
        <v>267.46600000000001</v>
      </c>
      <c r="E947" s="36">
        <v>812.32899999999995</v>
      </c>
      <c r="F947" s="30">
        <v>1274</v>
      </c>
      <c r="G947" s="30">
        <v>50</v>
      </c>
      <c r="H947" s="38">
        <v>600</v>
      </c>
      <c r="I947" s="30">
        <v>695</v>
      </c>
      <c r="J947" s="30">
        <v>50</v>
      </c>
      <c r="K947" s="31"/>
      <c r="L947" s="31"/>
      <c r="M947" s="31"/>
      <c r="N947" s="31"/>
      <c r="O947" s="31"/>
      <c r="P947" s="31"/>
      <c r="Q947" s="31"/>
      <c r="R947" s="31"/>
      <c r="S947" s="31"/>
      <c r="T947" s="31"/>
    </row>
    <row r="948" spans="1:20" ht="15.75">
      <c r="A948" s="11">
        <v>69975</v>
      </c>
      <c r="B948" s="39">
        <f t="shared" si="5"/>
        <v>31</v>
      </c>
      <c r="C948" s="30">
        <v>194.20500000000001</v>
      </c>
      <c r="D948" s="30">
        <v>267.46600000000001</v>
      </c>
      <c r="E948" s="36">
        <v>812.32899999999995</v>
      </c>
      <c r="F948" s="30">
        <v>1274</v>
      </c>
      <c r="G948" s="30">
        <v>50</v>
      </c>
      <c r="H948" s="38">
        <v>600</v>
      </c>
      <c r="I948" s="30">
        <v>695</v>
      </c>
      <c r="J948" s="30">
        <v>0</v>
      </c>
      <c r="K948" s="31"/>
      <c r="L948" s="31"/>
      <c r="M948" s="31"/>
      <c r="N948" s="31"/>
      <c r="O948" s="31"/>
      <c r="P948" s="31"/>
      <c r="Q948" s="31"/>
      <c r="R948" s="31"/>
      <c r="S948" s="31"/>
      <c r="T948" s="31"/>
    </row>
    <row r="949" spans="1:20" ht="15.75">
      <c r="A949" s="11">
        <v>70006</v>
      </c>
      <c r="B949" s="39">
        <f t="shared" si="5"/>
        <v>31</v>
      </c>
      <c r="C949" s="30">
        <v>194.20500000000001</v>
      </c>
      <c r="D949" s="30">
        <v>267.46600000000001</v>
      </c>
      <c r="E949" s="36">
        <v>812.32899999999995</v>
      </c>
      <c r="F949" s="30">
        <v>1274</v>
      </c>
      <c r="G949" s="30">
        <v>50</v>
      </c>
      <c r="H949" s="38">
        <v>600</v>
      </c>
      <c r="I949" s="30">
        <v>695</v>
      </c>
      <c r="J949" s="30">
        <v>0</v>
      </c>
      <c r="K949" s="31"/>
      <c r="L949" s="31"/>
      <c r="M949" s="31"/>
      <c r="N949" s="31"/>
      <c r="O949" s="31"/>
      <c r="P949" s="31"/>
      <c r="Q949" s="31"/>
      <c r="R949" s="31"/>
      <c r="S949" s="31"/>
      <c r="T949" s="31"/>
    </row>
    <row r="950" spans="1:20" ht="15.75">
      <c r="A950" s="11">
        <v>70036</v>
      </c>
      <c r="B950" s="39">
        <f t="shared" si="5"/>
        <v>30</v>
      </c>
      <c r="C950" s="30">
        <v>194.20500000000001</v>
      </c>
      <c r="D950" s="30">
        <v>267.46600000000001</v>
      </c>
      <c r="E950" s="36">
        <v>812.32899999999995</v>
      </c>
      <c r="F950" s="30">
        <v>1274</v>
      </c>
      <c r="G950" s="30">
        <v>50</v>
      </c>
      <c r="H950" s="38">
        <v>600</v>
      </c>
      <c r="I950" s="30">
        <v>695</v>
      </c>
      <c r="J950" s="30">
        <v>0</v>
      </c>
      <c r="K950" s="31"/>
      <c r="L950" s="31"/>
      <c r="M950" s="31"/>
      <c r="N950" s="31"/>
      <c r="O950" s="31"/>
      <c r="P950" s="31"/>
      <c r="Q950" s="31"/>
      <c r="R950" s="31"/>
      <c r="S950" s="31"/>
      <c r="T950" s="31"/>
    </row>
    <row r="951" spans="1:20" ht="15.75">
      <c r="A951" s="11">
        <v>70067</v>
      </c>
      <c r="B951" s="39">
        <f t="shared" si="5"/>
        <v>31</v>
      </c>
      <c r="C951" s="30">
        <v>131.881</v>
      </c>
      <c r="D951" s="30">
        <v>277.16699999999997</v>
      </c>
      <c r="E951" s="36">
        <v>829.952</v>
      </c>
      <c r="F951" s="30">
        <v>1239</v>
      </c>
      <c r="G951" s="30">
        <v>75</v>
      </c>
      <c r="H951" s="38">
        <v>600</v>
      </c>
      <c r="I951" s="30">
        <v>695</v>
      </c>
      <c r="J951" s="30">
        <v>0</v>
      </c>
      <c r="K951" s="31"/>
      <c r="L951" s="31"/>
      <c r="M951" s="31"/>
      <c r="N951" s="31"/>
      <c r="O951" s="31"/>
      <c r="P951" s="31"/>
      <c r="Q951" s="31"/>
      <c r="R951" s="31"/>
      <c r="S951" s="31"/>
      <c r="T951" s="31"/>
    </row>
    <row r="952" spans="1:20" ht="15.75">
      <c r="A952" s="11">
        <v>70097</v>
      </c>
      <c r="B952" s="39">
        <f t="shared" si="5"/>
        <v>30</v>
      </c>
      <c r="C952" s="30">
        <v>122.58</v>
      </c>
      <c r="D952" s="30">
        <v>297.94099999999997</v>
      </c>
      <c r="E952" s="36">
        <v>729.47900000000004</v>
      </c>
      <c r="F952" s="30">
        <v>1150</v>
      </c>
      <c r="G952" s="30">
        <v>100</v>
      </c>
      <c r="H952" s="38">
        <v>600</v>
      </c>
      <c r="I952" s="30">
        <v>695</v>
      </c>
      <c r="J952" s="30">
        <v>50</v>
      </c>
      <c r="K952" s="31"/>
      <c r="L952" s="31"/>
      <c r="M952" s="31"/>
      <c r="N952" s="31"/>
      <c r="O952" s="31"/>
      <c r="P952" s="31"/>
      <c r="Q952" s="31"/>
      <c r="R952" s="31"/>
      <c r="S952" s="31"/>
      <c r="T952" s="31"/>
    </row>
    <row r="953" spans="1:20" ht="15.75">
      <c r="A953" s="11">
        <v>70128</v>
      </c>
      <c r="B953" s="39">
        <f t="shared" si="5"/>
        <v>31</v>
      </c>
      <c r="C953" s="30">
        <v>122.58</v>
      </c>
      <c r="D953" s="30">
        <v>297.94099999999997</v>
      </c>
      <c r="E953" s="36">
        <v>729.47900000000004</v>
      </c>
      <c r="F953" s="30">
        <v>1150</v>
      </c>
      <c r="G953" s="30">
        <v>100</v>
      </c>
      <c r="H953" s="38">
        <v>600</v>
      </c>
      <c r="I953" s="30">
        <v>695</v>
      </c>
      <c r="J953" s="30">
        <v>50</v>
      </c>
      <c r="K953" s="31"/>
      <c r="L953" s="31"/>
      <c r="M953" s="31"/>
      <c r="N953" s="31"/>
      <c r="O953" s="31"/>
      <c r="P953" s="31"/>
      <c r="Q953" s="31"/>
      <c r="R953" s="31"/>
      <c r="S953" s="31"/>
      <c r="T953" s="31"/>
    </row>
    <row r="954" spans="1:20" ht="15.75">
      <c r="A954" s="11">
        <v>70159</v>
      </c>
      <c r="B954" s="39">
        <f t="shared" si="5"/>
        <v>31</v>
      </c>
      <c r="C954" s="30">
        <v>122.58</v>
      </c>
      <c r="D954" s="30">
        <v>297.94099999999997</v>
      </c>
      <c r="E954" s="36">
        <v>729.47900000000004</v>
      </c>
      <c r="F954" s="30">
        <v>1150</v>
      </c>
      <c r="G954" s="30">
        <v>100</v>
      </c>
      <c r="H954" s="38">
        <v>600</v>
      </c>
      <c r="I954" s="30">
        <v>695</v>
      </c>
      <c r="J954" s="30">
        <v>50</v>
      </c>
      <c r="K954" s="31"/>
      <c r="L954" s="31"/>
      <c r="M954" s="31"/>
      <c r="N954" s="31"/>
      <c r="O954" s="31"/>
      <c r="P954" s="31"/>
      <c r="Q954" s="31"/>
      <c r="R954" s="31"/>
      <c r="S954" s="31"/>
      <c r="T954" s="31"/>
    </row>
    <row r="955" spans="1:20" ht="15.75">
      <c r="A955" s="11">
        <v>70188</v>
      </c>
      <c r="B955" s="39">
        <f t="shared" si="5"/>
        <v>29</v>
      </c>
      <c r="C955" s="30">
        <v>122.58</v>
      </c>
      <c r="D955" s="30">
        <v>297.94099999999997</v>
      </c>
      <c r="E955" s="36">
        <v>729.47900000000004</v>
      </c>
      <c r="F955" s="30">
        <v>1150</v>
      </c>
      <c r="G955" s="30">
        <v>100</v>
      </c>
      <c r="H955" s="38">
        <v>600</v>
      </c>
      <c r="I955" s="30">
        <v>695</v>
      </c>
      <c r="J955" s="30">
        <v>50</v>
      </c>
      <c r="K955" s="31"/>
      <c r="L955" s="31"/>
      <c r="M955" s="31"/>
      <c r="N955" s="31"/>
      <c r="O955" s="31"/>
      <c r="P955" s="31"/>
      <c r="Q955" s="31"/>
      <c r="R955" s="31"/>
      <c r="S955" s="31"/>
      <c r="T955" s="31"/>
    </row>
    <row r="956" spans="1:20" ht="15.75">
      <c r="A956" s="11">
        <v>70219</v>
      </c>
      <c r="B956" s="39">
        <f t="shared" si="5"/>
        <v>31</v>
      </c>
      <c r="C956" s="30">
        <v>122.58</v>
      </c>
      <c r="D956" s="30">
        <v>297.94099999999997</v>
      </c>
      <c r="E956" s="36">
        <v>729.47900000000004</v>
      </c>
      <c r="F956" s="30">
        <v>1150</v>
      </c>
      <c r="G956" s="30">
        <v>100</v>
      </c>
      <c r="H956" s="38">
        <v>600</v>
      </c>
      <c r="I956" s="30">
        <v>695</v>
      </c>
      <c r="J956" s="30">
        <v>50</v>
      </c>
      <c r="K956" s="31"/>
      <c r="L956" s="31"/>
      <c r="M956" s="31"/>
      <c r="N956" s="31"/>
      <c r="O956" s="31"/>
      <c r="P956" s="31"/>
      <c r="Q956" s="31"/>
      <c r="R956" s="31"/>
      <c r="S956" s="31"/>
      <c r="T956" s="31"/>
    </row>
    <row r="957" spans="1:20" ht="15.75">
      <c r="A957" s="11">
        <v>70249</v>
      </c>
      <c r="B957" s="39">
        <f t="shared" si="5"/>
        <v>30</v>
      </c>
      <c r="C957" s="30">
        <v>141.29300000000001</v>
      </c>
      <c r="D957" s="30">
        <v>267.99299999999999</v>
      </c>
      <c r="E957" s="36">
        <v>829.71400000000006</v>
      </c>
      <c r="F957" s="30">
        <v>1239</v>
      </c>
      <c r="G957" s="30">
        <v>100</v>
      </c>
      <c r="H957" s="38">
        <v>600</v>
      </c>
      <c r="I957" s="30">
        <v>695</v>
      </c>
      <c r="J957" s="30">
        <v>50</v>
      </c>
      <c r="K957" s="31"/>
      <c r="L957" s="31"/>
      <c r="M957" s="31"/>
      <c r="N957" s="31"/>
      <c r="O957" s="31"/>
      <c r="P957" s="31"/>
      <c r="Q957" s="31"/>
      <c r="R957" s="31"/>
      <c r="S957" s="31"/>
      <c r="T957" s="31"/>
    </row>
    <row r="958" spans="1:20" ht="15.75">
      <c r="A958" s="11">
        <v>70280</v>
      </c>
      <c r="B958" s="39">
        <f t="shared" si="5"/>
        <v>31</v>
      </c>
      <c r="C958" s="30">
        <v>194.20500000000001</v>
      </c>
      <c r="D958" s="30">
        <v>267.46600000000001</v>
      </c>
      <c r="E958" s="36">
        <v>812.32899999999995</v>
      </c>
      <c r="F958" s="30">
        <v>1274</v>
      </c>
      <c r="G958" s="30">
        <v>75</v>
      </c>
      <c r="H958" s="38">
        <v>600</v>
      </c>
      <c r="I958" s="30">
        <v>695</v>
      </c>
      <c r="J958" s="30">
        <v>50</v>
      </c>
      <c r="K958" s="31"/>
      <c r="L958" s="31"/>
      <c r="M958" s="31"/>
      <c r="N958" s="31"/>
      <c r="O958" s="31"/>
      <c r="P958" s="31"/>
      <c r="Q958" s="31"/>
      <c r="R958" s="31"/>
      <c r="S958" s="31"/>
      <c r="T958" s="31"/>
    </row>
    <row r="959" spans="1:20" ht="15.75">
      <c r="A959" s="11">
        <v>70310</v>
      </c>
      <c r="B959" s="39">
        <f t="shared" si="5"/>
        <v>30</v>
      </c>
      <c r="C959" s="30">
        <v>194.20500000000001</v>
      </c>
      <c r="D959" s="30">
        <v>267.46600000000001</v>
      </c>
      <c r="E959" s="36">
        <v>812.32899999999995</v>
      </c>
      <c r="F959" s="30">
        <v>1274</v>
      </c>
      <c r="G959" s="30">
        <v>50</v>
      </c>
      <c r="H959" s="38">
        <v>600</v>
      </c>
      <c r="I959" s="30">
        <v>695</v>
      </c>
      <c r="J959" s="30">
        <v>50</v>
      </c>
      <c r="K959" s="31"/>
      <c r="L959" s="31"/>
      <c r="M959" s="31"/>
      <c r="N959" s="31"/>
      <c r="O959" s="31"/>
      <c r="P959" s="31"/>
      <c r="Q959" s="31"/>
      <c r="R959" s="31"/>
      <c r="S959" s="31"/>
      <c r="T959" s="31"/>
    </row>
    <row r="960" spans="1:20" ht="15.75">
      <c r="A960" s="11">
        <v>70341</v>
      </c>
      <c r="B960" s="39">
        <f t="shared" si="5"/>
        <v>31</v>
      </c>
      <c r="C960" s="30">
        <v>194.20500000000001</v>
      </c>
      <c r="D960" s="30">
        <v>267.46600000000001</v>
      </c>
      <c r="E960" s="36">
        <v>812.32899999999995</v>
      </c>
      <c r="F960" s="30">
        <v>1274</v>
      </c>
      <c r="G960" s="30">
        <v>50</v>
      </c>
      <c r="H960" s="38">
        <v>600</v>
      </c>
      <c r="I960" s="30">
        <v>695</v>
      </c>
      <c r="J960" s="30">
        <v>0</v>
      </c>
      <c r="K960" s="31"/>
      <c r="L960" s="31"/>
      <c r="M960" s="31"/>
      <c r="N960" s="31"/>
      <c r="O960" s="31"/>
      <c r="P960" s="31"/>
      <c r="Q960" s="31"/>
      <c r="R960" s="31"/>
      <c r="S960" s="31"/>
      <c r="T960" s="31"/>
    </row>
    <row r="961" spans="1:20" ht="15.75">
      <c r="A961" s="11">
        <v>70372</v>
      </c>
      <c r="B961" s="39">
        <f t="shared" si="5"/>
        <v>31</v>
      </c>
      <c r="C961" s="30">
        <v>194.20500000000001</v>
      </c>
      <c r="D961" s="30">
        <v>267.46600000000001</v>
      </c>
      <c r="E961" s="36">
        <v>812.32899999999995</v>
      </c>
      <c r="F961" s="30">
        <v>1274</v>
      </c>
      <c r="G961" s="30">
        <v>50</v>
      </c>
      <c r="H961" s="38">
        <v>600</v>
      </c>
      <c r="I961" s="30">
        <v>695</v>
      </c>
      <c r="J961" s="30">
        <v>0</v>
      </c>
      <c r="K961" s="31"/>
      <c r="L961" s="31"/>
      <c r="M961" s="31"/>
      <c r="N961" s="31"/>
      <c r="O961" s="31"/>
      <c r="P961" s="31"/>
      <c r="Q961" s="31"/>
      <c r="R961" s="31"/>
      <c r="S961" s="31"/>
      <c r="T961" s="31"/>
    </row>
    <row r="962" spans="1:20" ht="15.75">
      <c r="A962" s="11">
        <v>70402</v>
      </c>
      <c r="B962" s="39">
        <f t="shared" si="5"/>
        <v>30</v>
      </c>
      <c r="C962" s="30">
        <v>194.20500000000001</v>
      </c>
      <c r="D962" s="30">
        <v>267.46600000000001</v>
      </c>
      <c r="E962" s="36">
        <v>812.32899999999995</v>
      </c>
      <c r="F962" s="30">
        <v>1274</v>
      </c>
      <c r="G962" s="30">
        <v>50</v>
      </c>
      <c r="H962" s="38">
        <v>600</v>
      </c>
      <c r="I962" s="30">
        <v>695</v>
      </c>
      <c r="J962" s="30">
        <v>0</v>
      </c>
      <c r="K962" s="31"/>
      <c r="L962" s="31"/>
      <c r="M962" s="31"/>
      <c r="N962" s="31"/>
      <c r="O962" s="31"/>
      <c r="P962" s="31"/>
      <c r="Q962" s="31"/>
      <c r="R962" s="31"/>
      <c r="S962" s="31"/>
      <c r="T962" s="31"/>
    </row>
    <row r="963" spans="1:20" ht="15.75">
      <c r="A963" s="11">
        <v>70433</v>
      </c>
      <c r="B963" s="39">
        <f t="shared" si="5"/>
        <v>31</v>
      </c>
      <c r="C963" s="30">
        <v>131.881</v>
      </c>
      <c r="D963" s="30">
        <v>277.16699999999997</v>
      </c>
      <c r="E963" s="36">
        <v>829.952</v>
      </c>
      <c r="F963" s="30">
        <v>1239</v>
      </c>
      <c r="G963" s="30">
        <v>75</v>
      </c>
      <c r="H963" s="38">
        <v>600</v>
      </c>
      <c r="I963" s="30">
        <v>695</v>
      </c>
      <c r="J963" s="30">
        <v>0</v>
      </c>
      <c r="K963" s="31"/>
      <c r="L963" s="31"/>
      <c r="M963" s="31"/>
      <c r="N963" s="31"/>
      <c r="O963" s="31"/>
      <c r="P963" s="31"/>
      <c r="Q963" s="31"/>
      <c r="R963" s="31"/>
      <c r="S963" s="31"/>
      <c r="T963" s="31"/>
    </row>
    <row r="964" spans="1:20" ht="15.75">
      <c r="A964" s="11">
        <v>70463</v>
      </c>
      <c r="B964" s="39">
        <f t="shared" si="5"/>
        <v>30</v>
      </c>
      <c r="C964" s="30">
        <v>122.58</v>
      </c>
      <c r="D964" s="30">
        <v>297.94099999999997</v>
      </c>
      <c r="E964" s="36">
        <v>729.47900000000004</v>
      </c>
      <c r="F964" s="30">
        <v>1150</v>
      </c>
      <c r="G964" s="30">
        <v>100</v>
      </c>
      <c r="H964" s="38">
        <v>600</v>
      </c>
      <c r="I964" s="30">
        <v>695</v>
      </c>
      <c r="J964" s="30">
        <v>50</v>
      </c>
      <c r="K964" s="31"/>
      <c r="L964" s="31"/>
      <c r="M964" s="31"/>
      <c r="N964" s="31"/>
      <c r="O964" s="31"/>
      <c r="P964" s="31"/>
      <c r="Q964" s="31"/>
      <c r="R964" s="31"/>
      <c r="S964" s="31"/>
      <c r="T964" s="31"/>
    </row>
    <row r="965" spans="1:20" ht="15.75">
      <c r="A965" s="11">
        <v>70494</v>
      </c>
      <c r="B965" s="39">
        <f t="shared" si="5"/>
        <v>31</v>
      </c>
      <c r="C965" s="30">
        <v>122.58</v>
      </c>
      <c r="D965" s="30">
        <v>297.94099999999997</v>
      </c>
      <c r="E965" s="36">
        <v>729.47900000000004</v>
      </c>
      <c r="F965" s="30">
        <v>1150</v>
      </c>
      <c r="G965" s="30">
        <v>100</v>
      </c>
      <c r="H965" s="38">
        <v>600</v>
      </c>
      <c r="I965" s="30">
        <v>695</v>
      </c>
      <c r="J965" s="30">
        <v>50</v>
      </c>
      <c r="K965" s="31"/>
      <c r="L965" s="31"/>
      <c r="M965" s="31"/>
      <c r="N965" s="31"/>
      <c r="O965" s="31"/>
      <c r="P965" s="31"/>
      <c r="Q965" s="31"/>
      <c r="R965" s="31"/>
      <c r="S965" s="31"/>
      <c r="T965" s="31"/>
    </row>
    <row r="966" spans="1:20" ht="15.75">
      <c r="A966" s="11">
        <v>70525</v>
      </c>
      <c r="B966" s="39">
        <f t="shared" si="5"/>
        <v>31</v>
      </c>
      <c r="C966" s="30">
        <v>122.58</v>
      </c>
      <c r="D966" s="30">
        <v>297.94099999999997</v>
      </c>
      <c r="E966" s="36">
        <v>729.47900000000004</v>
      </c>
      <c r="F966" s="30">
        <v>1150</v>
      </c>
      <c r="G966" s="30">
        <v>100</v>
      </c>
      <c r="H966" s="38">
        <v>600</v>
      </c>
      <c r="I966" s="30">
        <v>695</v>
      </c>
      <c r="J966" s="30">
        <v>50</v>
      </c>
      <c r="K966" s="31"/>
      <c r="L966" s="31"/>
      <c r="M966" s="31"/>
      <c r="N966" s="31"/>
      <c r="O966" s="31"/>
      <c r="P966" s="31"/>
      <c r="Q966" s="31"/>
      <c r="R966" s="31"/>
      <c r="S966" s="31"/>
      <c r="T966" s="31"/>
    </row>
    <row r="967" spans="1:20" ht="15.75">
      <c r="A967" s="11">
        <v>70553</v>
      </c>
      <c r="B967" s="39">
        <f t="shared" si="5"/>
        <v>28</v>
      </c>
      <c r="C967" s="30">
        <v>122.58</v>
      </c>
      <c r="D967" s="30">
        <v>297.94099999999997</v>
      </c>
      <c r="E967" s="36">
        <v>729.47900000000004</v>
      </c>
      <c r="F967" s="30">
        <v>1150</v>
      </c>
      <c r="G967" s="30">
        <v>100</v>
      </c>
      <c r="H967" s="38">
        <v>600</v>
      </c>
      <c r="I967" s="30">
        <v>695</v>
      </c>
      <c r="J967" s="30">
        <v>50</v>
      </c>
      <c r="K967" s="31"/>
      <c r="L967" s="31"/>
      <c r="M967" s="31"/>
      <c r="N967" s="31"/>
      <c r="O967" s="31"/>
      <c r="P967" s="31"/>
      <c r="Q967" s="31"/>
      <c r="R967" s="31"/>
      <c r="S967" s="31"/>
      <c r="T967" s="31"/>
    </row>
    <row r="968" spans="1:20" ht="15.75">
      <c r="A968" s="11">
        <v>70584</v>
      </c>
      <c r="B968" s="39">
        <f t="shared" si="5"/>
        <v>31</v>
      </c>
      <c r="C968" s="30">
        <v>122.58</v>
      </c>
      <c r="D968" s="30">
        <v>297.94099999999997</v>
      </c>
      <c r="E968" s="36">
        <v>729.47900000000004</v>
      </c>
      <c r="F968" s="30">
        <v>1150</v>
      </c>
      <c r="G968" s="30">
        <v>100</v>
      </c>
      <c r="H968" s="38">
        <v>600</v>
      </c>
      <c r="I968" s="30">
        <v>695</v>
      </c>
      <c r="J968" s="30">
        <v>50</v>
      </c>
      <c r="K968" s="31"/>
      <c r="L968" s="31"/>
      <c r="M968" s="31"/>
      <c r="N968" s="31"/>
      <c r="O968" s="31"/>
      <c r="P968" s="31"/>
      <c r="Q968" s="31"/>
      <c r="R968" s="31"/>
      <c r="S968" s="31"/>
      <c r="T968" s="31"/>
    </row>
    <row r="969" spans="1:20" ht="15.75">
      <c r="A969" s="11">
        <v>70614</v>
      </c>
      <c r="B969" s="39">
        <f t="shared" si="5"/>
        <v>30</v>
      </c>
      <c r="C969" s="30">
        <v>141.29300000000001</v>
      </c>
      <c r="D969" s="30">
        <v>267.99299999999999</v>
      </c>
      <c r="E969" s="36">
        <v>829.71400000000006</v>
      </c>
      <c r="F969" s="30">
        <v>1239</v>
      </c>
      <c r="G969" s="30">
        <v>100</v>
      </c>
      <c r="H969" s="38">
        <v>600</v>
      </c>
      <c r="I969" s="30">
        <v>695</v>
      </c>
      <c r="J969" s="30">
        <v>50</v>
      </c>
      <c r="K969" s="31"/>
      <c r="L969" s="31"/>
      <c r="M969" s="31"/>
      <c r="N969" s="31"/>
      <c r="O969" s="31"/>
      <c r="P969" s="31"/>
      <c r="Q969" s="31"/>
      <c r="R969" s="31"/>
      <c r="S969" s="31"/>
      <c r="T969" s="31"/>
    </row>
    <row r="970" spans="1:20" ht="15.75">
      <c r="A970" s="11">
        <v>70645</v>
      </c>
      <c r="B970" s="39">
        <f t="shared" si="5"/>
        <v>31</v>
      </c>
      <c r="C970" s="30">
        <v>194.20500000000001</v>
      </c>
      <c r="D970" s="30">
        <v>267.46600000000001</v>
      </c>
      <c r="E970" s="36">
        <v>812.32899999999995</v>
      </c>
      <c r="F970" s="30">
        <v>1274</v>
      </c>
      <c r="G970" s="30">
        <v>75</v>
      </c>
      <c r="H970" s="38">
        <v>600</v>
      </c>
      <c r="I970" s="30">
        <v>695</v>
      </c>
      <c r="J970" s="30">
        <v>50</v>
      </c>
      <c r="K970" s="31"/>
      <c r="L970" s="31"/>
      <c r="M970" s="31"/>
      <c r="N970" s="31"/>
      <c r="O970" s="31"/>
      <c r="P970" s="31"/>
      <c r="Q970" s="31"/>
      <c r="R970" s="31"/>
      <c r="S970" s="31"/>
      <c r="T970" s="31"/>
    </row>
    <row r="971" spans="1:20" ht="15.75">
      <c r="A971" s="11">
        <v>70675</v>
      </c>
      <c r="B971" s="39">
        <f t="shared" si="5"/>
        <v>30</v>
      </c>
      <c r="C971" s="30">
        <v>194.20500000000001</v>
      </c>
      <c r="D971" s="30">
        <v>267.46600000000001</v>
      </c>
      <c r="E971" s="36">
        <v>812.32899999999995</v>
      </c>
      <c r="F971" s="30">
        <v>1274</v>
      </c>
      <c r="G971" s="30">
        <v>50</v>
      </c>
      <c r="H971" s="38">
        <v>600</v>
      </c>
      <c r="I971" s="30">
        <v>695</v>
      </c>
      <c r="J971" s="30">
        <v>50</v>
      </c>
      <c r="K971" s="31"/>
      <c r="L971" s="31"/>
      <c r="M971" s="31"/>
      <c r="N971" s="31"/>
      <c r="O971" s="31"/>
      <c r="P971" s="31"/>
      <c r="Q971" s="31"/>
      <c r="R971" s="31"/>
      <c r="S971" s="31"/>
      <c r="T971" s="31"/>
    </row>
    <row r="972" spans="1:20" ht="15.75">
      <c r="A972" s="11">
        <v>70706</v>
      </c>
      <c r="B972" s="39">
        <f t="shared" si="5"/>
        <v>31</v>
      </c>
      <c r="C972" s="30">
        <v>194.20500000000001</v>
      </c>
      <c r="D972" s="30">
        <v>267.46600000000001</v>
      </c>
      <c r="E972" s="36">
        <v>812.32899999999995</v>
      </c>
      <c r="F972" s="30">
        <v>1274</v>
      </c>
      <c r="G972" s="30">
        <v>50</v>
      </c>
      <c r="H972" s="38">
        <v>600</v>
      </c>
      <c r="I972" s="30">
        <v>695</v>
      </c>
      <c r="J972" s="30">
        <v>0</v>
      </c>
      <c r="K972" s="31"/>
      <c r="L972" s="31"/>
      <c r="M972" s="31"/>
      <c r="N972" s="31"/>
      <c r="O972" s="31"/>
      <c r="P972" s="31"/>
      <c r="Q972" s="31"/>
      <c r="R972" s="31"/>
      <c r="S972" s="31"/>
      <c r="T972" s="31"/>
    </row>
    <row r="973" spans="1:20" ht="15.75">
      <c r="A973" s="11">
        <v>70737</v>
      </c>
      <c r="B973" s="39">
        <f t="shared" si="5"/>
        <v>31</v>
      </c>
      <c r="C973" s="30">
        <v>194.20500000000001</v>
      </c>
      <c r="D973" s="30">
        <v>267.46600000000001</v>
      </c>
      <c r="E973" s="36">
        <v>812.32899999999995</v>
      </c>
      <c r="F973" s="30">
        <v>1274</v>
      </c>
      <c r="G973" s="30">
        <v>50</v>
      </c>
      <c r="H973" s="38">
        <v>600</v>
      </c>
      <c r="I973" s="30">
        <v>695</v>
      </c>
      <c r="J973" s="30">
        <v>0</v>
      </c>
      <c r="K973" s="31"/>
      <c r="L973" s="31"/>
      <c r="M973" s="31"/>
      <c r="N973" s="31"/>
      <c r="O973" s="31"/>
      <c r="P973" s="31"/>
      <c r="Q973" s="31"/>
      <c r="R973" s="31"/>
      <c r="S973" s="31"/>
      <c r="T973" s="31"/>
    </row>
    <row r="974" spans="1:20" ht="15.75">
      <c r="A974" s="11">
        <v>70767</v>
      </c>
      <c r="B974" s="39">
        <f t="shared" si="5"/>
        <v>30</v>
      </c>
      <c r="C974" s="30">
        <v>194.20500000000001</v>
      </c>
      <c r="D974" s="30">
        <v>267.46600000000001</v>
      </c>
      <c r="E974" s="36">
        <v>812.32899999999995</v>
      </c>
      <c r="F974" s="30">
        <v>1274</v>
      </c>
      <c r="G974" s="30">
        <v>50</v>
      </c>
      <c r="H974" s="38">
        <v>600</v>
      </c>
      <c r="I974" s="30">
        <v>695</v>
      </c>
      <c r="J974" s="30">
        <v>0</v>
      </c>
      <c r="K974" s="31"/>
      <c r="L974" s="31"/>
      <c r="M974" s="31"/>
      <c r="N974" s="31"/>
      <c r="O974" s="31"/>
      <c r="P974" s="31"/>
      <c r="Q974" s="31"/>
      <c r="R974" s="31"/>
      <c r="S974" s="31"/>
      <c r="T974" s="31"/>
    </row>
    <row r="975" spans="1:20" ht="15.75">
      <c r="A975" s="11">
        <v>70798</v>
      </c>
      <c r="B975" s="39">
        <f t="shared" si="5"/>
        <v>31</v>
      </c>
      <c r="C975" s="30">
        <v>131.881</v>
      </c>
      <c r="D975" s="30">
        <v>277.16699999999997</v>
      </c>
      <c r="E975" s="36">
        <v>829.952</v>
      </c>
      <c r="F975" s="30">
        <v>1239</v>
      </c>
      <c r="G975" s="30">
        <v>75</v>
      </c>
      <c r="H975" s="38">
        <v>600</v>
      </c>
      <c r="I975" s="30">
        <v>695</v>
      </c>
      <c r="J975" s="30">
        <v>0</v>
      </c>
      <c r="K975" s="31"/>
      <c r="L975" s="31"/>
      <c r="M975" s="31"/>
      <c r="N975" s="31"/>
      <c r="O975" s="31"/>
      <c r="P975" s="31"/>
      <c r="Q975" s="31"/>
      <c r="R975" s="31"/>
      <c r="S975" s="31"/>
      <c r="T975" s="31"/>
    </row>
    <row r="976" spans="1:20" ht="15.75">
      <c r="A976" s="11">
        <v>70828</v>
      </c>
      <c r="B976" s="39">
        <f t="shared" si="5"/>
        <v>30</v>
      </c>
      <c r="C976" s="30">
        <v>122.58</v>
      </c>
      <c r="D976" s="30">
        <v>297.94099999999997</v>
      </c>
      <c r="E976" s="36">
        <v>729.47900000000004</v>
      </c>
      <c r="F976" s="30">
        <v>1150</v>
      </c>
      <c r="G976" s="30">
        <v>100</v>
      </c>
      <c r="H976" s="38">
        <v>600</v>
      </c>
      <c r="I976" s="30">
        <v>695</v>
      </c>
      <c r="J976" s="30">
        <v>50</v>
      </c>
      <c r="K976" s="31"/>
      <c r="L976" s="31"/>
      <c r="M976" s="31"/>
      <c r="N976" s="31"/>
      <c r="O976" s="31"/>
      <c r="P976" s="31"/>
      <c r="Q976" s="31"/>
      <c r="R976" s="31"/>
      <c r="S976" s="31"/>
      <c r="T976" s="31"/>
    </row>
    <row r="977" spans="1:20" ht="15.75">
      <c r="A977" s="11">
        <v>70859</v>
      </c>
      <c r="B977" s="39">
        <f t="shared" si="5"/>
        <v>31</v>
      </c>
      <c r="C977" s="30">
        <v>122.58</v>
      </c>
      <c r="D977" s="30">
        <v>297.94099999999997</v>
      </c>
      <c r="E977" s="36">
        <v>729.47900000000004</v>
      </c>
      <c r="F977" s="30">
        <v>1150</v>
      </c>
      <c r="G977" s="30">
        <v>100</v>
      </c>
      <c r="H977" s="38">
        <v>600</v>
      </c>
      <c r="I977" s="30">
        <v>695</v>
      </c>
      <c r="J977" s="30">
        <v>50</v>
      </c>
      <c r="K977" s="31"/>
      <c r="L977" s="31"/>
      <c r="M977" s="31"/>
      <c r="N977" s="31"/>
      <c r="O977" s="31"/>
      <c r="P977" s="31"/>
      <c r="Q977" s="31"/>
      <c r="R977" s="31"/>
      <c r="S977" s="31"/>
      <c r="T977" s="31"/>
    </row>
    <row r="978" spans="1:20" ht="15.75">
      <c r="A978" s="11">
        <v>70890</v>
      </c>
      <c r="B978" s="39">
        <f t="shared" ref="B978:B1041" si="6">EOMONTH(A978,0)-EOMONTH(A978,-1)</f>
        <v>31</v>
      </c>
      <c r="C978" s="30">
        <v>122.58</v>
      </c>
      <c r="D978" s="30">
        <v>297.94099999999997</v>
      </c>
      <c r="E978" s="36">
        <v>729.47900000000004</v>
      </c>
      <c r="F978" s="30">
        <v>1150</v>
      </c>
      <c r="G978" s="30">
        <v>100</v>
      </c>
      <c r="H978" s="38">
        <v>600</v>
      </c>
      <c r="I978" s="30">
        <v>695</v>
      </c>
      <c r="J978" s="30">
        <v>50</v>
      </c>
      <c r="K978" s="31"/>
      <c r="L978" s="31"/>
      <c r="M978" s="31"/>
      <c r="N978" s="31"/>
      <c r="O978" s="31"/>
      <c r="P978" s="31"/>
      <c r="Q978" s="31"/>
      <c r="R978" s="31"/>
      <c r="S978" s="31"/>
      <c r="T978" s="31"/>
    </row>
    <row r="979" spans="1:20" ht="15.75">
      <c r="A979" s="11">
        <v>70918</v>
      </c>
      <c r="B979" s="39">
        <f t="shared" si="6"/>
        <v>28</v>
      </c>
      <c r="C979" s="30">
        <v>122.58</v>
      </c>
      <c r="D979" s="30">
        <v>297.94099999999997</v>
      </c>
      <c r="E979" s="36">
        <v>729.47900000000004</v>
      </c>
      <c r="F979" s="30">
        <v>1150</v>
      </c>
      <c r="G979" s="30">
        <v>100</v>
      </c>
      <c r="H979" s="38">
        <v>600</v>
      </c>
      <c r="I979" s="30">
        <v>695</v>
      </c>
      <c r="J979" s="30">
        <v>50</v>
      </c>
      <c r="K979" s="31"/>
      <c r="L979" s="31"/>
      <c r="M979" s="31"/>
      <c r="N979" s="31"/>
      <c r="O979" s="31"/>
      <c r="P979" s="31"/>
      <c r="Q979" s="31"/>
      <c r="R979" s="31"/>
      <c r="S979" s="31"/>
      <c r="T979" s="31"/>
    </row>
    <row r="980" spans="1:20" ht="15.75">
      <c r="A980" s="11">
        <v>70949</v>
      </c>
      <c r="B980" s="39">
        <f t="shared" si="6"/>
        <v>31</v>
      </c>
      <c r="C980" s="30">
        <v>122.58</v>
      </c>
      <c r="D980" s="30">
        <v>297.94099999999997</v>
      </c>
      <c r="E980" s="36">
        <v>729.47900000000004</v>
      </c>
      <c r="F980" s="30">
        <v>1150</v>
      </c>
      <c r="G980" s="30">
        <v>100</v>
      </c>
      <c r="H980" s="38">
        <v>600</v>
      </c>
      <c r="I980" s="30">
        <v>695</v>
      </c>
      <c r="J980" s="30">
        <v>50</v>
      </c>
      <c r="K980" s="31"/>
      <c r="L980" s="31"/>
      <c r="M980" s="31"/>
      <c r="N980" s="31"/>
      <c r="O980" s="31"/>
      <c r="P980" s="31"/>
      <c r="Q980" s="31"/>
      <c r="R980" s="31"/>
      <c r="S980" s="31"/>
      <c r="T980" s="31"/>
    </row>
    <row r="981" spans="1:20" ht="15.75">
      <c r="A981" s="11">
        <v>70979</v>
      </c>
      <c r="B981" s="39">
        <f t="shared" si="6"/>
        <v>30</v>
      </c>
      <c r="C981" s="30">
        <v>141.29300000000001</v>
      </c>
      <c r="D981" s="30">
        <v>267.99299999999999</v>
      </c>
      <c r="E981" s="36">
        <v>829.71400000000006</v>
      </c>
      <c r="F981" s="30">
        <v>1239</v>
      </c>
      <c r="G981" s="30">
        <v>100</v>
      </c>
      <c r="H981" s="38">
        <v>600</v>
      </c>
      <c r="I981" s="30">
        <v>695</v>
      </c>
      <c r="J981" s="30">
        <v>50</v>
      </c>
      <c r="K981" s="31"/>
      <c r="L981" s="31"/>
      <c r="M981" s="31"/>
      <c r="N981" s="31"/>
      <c r="O981" s="31"/>
      <c r="P981" s="31"/>
      <c r="Q981" s="31"/>
      <c r="R981" s="31"/>
      <c r="S981" s="31"/>
      <c r="T981" s="31"/>
    </row>
    <row r="982" spans="1:20" ht="15.75">
      <c r="A982" s="11">
        <v>71010</v>
      </c>
      <c r="B982" s="39">
        <f t="shared" si="6"/>
        <v>31</v>
      </c>
      <c r="C982" s="30">
        <v>194.20500000000001</v>
      </c>
      <c r="D982" s="30">
        <v>267.46600000000001</v>
      </c>
      <c r="E982" s="36">
        <v>812.32899999999995</v>
      </c>
      <c r="F982" s="30">
        <v>1274</v>
      </c>
      <c r="G982" s="30">
        <v>75</v>
      </c>
      <c r="H982" s="38">
        <v>600</v>
      </c>
      <c r="I982" s="30">
        <v>695</v>
      </c>
      <c r="J982" s="30">
        <v>50</v>
      </c>
      <c r="K982" s="31"/>
      <c r="L982" s="31"/>
      <c r="M982" s="31"/>
      <c r="N982" s="31"/>
      <c r="O982" s="31"/>
      <c r="P982" s="31"/>
      <c r="Q982" s="31"/>
      <c r="R982" s="31"/>
      <c r="S982" s="31"/>
      <c r="T982" s="31"/>
    </row>
    <row r="983" spans="1:20" ht="15.75">
      <c r="A983" s="11">
        <v>71040</v>
      </c>
      <c r="B983" s="39">
        <f t="shared" si="6"/>
        <v>30</v>
      </c>
      <c r="C983" s="30">
        <v>194.20500000000001</v>
      </c>
      <c r="D983" s="30">
        <v>267.46600000000001</v>
      </c>
      <c r="E983" s="36">
        <v>812.32899999999995</v>
      </c>
      <c r="F983" s="30">
        <v>1274</v>
      </c>
      <c r="G983" s="30">
        <v>50</v>
      </c>
      <c r="H983" s="38">
        <v>600</v>
      </c>
      <c r="I983" s="30">
        <v>695</v>
      </c>
      <c r="J983" s="30">
        <v>50</v>
      </c>
      <c r="K983" s="31"/>
      <c r="L983" s="31"/>
      <c r="M983" s="31"/>
      <c r="N983" s="31"/>
      <c r="O983" s="31"/>
      <c r="P983" s="31"/>
      <c r="Q983" s="31"/>
      <c r="R983" s="31"/>
      <c r="S983" s="31"/>
      <c r="T983" s="31"/>
    </row>
    <row r="984" spans="1:20" ht="15.75">
      <c r="A984" s="11">
        <v>71071</v>
      </c>
      <c r="B984" s="39">
        <f t="shared" si="6"/>
        <v>31</v>
      </c>
      <c r="C984" s="30">
        <v>194.20500000000001</v>
      </c>
      <c r="D984" s="30">
        <v>267.46600000000001</v>
      </c>
      <c r="E984" s="36">
        <v>812.32899999999995</v>
      </c>
      <c r="F984" s="30">
        <v>1274</v>
      </c>
      <c r="G984" s="30">
        <v>50</v>
      </c>
      <c r="H984" s="38">
        <v>600</v>
      </c>
      <c r="I984" s="30">
        <v>695</v>
      </c>
      <c r="J984" s="30">
        <v>0</v>
      </c>
      <c r="K984" s="31"/>
      <c r="L984" s="31"/>
      <c r="M984" s="31"/>
      <c r="N984" s="31"/>
      <c r="O984" s="31"/>
      <c r="P984" s="31"/>
      <c r="Q984" s="31"/>
      <c r="R984" s="31"/>
      <c r="S984" s="31"/>
      <c r="T984" s="31"/>
    </row>
    <row r="985" spans="1:20" ht="15.75">
      <c r="A985" s="11">
        <v>71102</v>
      </c>
      <c r="B985" s="39">
        <f t="shared" si="6"/>
        <v>31</v>
      </c>
      <c r="C985" s="30">
        <v>194.20500000000001</v>
      </c>
      <c r="D985" s="30">
        <v>267.46600000000001</v>
      </c>
      <c r="E985" s="36">
        <v>812.32899999999995</v>
      </c>
      <c r="F985" s="30">
        <v>1274</v>
      </c>
      <c r="G985" s="30">
        <v>50</v>
      </c>
      <c r="H985" s="38">
        <v>600</v>
      </c>
      <c r="I985" s="30">
        <v>695</v>
      </c>
      <c r="J985" s="30">
        <v>0</v>
      </c>
      <c r="K985" s="31"/>
      <c r="L985" s="31"/>
      <c r="M985" s="31"/>
      <c r="N985" s="31"/>
      <c r="O985" s="31"/>
      <c r="P985" s="31"/>
      <c r="Q985" s="31"/>
      <c r="R985" s="31"/>
      <c r="S985" s="31"/>
      <c r="T985" s="31"/>
    </row>
    <row r="986" spans="1:20" ht="15.75">
      <c r="A986" s="11">
        <v>71132</v>
      </c>
      <c r="B986" s="39">
        <f t="shared" si="6"/>
        <v>30</v>
      </c>
      <c r="C986" s="30">
        <v>194.20500000000001</v>
      </c>
      <c r="D986" s="30">
        <v>267.46600000000001</v>
      </c>
      <c r="E986" s="36">
        <v>812.32899999999995</v>
      </c>
      <c r="F986" s="30">
        <v>1274</v>
      </c>
      <c r="G986" s="30">
        <v>50</v>
      </c>
      <c r="H986" s="38">
        <v>600</v>
      </c>
      <c r="I986" s="30">
        <v>695</v>
      </c>
      <c r="J986" s="30">
        <v>0</v>
      </c>
      <c r="K986" s="31"/>
      <c r="L986" s="31"/>
      <c r="M986" s="31"/>
      <c r="N986" s="31"/>
      <c r="O986" s="31"/>
      <c r="P986" s="31"/>
      <c r="Q986" s="31"/>
      <c r="R986" s="31"/>
      <c r="S986" s="31"/>
      <c r="T986" s="31"/>
    </row>
    <row r="987" spans="1:20" ht="15.75">
      <c r="A987" s="11">
        <v>71163</v>
      </c>
      <c r="B987" s="39">
        <f t="shared" si="6"/>
        <v>31</v>
      </c>
      <c r="C987" s="30">
        <v>131.881</v>
      </c>
      <c r="D987" s="30">
        <v>277.16699999999997</v>
      </c>
      <c r="E987" s="36">
        <v>829.952</v>
      </c>
      <c r="F987" s="30">
        <v>1239</v>
      </c>
      <c r="G987" s="30">
        <v>75</v>
      </c>
      <c r="H987" s="38">
        <v>600</v>
      </c>
      <c r="I987" s="30">
        <v>695</v>
      </c>
      <c r="J987" s="30">
        <v>0</v>
      </c>
      <c r="K987" s="31"/>
      <c r="L987" s="31"/>
      <c r="M987" s="31"/>
      <c r="N987" s="31"/>
      <c r="O987" s="31"/>
      <c r="P987" s="31"/>
      <c r="Q987" s="31"/>
      <c r="R987" s="31"/>
      <c r="S987" s="31"/>
      <c r="T987" s="31"/>
    </row>
    <row r="988" spans="1:20" ht="15.75">
      <c r="A988" s="11">
        <v>71193</v>
      </c>
      <c r="B988" s="39">
        <f t="shared" si="6"/>
        <v>30</v>
      </c>
      <c r="C988" s="30">
        <v>122.58</v>
      </c>
      <c r="D988" s="30">
        <v>297.94099999999997</v>
      </c>
      <c r="E988" s="36">
        <v>729.47900000000004</v>
      </c>
      <c r="F988" s="30">
        <v>1150</v>
      </c>
      <c r="G988" s="30">
        <v>100</v>
      </c>
      <c r="H988" s="38">
        <v>600</v>
      </c>
      <c r="I988" s="30">
        <v>695</v>
      </c>
      <c r="J988" s="30">
        <v>50</v>
      </c>
      <c r="K988" s="31"/>
      <c r="L988" s="31"/>
      <c r="M988" s="31"/>
      <c r="N988" s="31"/>
      <c r="O988" s="31"/>
      <c r="P988" s="31"/>
      <c r="Q988" s="31"/>
      <c r="R988" s="31"/>
      <c r="S988" s="31"/>
      <c r="T988" s="31"/>
    </row>
    <row r="989" spans="1:20" ht="15.75">
      <c r="A989" s="11">
        <v>71224</v>
      </c>
      <c r="B989" s="39">
        <f t="shared" si="6"/>
        <v>31</v>
      </c>
      <c r="C989" s="30">
        <v>122.58</v>
      </c>
      <c r="D989" s="30">
        <v>297.94099999999997</v>
      </c>
      <c r="E989" s="36">
        <v>729.47900000000004</v>
      </c>
      <c r="F989" s="30">
        <v>1150</v>
      </c>
      <c r="G989" s="30">
        <v>100</v>
      </c>
      <c r="H989" s="38">
        <v>600</v>
      </c>
      <c r="I989" s="30">
        <v>695</v>
      </c>
      <c r="J989" s="30">
        <v>50</v>
      </c>
      <c r="K989" s="31"/>
      <c r="L989" s="31"/>
      <c r="M989" s="31"/>
      <c r="N989" s="31"/>
      <c r="O989" s="31"/>
      <c r="P989" s="31"/>
      <c r="Q989" s="31"/>
      <c r="R989" s="31"/>
      <c r="S989" s="31"/>
      <c r="T989" s="31"/>
    </row>
    <row r="990" spans="1:20" ht="15.75">
      <c r="A990" s="11">
        <v>71255</v>
      </c>
      <c r="B990" s="39">
        <f t="shared" si="6"/>
        <v>31</v>
      </c>
      <c r="C990" s="30">
        <v>122.58</v>
      </c>
      <c r="D990" s="30">
        <v>297.94099999999997</v>
      </c>
      <c r="E990" s="36">
        <v>729.47900000000004</v>
      </c>
      <c r="F990" s="30">
        <v>1150</v>
      </c>
      <c r="G990" s="30">
        <v>100</v>
      </c>
      <c r="H990" s="38">
        <v>600</v>
      </c>
      <c r="I990" s="30">
        <v>695</v>
      </c>
      <c r="J990" s="30">
        <v>50</v>
      </c>
      <c r="K990" s="31"/>
      <c r="L990" s="31"/>
      <c r="M990" s="31"/>
      <c r="N990" s="31"/>
      <c r="O990" s="31"/>
      <c r="P990" s="31"/>
      <c r="Q990" s="31"/>
      <c r="R990" s="31"/>
      <c r="S990" s="31"/>
      <c r="T990" s="31"/>
    </row>
    <row r="991" spans="1:20" ht="15.75">
      <c r="A991" s="11">
        <v>71283</v>
      </c>
      <c r="B991" s="39">
        <f t="shared" si="6"/>
        <v>28</v>
      </c>
      <c r="C991" s="30">
        <v>122.58</v>
      </c>
      <c r="D991" s="30">
        <v>297.94099999999997</v>
      </c>
      <c r="E991" s="36">
        <v>729.47900000000004</v>
      </c>
      <c r="F991" s="30">
        <v>1150</v>
      </c>
      <c r="G991" s="30">
        <v>100</v>
      </c>
      <c r="H991" s="38">
        <v>600</v>
      </c>
      <c r="I991" s="30">
        <v>695</v>
      </c>
      <c r="J991" s="30">
        <v>50</v>
      </c>
      <c r="K991" s="31"/>
      <c r="L991" s="31"/>
      <c r="M991" s="31"/>
      <c r="N991" s="31"/>
      <c r="O991" s="31"/>
      <c r="P991" s="31"/>
      <c r="Q991" s="31"/>
      <c r="R991" s="31"/>
      <c r="S991" s="31"/>
      <c r="T991" s="31"/>
    </row>
    <row r="992" spans="1:20" ht="15.75">
      <c r="A992" s="11">
        <v>71314</v>
      </c>
      <c r="B992" s="39">
        <f t="shared" si="6"/>
        <v>31</v>
      </c>
      <c r="C992" s="30">
        <v>122.58</v>
      </c>
      <c r="D992" s="30">
        <v>297.94099999999997</v>
      </c>
      <c r="E992" s="36">
        <v>729.47900000000004</v>
      </c>
      <c r="F992" s="30">
        <v>1150</v>
      </c>
      <c r="G992" s="30">
        <v>100</v>
      </c>
      <c r="H992" s="38">
        <v>600</v>
      </c>
      <c r="I992" s="30">
        <v>695</v>
      </c>
      <c r="J992" s="30">
        <v>50</v>
      </c>
      <c r="K992" s="31"/>
      <c r="L992" s="31"/>
      <c r="M992" s="31"/>
      <c r="N992" s="31"/>
      <c r="O992" s="31"/>
      <c r="P992" s="31"/>
      <c r="Q992" s="31"/>
      <c r="R992" s="31"/>
      <c r="S992" s="31"/>
      <c r="T992" s="31"/>
    </row>
    <row r="993" spans="1:20" ht="15.75">
      <c r="A993" s="11">
        <v>71344</v>
      </c>
      <c r="B993" s="39">
        <f t="shared" si="6"/>
        <v>30</v>
      </c>
      <c r="C993" s="30">
        <v>141.29300000000001</v>
      </c>
      <c r="D993" s="30">
        <v>267.99299999999999</v>
      </c>
      <c r="E993" s="36">
        <v>829.71400000000006</v>
      </c>
      <c r="F993" s="30">
        <v>1239</v>
      </c>
      <c r="G993" s="30">
        <v>100</v>
      </c>
      <c r="H993" s="38">
        <v>600</v>
      </c>
      <c r="I993" s="30">
        <v>695</v>
      </c>
      <c r="J993" s="30">
        <v>50</v>
      </c>
      <c r="K993" s="31"/>
      <c r="L993" s="31"/>
      <c r="M993" s="31"/>
      <c r="N993" s="31"/>
      <c r="O993" s="31"/>
      <c r="P993" s="31"/>
      <c r="Q993" s="31"/>
      <c r="R993" s="31"/>
      <c r="S993" s="31"/>
      <c r="T993" s="31"/>
    </row>
    <row r="994" spans="1:20" ht="15.75">
      <c r="A994" s="11">
        <v>71375</v>
      </c>
      <c r="B994" s="39">
        <f t="shared" si="6"/>
        <v>31</v>
      </c>
      <c r="C994" s="30">
        <v>194.20500000000001</v>
      </c>
      <c r="D994" s="30">
        <v>267.46600000000001</v>
      </c>
      <c r="E994" s="36">
        <v>812.32899999999995</v>
      </c>
      <c r="F994" s="30">
        <v>1274</v>
      </c>
      <c r="G994" s="30">
        <v>75</v>
      </c>
      <c r="H994" s="38">
        <v>600</v>
      </c>
      <c r="I994" s="30">
        <v>695</v>
      </c>
      <c r="J994" s="30">
        <v>50</v>
      </c>
      <c r="K994" s="31"/>
      <c r="L994" s="31"/>
      <c r="M994" s="31"/>
      <c r="N994" s="31"/>
      <c r="O994" s="31"/>
      <c r="P994" s="31"/>
      <c r="Q994" s="31"/>
      <c r="R994" s="31"/>
      <c r="S994" s="31"/>
      <c r="T994" s="31"/>
    </row>
    <row r="995" spans="1:20" ht="15.75">
      <c r="A995" s="11">
        <v>71405</v>
      </c>
      <c r="B995" s="39">
        <f t="shared" si="6"/>
        <v>30</v>
      </c>
      <c r="C995" s="30">
        <v>194.20500000000001</v>
      </c>
      <c r="D995" s="30">
        <v>267.46600000000001</v>
      </c>
      <c r="E995" s="36">
        <v>812.32899999999995</v>
      </c>
      <c r="F995" s="30">
        <v>1274</v>
      </c>
      <c r="G995" s="30">
        <v>50</v>
      </c>
      <c r="H995" s="38">
        <v>600</v>
      </c>
      <c r="I995" s="30">
        <v>695</v>
      </c>
      <c r="J995" s="30">
        <v>50</v>
      </c>
      <c r="K995" s="31"/>
      <c r="L995" s="31"/>
      <c r="M995" s="31"/>
      <c r="N995" s="31"/>
      <c r="O995" s="31"/>
      <c r="P995" s="31"/>
      <c r="Q995" s="31"/>
      <c r="R995" s="31"/>
      <c r="S995" s="31"/>
      <c r="T995" s="31"/>
    </row>
    <row r="996" spans="1:20" ht="15.75">
      <c r="A996" s="11">
        <v>71436</v>
      </c>
      <c r="B996" s="39">
        <f t="shared" si="6"/>
        <v>31</v>
      </c>
      <c r="C996" s="30">
        <v>194.20500000000001</v>
      </c>
      <c r="D996" s="30">
        <v>267.46600000000001</v>
      </c>
      <c r="E996" s="36">
        <v>812.32899999999995</v>
      </c>
      <c r="F996" s="30">
        <v>1274</v>
      </c>
      <c r="G996" s="30">
        <v>50</v>
      </c>
      <c r="H996" s="38">
        <v>600</v>
      </c>
      <c r="I996" s="30">
        <v>695</v>
      </c>
      <c r="J996" s="30">
        <v>0</v>
      </c>
      <c r="K996" s="31"/>
      <c r="L996" s="31"/>
      <c r="M996" s="31"/>
      <c r="N996" s="31"/>
      <c r="O996" s="31"/>
      <c r="P996" s="31"/>
      <c r="Q996" s="31"/>
      <c r="R996" s="31"/>
      <c r="S996" s="31"/>
      <c r="T996" s="31"/>
    </row>
    <row r="997" spans="1:20" ht="15.75">
      <c r="A997" s="11">
        <v>71467</v>
      </c>
      <c r="B997" s="39">
        <f t="shared" si="6"/>
        <v>31</v>
      </c>
      <c r="C997" s="30">
        <v>194.20500000000001</v>
      </c>
      <c r="D997" s="30">
        <v>267.46600000000001</v>
      </c>
      <c r="E997" s="36">
        <v>812.32899999999995</v>
      </c>
      <c r="F997" s="30">
        <v>1274</v>
      </c>
      <c r="G997" s="30">
        <v>50</v>
      </c>
      <c r="H997" s="38">
        <v>600</v>
      </c>
      <c r="I997" s="30">
        <v>695</v>
      </c>
      <c r="J997" s="30">
        <v>0</v>
      </c>
      <c r="K997" s="31"/>
      <c r="L997" s="31"/>
      <c r="M997" s="31"/>
      <c r="N997" s="31"/>
      <c r="O997" s="31"/>
      <c r="P997" s="31"/>
      <c r="Q997" s="31"/>
      <c r="R997" s="31"/>
      <c r="S997" s="31"/>
      <c r="T997" s="31"/>
    </row>
    <row r="998" spans="1:20" ht="15.75">
      <c r="A998" s="11">
        <v>71497</v>
      </c>
      <c r="B998" s="39">
        <f t="shared" si="6"/>
        <v>30</v>
      </c>
      <c r="C998" s="30">
        <v>194.20500000000001</v>
      </c>
      <c r="D998" s="30">
        <v>267.46600000000001</v>
      </c>
      <c r="E998" s="36">
        <v>812.32899999999995</v>
      </c>
      <c r="F998" s="30">
        <v>1274</v>
      </c>
      <c r="G998" s="30">
        <v>50</v>
      </c>
      <c r="H998" s="38">
        <v>600</v>
      </c>
      <c r="I998" s="30">
        <v>695</v>
      </c>
      <c r="J998" s="30">
        <v>0</v>
      </c>
      <c r="K998" s="31"/>
      <c r="L998" s="31"/>
      <c r="M998" s="31"/>
      <c r="N998" s="31"/>
      <c r="O998" s="31"/>
      <c r="P998" s="31"/>
      <c r="Q998" s="31"/>
      <c r="R998" s="31"/>
      <c r="S998" s="31"/>
      <c r="T998" s="31"/>
    </row>
    <row r="999" spans="1:20" ht="15.75">
      <c r="A999" s="11">
        <v>71528</v>
      </c>
      <c r="B999" s="39">
        <f t="shared" si="6"/>
        <v>31</v>
      </c>
      <c r="C999" s="30">
        <v>131.881</v>
      </c>
      <c r="D999" s="30">
        <v>277.16699999999997</v>
      </c>
      <c r="E999" s="36">
        <v>829.952</v>
      </c>
      <c r="F999" s="30">
        <v>1239</v>
      </c>
      <c r="G999" s="30">
        <v>75</v>
      </c>
      <c r="H999" s="38">
        <v>600</v>
      </c>
      <c r="I999" s="30">
        <v>695</v>
      </c>
      <c r="J999" s="30">
        <v>0</v>
      </c>
      <c r="K999" s="31"/>
      <c r="L999" s="31"/>
      <c r="M999" s="31"/>
      <c r="N999" s="31"/>
      <c r="O999" s="31"/>
      <c r="P999" s="31"/>
      <c r="Q999" s="31"/>
      <c r="R999" s="31"/>
      <c r="S999" s="31"/>
      <c r="T999" s="31"/>
    </row>
    <row r="1000" spans="1:20" ht="15.75">
      <c r="A1000" s="11">
        <v>71558</v>
      </c>
      <c r="B1000" s="39">
        <f t="shared" si="6"/>
        <v>30</v>
      </c>
      <c r="C1000" s="30">
        <v>122.58</v>
      </c>
      <c r="D1000" s="30">
        <v>297.94099999999997</v>
      </c>
      <c r="E1000" s="36">
        <v>729.47900000000004</v>
      </c>
      <c r="F1000" s="30">
        <v>1150</v>
      </c>
      <c r="G1000" s="30">
        <v>100</v>
      </c>
      <c r="H1000" s="38">
        <v>600</v>
      </c>
      <c r="I1000" s="30">
        <v>695</v>
      </c>
      <c r="J1000" s="30">
        <v>50</v>
      </c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</row>
    <row r="1001" spans="1:20" ht="15.75">
      <c r="A1001" s="11">
        <v>71589</v>
      </c>
      <c r="B1001" s="39">
        <f t="shared" si="6"/>
        <v>31</v>
      </c>
      <c r="C1001" s="30">
        <v>122.58</v>
      </c>
      <c r="D1001" s="30">
        <v>297.94099999999997</v>
      </c>
      <c r="E1001" s="36">
        <v>729.47900000000004</v>
      </c>
      <c r="F1001" s="30">
        <v>1150</v>
      </c>
      <c r="G1001" s="30">
        <v>100</v>
      </c>
      <c r="H1001" s="38">
        <v>600</v>
      </c>
      <c r="I1001" s="30">
        <v>695</v>
      </c>
      <c r="J1001" s="30">
        <v>50</v>
      </c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</row>
    <row r="1002" spans="1:20" ht="15.75">
      <c r="A1002" s="11">
        <v>71620</v>
      </c>
      <c r="B1002" s="39">
        <f t="shared" si="6"/>
        <v>31</v>
      </c>
      <c r="C1002" s="30">
        <v>122.58</v>
      </c>
      <c r="D1002" s="30">
        <v>297.94099999999997</v>
      </c>
      <c r="E1002" s="36">
        <v>729.47900000000004</v>
      </c>
      <c r="F1002" s="30">
        <v>1150</v>
      </c>
      <c r="G1002" s="30">
        <v>100</v>
      </c>
      <c r="H1002" s="38">
        <v>600</v>
      </c>
      <c r="I1002" s="30">
        <v>695</v>
      </c>
      <c r="J1002" s="30">
        <v>50</v>
      </c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</row>
    <row r="1003" spans="1:20" ht="15.75">
      <c r="A1003" s="11">
        <v>71649</v>
      </c>
      <c r="B1003" s="39">
        <f t="shared" si="6"/>
        <v>29</v>
      </c>
      <c r="C1003" s="30">
        <v>122.58</v>
      </c>
      <c r="D1003" s="30">
        <v>297.94099999999997</v>
      </c>
      <c r="E1003" s="36">
        <v>729.47900000000004</v>
      </c>
      <c r="F1003" s="30">
        <v>1150</v>
      </c>
      <c r="G1003" s="30">
        <v>100</v>
      </c>
      <c r="H1003" s="38">
        <v>600</v>
      </c>
      <c r="I1003" s="30">
        <v>695</v>
      </c>
      <c r="J1003" s="30">
        <v>50</v>
      </c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</row>
    <row r="1004" spans="1:20" ht="15.75">
      <c r="A1004" s="11">
        <v>71680</v>
      </c>
      <c r="B1004" s="39">
        <f t="shared" si="6"/>
        <v>31</v>
      </c>
      <c r="C1004" s="30">
        <v>122.58</v>
      </c>
      <c r="D1004" s="30">
        <v>297.94099999999997</v>
      </c>
      <c r="E1004" s="36">
        <v>729.47900000000004</v>
      </c>
      <c r="F1004" s="30">
        <v>1150</v>
      </c>
      <c r="G1004" s="30">
        <v>100</v>
      </c>
      <c r="H1004" s="38">
        <v>600</v>
      </c>
      <c r="I1004" s="30">
        <v>695</v>
      </c>
      <c r="J1004" s="30">
        <v>50</v>
      </c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</row>
    <row r="1005" spans="1:20" ht="15.75">
      <c r="A1005" s="11">
        <v>71710</v>
      </c>
      <c r="B1005" s="39">
        <f t="shared" si="6"/>
        <v>30</v>
      </c>
      <c r="C1005" s="30">
        <v>141.29300000000001</v>
      </c>
      <c r="D1005" s="30">
        <v>267.99299999999999</v>
      </c>
      <c r="E1005" s="36">
        <v>829.71400000000006</v>
      </c>
      <c r="F1005" s="30">
        <v>1239</v>
      </c>
      <c r="G1005" s="30">
        <v>100</v>
      </c>
      <c r="H1005" s="38">
        <v>600</v>
      </c>
      <c r="I1005" s="30">
        <v>695</v>
      </c>
      <c r="J1005" s="30">
        <v>50</v>
      </c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</row>
    <row r="1006" spans="1:20" ht="15.75">
      <c r="A1006" s="11">
        <v>71741</v>
      </c>
      <c r="B1006" s="39">
        <f t="shared" si="6"/>
        <v>31</v>
      </c>
      <c r="C1006" s="30">
        <v>194.20500000000001</v>
      </c>
      <c r="D1006" s="30">
        <v>267.46600000000001</v>
      </c>
      <c r="E1006" s="36">
        <v>812.32899999999995</v>
      </c>
      <c r="F1006" s="30">
        <v>1274</v>
      </c>
      <c r="G1006" s="30">
        <v>75</v>
      </c>
      <c r="H1006" s="38">
        <v>600</v>
      </c>
      <c r="I1006" s="30">
        <v>695</v>
      </c>
      <c r="J1006" s="30">
        <v>50</v>
      </c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</row>
    <row r="1007" spans="1:20" ht="15.75">
      <c r="A1007" s="11">
        <v>71771</v>
      </c>
      <c r="B1007" s="39">
        <f t="shared" si="6"/>
        <v>30</v>
      </c>
      <c r="C1007" s="30">
        <v>194.20500000000001</v>
      </c>
      <c r="D1007" s="30">
        <v>267.46600000000001</v>
      </c>
      <c r="E1007" s="36">
        <v>812.32899999999995</v>
      </c>
      <c r="F1007" s="30">
        <v>1274</v>
      </c>
      <c r="G1007" s="30">
        <v>50</v>
      </c>
      <c r="H1007" s="38">
        <v>600</v>
      </c>
      <c r="I1007" s="30">
        <v>695</v>
      </c>
      <c r="J1007" s="30">
        <v>50</v>
      </c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</row>
    <row r="1008" spans="1:20" ht="15.75">
      <c r="A1008" s="11">
        <v>71802</v>
      </c>
      <c r="B1008" s="39">
        <f t="shared" si="6"/>
        <v>31</v>
      </c>
      <c r="C1008" s="30">
        <v>194.20500000000001</v>
      </c>
      <c r="D1008" s="30">
        <v>267.46600000000001</v>
      </c>
      <c r="E1008" s="36">
        <v>812.32899999999995</v>
      </c>
      <c r="F1008" s="30">
        <v>1274</v>
      </c>
      <c r="G1008" s="30">
        <v>50</v>
      </c>
      <c r="H1008" s="38">
        <v>600</v>
      </c>
      <c r="I1008" s="30">
        <v>695</v>
      </c>
      <c r="J1008" s="30">
        <v>0</v>
      </c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</row>
    <row r="1009" spans="1:20" ht="15.75">
      <c r="A1009" s="11">
        <v>71833</v>
      </c>
      <c r="B1009" s="39">
        <f t="shared" si="6"/>
        <v>31</v>
      </c>
      <c r="C1009" s="30">
        <v>194.20500000000001</v>
      </c>
      <c r="D1009" s="30">
        <v>267.46600000000001</v>
      </c>
      <c r="E1009" s="36">
        <v>812.32899999999995</v>
      </c>
      <c r="F1009" s="30">
        <v>1274</v>
      </c>
      <c r="G1009" s="30">
        <v>50</v>
      </c>
      <c r="H1009" s="38">
        <v>600</v>
      </c>
      <c r="I1009" s="30">
        <v>695</v>
      </c>
      <c r="J1009" s="30">
        <v>0</v>
      </c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</row>
    <row r="1010" spans="1:20" ht="15.75">
      <c r="A1010" s="11">
        <v>71863</v>
      </c>
      <c r="B1010" s="39">
        <f t="shared" si="6"/>
        <v>30</v>
      </c>
      <c r="C1010" s="30">
        <v>194.20500000000001</v>
      </c>
      <c r="D1010" s="30">
        <v>267.46600000000001</v>
      </c>
      <c r="E1010" s="36">
        <v>812.32899999999995</v>
      </c>
      <c r="F1010" s="30">
        <v>1274</v>
      </c>
      <c r="G1010" s="30">
        <v>50</v>
      </c>
      <c r="H1010" s="38">
        <v>600</v>
      </c>
      <c r="I1010" s="30">
        <v>695</v>
      </c>
      <c r="J1010" s="30">
        <v>0</v>
      </c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</row>
    <row r="1011" spans="1:20" ht="15.75">
      <c r="A1011" s="11">
        <v>71894</v>
      </c>
      <c r="B1011" s="39">
        <f t="shared" si="6"/>
        <v>31</v>
      </c>
      <c r="C1011" s="30">
        <v>131.881</v>
      </c>
      <c r="D1011" s="30">
        <v>277.16699999999997</v>
      </c>
      <c r="E1011" s="36">
        <v>829.952</v>
      </c>
      <c r="F1011" s="30">
        <v>1239</v>
      </c>
      <c r="G1011" s="30">
        <v>75</v>
      </c>
      <c r="H1011" s="38">
        <v>600</v>
      </c>
      <c r="I1011" s="30">
        <v>695</v>
      </c>
      <c r="J1011" s="30">
        <v>0</v>
      </c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</row>
    <row r="1012" spans="1:20" ht="15.75">
      <c r="A1012" s="11">
        <v>71924</v>
      </c>
      <c r="B1012" s="39">
        <f t="shared" si="6"/>
        <v>30</v>
      </c>
      <c r="C1012" s="30">
        <v>122.58</v>
      </c>
      <c r="D1012" s="30">
        <v>297.94099999999997</v>
      </c>
      <c r="E1012" s="36">
        <v>729.47900000000004</v>
      </c>
      <c r="F1012" s="30">
        <v>1150</v>
      </c>
      <c r="G1012" s="30">
        <v>100</v>
      </c>
      <c r="H1012" s="38">
        <v>600</v>
      </c>
      <c r="I1012" s="30">
        <v>695</v>
      </c>
      <c r="J1012" s="30">
        <v>50</v>
      </c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</row>
    <row r="1013" spans="1:20" ht="15.75">
      <c r="A1013" s="11">
        <v>71955</v>
      </c>
      <c r="B1013" s="39">
        <f t="shared" si="6"/>
        <v>31</v>
      </c>
      <c r="C1013" s="30">
        <v>122.58</v>
      </c>
      <c r="D1013" s="30">
        <v>297.94099999999997</v>
      </c>
      <c r="E1013" s="36">
        <v>729.47900000000004</v>
      </c>
      <c r="F1013" s="30">
        <v>1150</v>
      </c>
      <c r="G1013" s="30">
        <v>100</v>
      </c>
      <c r="H1013" s="38">
        <v>600</v>
      </c>
      <c r="I1013" s="30">
        <v>695</v>
      </c>
      <c r="J1013" s="30">
        <v>50</v>
      </c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</row>
    <row r="1014" spans="1:20" ht="15.75">
      <c r="A1014" s="11">
        <v>71986</v>
      </c>
      <c r="B1014" s="39">
        <f t="shared" si="6"/>
        <v>31</v>
      </c>
      <c r="C1014" s="30">
        <v>122.58</v>
      </c>
      <c r="D1014" s="30">
        <v>297.94099999999997</v>
      </c>
      <c r="E1014" s="36">
        <v>729.47900000000004</v>
      </c>
      <c r="F1014" s="30">
        <v>1150</v>
      </c>
      <c r="G1014" s="30">
        <v>100</v>
      </c>
      <c r="H1014" s="38">
        <v>600</v>
      </c>
      <c r="I1014" s="30">
        <v>695</v>
      </c>
      <c r="J1014" s="30">
        <v>50</v>
      </c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</row>
    <row r="1015" spans="1:20" ht="15.75">
      <c r="A1015" s="11">
        <v>72014</v>
      </c>
      <c r="B1015" s="39">
        <f t="shared" si="6"/>
        <v>28</v>
      </c>
      <c r="C1015" s="30">
        <v>122.58</v>
      </c>
      <c r="D1015" s="30">
        <v>297.94099999999997</v>
      </c>
      <c r="E1015" s="36">
        <v>729.47900000000004</v>
      </c>
      <c r="F1015" s="30">
        <v>1150</v>
      </c>
      <c r="G1015" s="30">
        <v>100</v>
      </c>
      <c r="H1015" s="38">
        <v>600</v>
      </c>
      <c r="I1015" s="30">
        <v>695</v>
      </c>
      <c r="J1015" s="30">
        <v>50</v>
      </c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</row>
    <row r="1016" spans="1:20" ht="15.75">
      <c r="A1016" s="11">
        <v>72045</v>
      </c>
      <c r="B1016" s="39">
        <f t="shared" si="6"/>
        <v>31</v>
      </c>
      <c r="C1016" s="30">
        <v>122.58</v>
      </c>
      <c r="D1016" s="30">
        <v>297.94099999999997</v>
      </c>
      <c r="E1016" s="36">
        <v>729.47900000000004</v>
      </c>
      <c r="F1016" s="30">
        <v>1150</v>
      </c>
      <c r="G1016" s="30">
        <v>100</v>
      </c>
      <c r="H1016" s="38">
        <v>600</v>
      </c>
      <c r="I1016" s="30">
        <v>695</v>
      </c>
      <c r="J1016" s="30">
        <v>50</v>
      </c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</row>
    <row r="1017" spans="1:20" ht="15.75">
      <c r="A1017" s="11">
        <v>72075</v>
      </c>
      <c r="B1017" s="39">
        <f t="shared" si="6"/>
        <v>30</v>
      </c>
      <c r="C1017" s="30">
        <v>141.29300000000001</v>
      </c>
      <c r="D1017" s="30">
        <v>267.99299999999999</v>
      </c>
      <c r="E1017" s="36">
        <v>829.71400000000006</v>
      </c>
      <c r="F1017" s="30">
        <v>1239</v>
      </c>
      <c r="G1017" s="30">
        <v>100</v>
      </c>
      <c r="H1017" s="38">
        <v>600</v>
      </c>
      <c r="I1017" s="30">
        <v>695</v>
      </c>
      <c r="J1017" s="30">
        <v>50</v>
      </c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</row>
    <row r="1018" spans="1:20" ht="15.75">
      <c r="A1018" s="11">
        <v>72106</v>
      </c>
      <c r="B1018" s="39">
        <f t="shared" si="6"/>
        <v>31</v>
      </c>
      <c r="C1018" s="30">
        <v>194.20500000000001</v>
      </c>
      <c r="D1018" s="30">
        <v>267.46600000000001</v>
      </c>
      <c r="E1018" s="36">
        <v>812.32899999999995</v>
      </c>
      <c r="F1018" s="30">
        <v>1274</v>
      </c>
      <c r="G1018" s="30">
        <v>75</v>
      </c>
      <c r="H1018" s="38">
        <v>600</v>
      </c>
      <c r="I1018" s="30">
        <v>695</v>
      </c>
      <c r="J1018" s="30">
        <v>50</v>
      </c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</row>
    <row r="1019" spans="1:20" ht="15.75">
      <c r="A1019" s="11">
        <v>72136</v>
      </c>
      <c r="B1019" s="39">
        <f t="shared" si="6"/>
        <v>30</v>
      </c>
      <c r="C1019" s="30">
        <v>194.20500000000001</v>
      </c>
      <c r="D1019" s="30">
        <v>267.46600000000001</v>
      </c>
      <c r="E1019" s="36">
        <v>812.32899999999995</v>
      </c>
      <c r="F1019" s="30">
        <v>1274</v>
      </c>
      <c r="G1019" s="30">
        <v>50</v>
      </c>
      <c r="H1019" s="38">
        <v>600</v>
      </c>
      <c r="I1019" s="30">
        <v>695</v>
      </c>
      <c r="J1019" s="30">
        <v>50</v>
      </c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</row>
    <row r="1020" spans="1:20" ht="15.75">
      <c r="A1020" s="11">
        <v>72167</v>
      </c>
      <c r="B1020" s="39">
        <f t="shared" si="6"/>
        <v>31</v>
      </c>
      <c r="C1020" s="30">
        <v>194.20500000000001</v>
      </c>
      <c r="D1020" s="30">
        <v>267.46600000000001</v>
      </c>
      <c r="E1020" s="36">
        <v>812.32899999999995</v>
      </c>
      <c r="F1020" s="30">
        <v>1274</v>
      </c>
      <c r="G1020" s="30">
        <v>50</v>
      </c>
      <c r="H1020" s="38">
        <v>600</v>
      </c>
      <c r="I1020" s="30">
        <v>695</v>
      </c>
      <c r="J1020" s="30">
        <v>0</v>
      </c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</row>
    <row r="1021" spans="1:20" ht="15.75">
      <c r="A1021" s="11">
        <v>72198</v>
      </c>
      <c r="B1021" s="39">
        <f t="shared" si="6"/>
        <v>31</v>
      </c>
      <c r="C1021" s="30">
        <v>194.20500000000001</v>
      </c>
      <c r="D1021" s="30">
        <v>267.46600000000001</v>
      </c>
      <c r="E1021" s="36">
        <v>812.32899999999995</v>
      </c>
      <c r="F1021" s="30">
        <v>1274</v>
      </c>
      <c r="G1021" s="30">
        <v>50</v>
      </c>
      <c r="H1021" s="38">
        <v>600</v>
      </c>
      <c r="I1021" s="30">
        <v>695</v>
      </c>
      <c r="J1021" s="30">
        <v>0</v>
      </c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</row>
    <row r="1022" spans="1:20" ht="15.75">
      <c r="A1022" s="11">
        <v>72228</v>
      </c>
      <c r="B1022" s="39">
        <f t="shared" si="6"/>
        <v>30</v>
      </c>
      <c r="C1022" s="30">
        <v>194.20500000000001</v>
      </c>
      <c r="D1022" s="30">
        <v>267.46600000000001</v>
      </c>
      <c r="E1022" s="36">
        <v>812.32899999999995</v>
      </c>
      <c r="F1022" s="30">
        <v>1274</v>
      </c>
      <c r="G1022" s="30">
        <v>50</v>
      </c>
      <c r="H1022" s="38">
        <v>600</v>
      </c>
      <c r="I1022" s="30">
        <v>695</v>
      </c>
      <c r="J1022" s="30">
        <v>0</v>
      </c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</row>
    <row r="1023" spans="1:20" ht="15.75">
      <c r="A1023" s="11">
        <v>72259</v>
      </c>
      <c r="B1023" s="39">
        <f t="shared" si="6"/>
        <v>31</v>
      </c>
      <c r="C1023" s="30">
        <v>131.881</v>
      </c>
      <c r="D1023" s="30">
        <v>277.16699999999997</v>
      </c>
      <c r="E1023" s="36">
        <v>829.952</v>
      </c>
      <c r="F1023" s="30">
        <v>1239</v>
      </c>
      <c r="G1023" s="30">
        <v>75</v>
      </c>
      <c r="H1023" s="38">
        <v>600</v>
      </c>
      <c r="I1023" s="30">
        <v>695</v>
      </c>
      <c r="J1023" s="30">
        <v>0</v>
      </c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</row>
    <row r="1024" spans="1:20" ht="15.75">
      <c r="A1024" s="11">
        <v>72289</v>
      </c>
      <c r="B1024" s="39">
        <f t="shared" si="6"/>
        <v>30</v>
      </c>
      <c r="C1024" s="30">
        <v>122.58</v>
      </c>
      <c r="D1024" s="30">
        <v>297.94099999999997</v>
      </c>
      <c r="E1024" s="36">
        <v>729.47900000000004</v>
      </c>
      <c r="F1024" s="30">
        <v>1150</v>
      </c>
      <c r="G1024" s="30">
        <v>100</v>
      </c>
      <c r="H1024" s="38">
        <v>600</v>
      </c>
      <c r="I1024" s="30">
        <v>695</v>
      </c>
      <c r="J1024" s="30">
        <v>50</v>
      </c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</row>
    <row r="1025" spans="1:20" ht="15.75">
      <c r="A1025" s="11">
        <v>72320</v>
      </c>
      <c r="B1025" s="39">
        <f t="shared" si="6"/>
        <v>31</v>
      </c>
      <c r="C1025" s="30">
        <v>122.58</v>
      </c>
      <c r="D1025" s="30">
        <v>297.94099999999997</v>
      </c>
      <c r="E1025" s="36">
        <v>729.47900000000004</v>
      </c>
      <c r="F1025" s="30">
        <v>1150</v>
      </c>
      <c r="G1025" s="30">
        <v>100</v>
      </c>
      <c r="H1025" s="38">
        <v>600</v>
      </c>
      <c r="I1025" s="30">
        <v>695</v>
      </c>
      <c r="J1025" s="30">
        <v>50</v>
      </c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</row>
    <row r="1026" spans="1:20" ht="15.75">
      <c r="A1026" s="11">
        <v>72351</v>
      </c>
      <c r="B1026" s="39">
        <f t="shared" si="6"/>
        <v>31</v>
      </c>
      <c r="C1026" s="30">
        <v>122.58</v>
      </c>
      <c r="D1026" s="30">
        <v>297.94099999999997</v>
      </c>
      <c r="E1026" s="36">
        <v>729.47900000000004</v>
      </c>
      <c r="F1026" s="30">
        <v>1150</v>
      </c>
      <c r="G1026" s="30">
        <v>100</v>
      </c>
      <c r="H1026" s="38">
        <v>600</v>
      </c>
      <c r="I1026" s="30">
        <v>695</v>
      </c>
      <c r="J1026" s="30">
        <v>50</v>
      </c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</row>
    <row r="1027" spans="1:20" ht="15.75">
      <c r="A1027" s="11">
        <v>72379</v>
      </c>
      <c r="B1027" s="39">
        <f t="shared" si="6"/>
        <v>28</v>
      </c>
      <c r="C1027" s="30">
        <v>122.58</v>
      </c>
      <c r="D1027" s="30">
        <v>297.94099999999997</v>
      </c>
      <c r="E1027" s="36">
        <v>729.47900000000004</v>
      </c>
      <c r="F1027" s="30">
        <v>1150</v>
      </c>
      <c r="G1027" s="30">
        <v>100</v>
      </c>
      <c r="H1027" s="38">
        <v>600</v>
      </c>
      <c r="I1027" s="30">
        <v>695</v>
      </c>
      <c r="J1027" s="30">
        <v>50</v>
      </c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</row>
    <row r="1028" spans="1:20" ht="15.75">
      <c r="A1028" s="11">
        <v>72410</v>
      </c>
      <c r="B1028" s="39">
        <f t="shared" si="6"/>
        <v>31</v>
      </c>
      <c r="C1028" s="30">
        <v>122.58</v>
      </c>
      <c r="D1028" s="30">
        <v>297.94099999999997</v>
      </c>
      <c r="E1028" s="36">
        <v>729.47900000000004</v>
      </c>
      <c r="F1028" s="30">
        <v>1150</v>
      </c>
      <c r="G1028" s="30">
        <v>100</v>
      </c>
      <c r="H1028" s="38">
        <v>600</v>
      </c>
      <c r="I1028" s="30">
        <v>695</v>
      </c>
      <c r="J1028" s="30">
        <v>50</v>
      </c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</row>
    <row r="1029" spans="1:20" ht="15.75">
      <c r="A1029" s="11">
        <v>72440</v>
      </c>
      <c r="B1029" s="39">
        <f t="shared" si="6"/>
        <v>30</v>
      </c>
      <c r="C1029" s="30">
        <v>141.29300000000001</v>
      </c>
      <c r="D1029" s="30">
        <v>267.99299999999999</v>
      </c>
      <c r="E1029" s="36">
        <v>829.71400000000006</v>
      </c>
      <c r="F1029" s="30">
        <v>1239</v>
      </c>
      <c r="G1029" s="30">
        <v>100</v>
      </c>
      <c r="H1029" s="38">
        <v>600</v>
      </c>
      <c r="I1029" s="30">
        <v>695</v>
      </c>
      <c r="J1029" s="30">
        <v>50</v>
      </c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</row>
    <row r="1030" spans="1:20" ht="15.75">
      <c r="A1030" s="11">
        <v>72471</v>
      </c>
      <c r="B1030" s="39">
        <f t="shared" si="6"/>
        <v>31</v>
      </c>
      <c r="C1030" s="30">
        <v>194.20500000000001</v>
      </c>
      <c r="D1030" s="30">
        <v>267.46600000000001</v>
      </c>
      <c r="E1030" s="36">
        <v>812.32899999999995</v>
      </c>
      <c r="F1030" s="30">
        <v>1274</v>
      </c>
      <c r="G1030" s="30">
        <v>75</v>
      </c>
      <c r="H1030" s="38">
        <v>600</v>
      </c>
      <c r="I1030" s="30">
        <v>695</v>
      </c>
      <c r="J1030" s="30">
        <v>50</v>
      </c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</row>
    <row r="1031" spans="1:20" ht="15.75">
      <c r="A1031" s="11">
        <v>72501</v>
      </c>
      <c r="B1031" s="39">
        <f t="shared" si="6"/>
        <v>30</v>
      </c>
      <c r="C1031" s="30">
        <v>194.20500000000001</v>
      </c>
      <c r="D1031" s="30">
        <v>267.46600000000001</v>
      </c>
      <c r="E1031" s="36">
        <v>812.32899999999995</v>
      </c>
      <c r="F1031" s="30">
        <v>1274</v>
      </c>
      <c r="G1031" s="30">
        <v>50</v>
      </c>
      <c r="H1031" s="38">
        <v>600</v>
      </c>
      <c r="I1031" s="30">
        <v>695</v>
      </c>
      <c r="J1031" s="30">
        <v>50</v>
      </c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</row>
    <row r="1032" spans="1:20" ht="15.75">
      <c r="A1032" s="11">
        <v>72532</v>
      </c>
      <c r="B1032" s="39">
        <f t="shared" si="6"/>
        <v>31</v>
      </c>
      <c r="C1032" s="30">
        <v>194.20500000000001</v>
      </c>
      <c r="D1032" s="30">
        <v>267.46600000000001</v>
      </c>
      <c r="E1032" s="36">
        <v>812.32899999999995</v>
      </c>
      <c r="F1032" s="30">
        <v>1274</v>
      </c>
      <c r="G1032" s="30">
        <v>50</v>
      </c>
      <c r="H1032" s="38">
        <v>600</v>
      </c>
      <c r="I1032" s="30">
        <v>695</v>
      </c>
      <c r="J1032" s="30">
        <v>0</v>
      </c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</row>
    <row r="1033" spans="1:20" ht="15.75">
      <c r="A1033" s="11">
        <v>72563</v>
      </c>
      <c r="B1033" s="39">
        <f t="shared" si="6"/>
        <v>31</v>
      </c>
      <c r="C1033" s="30">
        <v>194.20500000000001</v>
      </c>
      <c r="D1033" s="30">
        <v>267.46600000000001</v>
      </c>
      <c r="E1033" s="36">
        <v>812.32899999999995</v>
      </c>
      <c r="F1033" s="30">
        <v>1274</v>
      </c>
      <c r="G1033" s="30">
        <v>50</v>
      </c>
      <c r="H1033" s="38">
        <v>600</v>
      </c>
      <c r="I1033" s="30">
        <v>695</v>
      </c>
      <c r="J1033" s="30">
        <v>0</v>
      </c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</row>
    <row r="1034" spans="1:20" ht="15.75">
      <c r="A1034" s="11">
        <v>72593</v>
      </c>
      <c r="B1034" s="39">
        <f t="shared" si="6"/>
        <v>30</v>
      </c>
      <c r="C1034" s="30">
        <v>194.20500000000001</v>
      </c>
      <c r="D1034" s="30">
        <v>267.46600000000001</v>
      </c>
      <c r="E1034" s="36">
        <v>812.32899999999995</v>
      </c>
      <c r="F1034" s="30">
        <v>1274</v>
      </c>
      <c r="G1034" s="30">
        <v>50</v>
      </c>
      <c r="H1034" s="38">
        <v>600</v>
      </c>
      <c r="I1034" s="30">
        <v>695</v>
      </c>
      <c r="J1034" s="30">
        <v>0</v>
      </c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</row>
    <row r="1035" spans="1:20" ht="15.75">
      <c r="A1035" s="11">
        <v>72624</v>
      </c>
      <c r="B1035" s="39">
        <f t="shared" si="6"/>
        <v>31</v>
      </c>
      <c r="C1035" s="30">
        <v>131.881</v>
      </c>
      <c r="D1035" s="30">
        <v>277.16699999999997</v>
      </c>
      <c r="E1035" s="36">
        <v>829.952</v>
      </c>
      <c r="F1035" s="30">
        <v>1239</v>
      </c>
      <c r="G1035" s="30">
        <v>75</v>
      </c>
      <c r="H1035" s="38">
        <v>600</v>
      </c>
      <c r="I1035" s="30">
        <v>695</v>
      </c>
      <c r="J1035" s="30">
        <v>0</v>
      </c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</row>
    <row r="1036" spans="1:20" ht="15.75">
      <c r="A1036" s="11">
        <v>72654</v>
      </c>
      <c r="B1036" s="39">
        <f t="shared" si="6"/>
        <v>30</v>
      </c>
      <c r="C1036" s="30">
        <v>122.58</v>
      </c>
      <c r="D1036" s="30">
        <v>297.94099999999997</v>
      </c>
      <c r="E1036" s="36">
        <v>729.47900000000004</v>
      </c>
      <c r="F1036" s="30">
        <v>1150</v>
      </c>
      <c r="G1036" s="30">
        <v>100</v>
      </c>
      <c r="H1036" s="38">
        <v>600</v>
      </c>
      <c r="I1036" s="30">
        <v>695</v>
      </c>
      <c r="J1036" s="30">
        <v>50</v>
      </c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</row>
    <row r="1037" spans="1:20" ht="15.75">
      <c r="A1037" s="11">
        <v>72685</v>
      </c>
      <c r="B1037" s="39">
        <f t="shared" si="6"/>
        <v>31</v>
      </c>
      <c r="C1037" s="30">
        <v>122.58</v>
      </c>
      <c r="D1037" s="30">
        <v>297.94099999999997</v>
      </c>
      <c r="E1037" s="36">
        <v>729.47900000000004</v>
      </c>
      <c r="F1037" s="30">
        <v>1150</v>
      </c>
      <c r="G1037" s="30">
        <v>100</v>
      </c>
      <c r="H1037" s="38">
        <v>600</v>
      </c>
      <c r="I1037" s="30">
        <v>695</v>
      </c>
      <c r="J1037" s="30">
        <v>50</v>
      </c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</row>
    <row r="1038" spans="1:20" ht="15.75">
      <c r="A1038" s="11">
        <v>72716</v>
      </c>
      <c r="B1038" s="39">
        <f t="shared" si="6"/>
        <v>31</v>
      </c>
      <c r="C1038" s="30">
        <v>122.58</v>
      </c>
      <c r="D1038" s="30">
        <v>297.94099999999997</v>
      </c>
      <c r="E1038" s="36">
        <v>729.47900000000004</v>
      </c>
      <c r="F1038" s="30">
        <v>1150</v>
      </c>
      <c r="G1038" s="30">
        <v>100</v>
      </c>
      <c r="H1038" s="38">
        <v>600</v>
      </c>
      <c r="I1038" s="30">
        <v>695</v>
      </c>
      <c r="J1038" s="30">
        <v>50</v>
      </c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</row>
    <row r="1039" spans="1:20" ht="15.75">
      <c r="A1039" s="11">
        <v>72744</v>
      </c>
      <c r="B1039" s="39">
        <f t="shared" si="6"/>
        <v>28</v>
      </c>
      <c r="C1039" s="30">
        <v>122.58</v>
      </c>
      <c r="D1039" s="30">
        <v>297.94099999999997</v>
      </c>
      <c r="E1039" s="36">
        <v>729.47900000000004</v>
      </c>
      <c r="F1039" s="30">
        <v>1150</v>
      </c>
      <c r="G1039" s="30">
        <v>100</v>
      </c>
      <c r="H1039" s="38">
        <v>600</v>
      </c>
      <c r="I1039" s="30">
        <v>695</v>
      </c>
      <c r="J1039" s="30">
        <v>50</v>
      </c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</row>
    <row r="1040" spans="1:20" ht="15.75">
      <c r="A1040" s="11">
        <v>72775</v>
      </c>
      <c r="B1040" s="39">
        <f t="shared" si="6"/>
        <v>31</v>
      </c>
      <c r="C1040" s="30">
        <v>122.58</v>
      </c>
      <c r="D1040" s="30">
        <v>297.94099999999997</v>
      </c>
      <c r="E1040" s="36">
        <v>729.47900000000004</v>
      </c>
      <c r="F1040" s="30">
        <v>1150</v>
      </c>
      <c r="G1040" s="30">
        <v>100</v>
      </c>
      <c r="H1040" s="38">
        <v>600</v>
      </c>
      <c r="I1040" s="30">
        <v>695</v>
      </c>
      <c r="J1040" s="30">
        <v>50</v>
      </c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</row>
    <row r="1041" spans="1:20" ht="15.75">
      <c r="A1041" s="11">
        <v>72805</v>
      </c>
      <c r="B1041" s="39">
        <f t="shared" si="6"/>
        <v>30</v>
      </c>
      <c r="C1041" s="30">
        <v>141.29300000000001</v>
      </c>
      <c r="D1041" s="30">
        <v>267.99299999999999</v>
      </c>
      <c r="E1041" s="36">
        <v>829.71400000000006</v>
      </c>
      <c r="F1041" s="30">
        <v>1239</v>
      </c>
      <c r="G1041" s="30">
        <v>100</v>
      </c>
      <c r="H1041" s="38">
        <v>600</v>
      </c>
      <c r="I1041" s="30">
        <v>695</v>
      </c>
      <c r="J1041" s="30">
        <v>50</v>
      </c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</row>
    <row r="1042" spans="1:20" ht="15.75">
      <c r="A1042" s="11">
        <v>72836</v>
      </c>
      <c r="B1042" s="39">
        <f t="shared" ref="B1042:B1061" si="7">EOMONTH(A1042,0)-EOMONTH(A1042,-1)</f>
        <v>31</v>
      </c>
      <c r="C1042" s="30">
        <v>194.20500000000001</v>
      </c>
      <c r="D1042" s="30">
        <v>267.46600000000001</v>
      </c>
      <c r="E1042" s="36">
        <v>812.32899999999995</v>
      </c>
      <c r="F1042" s="30">
        <v>1274</v>
      </c>
      <c r="G1042" s="30">
        <v>75</v>
      </c>
      <c r="H1042" s="38">
        <v>600</v>
      </c>
      <c r="I1042" s="30">
        <v>695</v>
      </c>
      <c r="J1042" s="30">
        <v>50</v>
      </c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</row>
    <row r="1043" spans="1:20" ht="15.75">
      <c r="A1043" s="11">
        <v>72866</v>
      </c>
      <c r="B1043" s="39">
        <f t="shared" si="7"/>
        <v>30</v>
      </c>
      <c r="C1043" s="30">
        <v>194.20500000000001</v>
      </c>
      <c r="D1043" s="30">
        <v>267.46600000000001</v>
      </c>
      <c r="E1043" s="36">
        <v>812.32899999999995</v>
      </c>
      <c r="F1043" s="30">
        <v>1274</v>
      </c>
      <c r="G1043" s="30">
        <v>50</v>
      </c>
      <c r="H1043" s="38">
        <v>600</v>
      </c>
      <c r="I1043" s="30">
        <v>695</v>
      </c>
      <c r="J1043" s="30">
        <v>50</v>
      </c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</row>
    <row r="1044" spans="1:20" ht="15.75">
      <c r="A1044" s="11">
        <v>72897</v>
      </c>
      <c r="B1044" s="39">
        <f t="shared" si="7"/>
        <v>31</v>
      </c>
      <c r="C1044" s="30">
        <v>194.20500000000001</v>
      </c>
      <c r="D1044" s="30">
        <v>267.46600000000001</v>
      </c>
      <c r="E1044" s="36">
        <v>812.32899999999995</v>
      </c>
      <c r="F1044" s="30">
        <v>1274</v>
      </c>
      <c r="G1044" s="30">
        <v>50</v>
      </c>
      <c r="H1044" s="38">
        <v>600</v>
      </c>
      <c r="I1044" s="30">
        <v>695</v>
      </c>
      <c r="J1044" s="30">
        <v>0</v>
      </c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</row>
    <row r="1045" spans="1:20" ht="15.75">
      <c r="A1045" s="11">
        <v>72928</v>
      </c>
      <c r="B1045" s="39">
        <f t="shared" si="7"/>
        <v>31</v>
      </c>
      <c r="C1045" s="30">
        <v>194.20500000000001</v>
      </c>
      <c r="D1045" s="30">
        <v>267.46600000000001</v>
      </c>
      <c r="E1045" s="36">
        <v>812.32899999999995</v>
      </c>
      <c r="F1045" s="30">
        <v>1274</v>
      </c>
      <c r="G1045" s="30">
        <v>50</v>
      </c>
      <c r="H1045" s="38">
        <v>600</v>
      </c>
      <c r="I1045" s="30">
        <v>695</v>
      </c>
      <c r="J1045" s="30">
        <v>0</v>
      </c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</row>
    <row r="1046" spans="1:20" ht="15.75">
      <c r="A1046" s="11">
        <v>72958</v>
      </c>
      <c r="B1046" s="39">
        <f t="shared" si="7"/>
        <v>30</v>
      </c>
      <c r="C1046" s="30">
        <v>194.20500000000001</v>
      </c>
      <c r="D1046" s="30">
        <v>267.46600000000001</v>
      </c>
      <c r="E1046" s="36">
        <v>812.32899999999995</v>
      </c>
      <c r="F1046" s="30">
        <v>1274</v>
      </c>
      <c r="G1046" s="30">
        <v>50</v>
      </c>
      <c r="H1046" s="38">
        <v>600</v>
      </c>
      <c r="I1046" s="30">
        <v>695</v>
      </c>
      <c r="J1046" s="30">
        <v>0</v>
      </c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</row>
    <row r="1047" spans="1:20" ht="15.75">
      <c r="A1047" s="11">
        <v>72989</v>
      </c>
      <c r="B1047" s="39">
        <f t="shared" si="7"/>
        <v>31</v>
      </c>
      <c r="C1047" s="30">
        <v>131.881</v>
      </c>
      <c r="D1047" s="30">
        <v>277.16699999999997</v>
      </c>
      <c r="E1047" s="36">
        <v>829.952</v>
      </c>
      <c r="F1047" s="30">
        <v>1239</v>
      </c>
      <c r="G1047" s="30">
        <v>75</v>
      </c>
      <c r="H1047" s="38">
        <v>600</v>
      </c>
      <c r="I1047" s="30">
        <v>695</v>
      </c>
      <c r="J1047" s="30">
        <v>0</v>
      </c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</row>
    <row r="1048" spans="1:20" ht="15.75">
      <c r="A1048" s="11">
        <v>73019</v>
      </c>
      <c r="B1048" s="39">
        <f t="shared" si="7"/>
        <v>30</v>
      </c>
      <c r="C1048" s="30">
        <v>122.58</v>
      </c>
      <c r="D1048" s="30">
        <v>297.94099999999997</v>
      </c>
      <c r="E1048" s="36">
        <v>729.47900000000004</v>
      </c>
      <c r="F1048" s="30">
        <v>1150</v>
      </c>
      <c r="G1048" s="30">
        <v>100</v>
      </c>
      <c r="H1048" s="38">
        <v>600</v>
      </c>
      <c r="I1048" s="30">
        <v>695</v>
      </c>
      <c r="J1048" s="30">
        <v>50</v>
      </c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</row>
    <row r="1049" spans="1:20" ht="15.75">
      <c r="A1049" s="11">
        <v>73050</v>
      </c>
      <c r="B1049" s="39">
        <f t="shared" si="7"/>
        <v>31</v>
      </c>
      <c r="C1049" s="30">
        <v>122.58</v>
      </c>
      <c r="D1049" s="30">
        <v>297.94099999999997</v>
      </c>
      <c r="E1049" s="36">
        <v>729.47900000000004</v>
      </c>
      <c r="F1049" s="30">
        <v>1150</v>
      </c>
      <c r="G1049" s="30">
        <v>100</v>
      </c>
      <c r="H1049" s="38">
        <v>600</v>
      </c>
      <c r="I1049" s="30">
        <v>695</v>
      </c>
      <c r="J1049" s="30">
        <v>50</v>
      </c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</row>
    <row r="1050" spans="1:20" ht="15.75">
      <c r="A1050" s="11">
        <v>73081</v>
      </c>
      <c r="B1050" s="39">
        <f t="shared" si="7"/>
        <v>31</v>
      </c>
      <c r="C1050" s="30">
        <v>122.58</v>
      </c>
      <c r="D1050" s="30">
        <v>297.94099999999997</v>
      </c>
      <c r="E1050" s="36">
        <v>729.47900000000004</v>
      </c>
      <c r="F1050" s="30">
        <v>1150</v>
      </c>
      <c r="G1050" s="30">
        <v>100</v>
      </c>
      <c r="H1050" s="38">
        <v>600</v>
      </c>
      <c r="I1050" s="30">
        <v>695</v>
      </c>
      <c r="J1050" s="30">
        <v>50</v>
      </c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</row>
    <row r="1051" spans="1:20" ht="15.75">
      <c r="A1051" s="11">
        <v>73109</v>
      </c>
      <c r="B1051" s="39">
        <f t="shared" si="7"/>
        <v>28</v>
      </c>
      <c r="C1051" s="30">
        <v>122.58</v>
      </c>
      <c r="D1051" s="30">
        <v>297.94099999999997</v>
      </c>
      <c r="E1051" s="36">
        <v>729.47900000000004</v>
      </c>
      <c r="F1051" s="30">
        <v>1150</v>
      </c>
      <c r="G1051" s="30">
        <v>100</v>
      </c>
      <c r="H1051" s="38">
        <v>600</v>
      </c>
      <c r="I1051" s="30">
        <v>695</v>
      </c>
      <c r="J1051" s="30">
        <v>50</v>
      </c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</row>
    <row r="1052" spans="1:20" ht="15.75">
      <c r="A1052" s="11">
        <v>73140</v>
      </c>
      <c r="B1052" s="39">
        <f t="shared" si="7"/>
        <v>31</v>
      </c>
      <c r="C1052" s="30">
        <v>122.58</v>
      </c>
      <c r="D1052" s="30">
        <v>297.94099999999997</v>
      </c>
      <c r="E1052" s="36">
        <v>729.47900000000004</v>
      </c>
      <c r="F1052" s="30">
        <v>1150</v>
      </c>
      <c r="G1052" s="30">
        <v>100</v>
      </c>
      <c r="H1052" s="38">
        <v>600</v>
      </c>
      <c r="I1052" s="30">
        <v>695</v>
      </c>
      <c r="J1052" s="30">
        <v>50</v>
      </c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</row>
    <row r="1053" spans="1:20" ht="15.75">
      <c r="A1053" s="11">
        <v>73170</v>
      </c>
      <c r="B1053" s="39">
        <f t="shared" si="7"/>
        <v>30</v>
      </c>
      <c r="C1053" s="30">
        <v>141.29300000000001</v>
      </c>
      <c r="D1053" s="30">
        <v>267.99299999999999</v>
      </c>
      <c r="E1053" s="36">
        <v>829.71400000000006</v>
      </c>
      <c r="F1053" s="30">
        <v>1239</v>
      </c>
      <c r="G1053" s="30">
        <v>100</v>
      </c>
      <c r="H1053" s="38">
        <v>600</v>
      </c>
      <c r="I1053" s="30">
        <v>695</v>
      </c>
      <c r="J1053" s="30">
        <v>50</v>
      </c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</row>
    <row r="1054" spans="1:20" ht="15.75">
      <c r="A1054" s="11">
        <v>73201</v>
      </c>
      <c r="B1054" s="39">
        <f t="shared" si="7"/>
        <v>31</v>
      </c>
      <c r="C1054" s="30">
        <v>194.20500000000001</v>
      </c>
      <c r="D1054" s="30">
        <v>267.46600000000001</v>
      </c>
      <c r="E1054" s="36">
        <v>812.32899999999995</v>
      </c>
      <c r="F1054" s="30">
        <v>1274</v>
      </c>
      <c r="G1054" s="30">
        <v>75</v>
      </c>
      <c r="H1054" s="38">
        <v>600</v>
      </c>
      <c r="I1054" s="30">
        <v>695</v>
      </c>
      <c r="J1054" s="30">
        <v>50</v>
      </c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</row>
    <row r="1055" spans="1:20" ht="15.75">
      <c r="A1055" s="11">
        <v>73231</v>
      </c>
      <c r="B1055" s="39">
        <f t="shared" si="7"/>
        <v>30</v>
      </c>
      <c r="C1055" s="30">
        <v>194.20500000000001</v>
      </c>
      <c r="D1055" s="30">
        <v>267.46600000000001</v>
      </c>
      <c r="E1055" s="36">
        <v>812.32899999999995</v>
      </c>
      <c r="F1055" s="30">
        <v>1274</v>
      </c>
      <c r="G1055" s="30">
        <v>50</v>
      </c>
      <c r="H1055" s="38">
        <v>600</v>
      </c>
      <c r="I1055" s="30">
        <v>695</v>
      </c>
      <c r="J1055" s="30">
        <v>50</v>
      </c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</row>
    <row r="1056" spans="1:20" ht="15.75">
      <c r="A1056" s="11">
        <v>73262</v>
      </c>
      <c r="B1056" s="39">
        <f t="shared" si="7"/>
        <v>31</v>
      </c>
      <c r="C1056" s="30">
        <v>194.20500000000001</v>
      </c>
      <c r="D1056" s="30">
        <v>267.46600000000001</v>
      </c>
      <c r="E1056" s="36">
        <v>812.32899999999995</v>
      </c>
      <c r="F1056" s="30">
        <v>1274</v>
      </c>
      <c r="G1056" s="30">
        <v>50</v>
      </c>
      <c r="H1056" s="38">
        <v>600</v>
      </c>
      <c r="I1056" s="30">
        <v>695</v>
      </c>
      <c r="J1056" s="30">
        <v>0</v>
      </c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</row>
    <row r="1057" spans="1:20" ht="15.75">
      <c r="A1057" s="11">
        <v>73293</v>
      </c>
      <c r="B1057" s="39">
        <f t="shared" si="7"/>
        <v>31</v>
      </c>
      <c r="C1057" s="30">
        <v>194.20500000000001</v>
      </c>
      <c r="D1057" s="30">
        <v>267.46600000000001</v>
      </c>
      <c r="E1057" s="36">
        <v>812.32899999999995</v>
      </c>
      <c r="F1057" s="30">
        <v>1274</v>
      </c>
      <c r="G1057" s="30">
        <v>50</v>
      </c>
      <c r="H1057" s="38">
        <v>600</v>
      </c>
      <c r="I1057" s="30">
        <v>695</v>
      </c>
      <c r="J1057" s="30">
        <v>0</v>
      </c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</row>
    <row r="1058" spans="1:20" ht="15.75">
      <c r="A1058" s="11">
        <v>73323</v>
      </c>
      <c r="B1058" s="39">
        <f t="shared" si="7"/>
        <v>30</v>
      </c>
      <c r="C1058" s="30">
        <v>194.20500000000001</v>
      </c>
      <c r="D1058" s="30">
        <v>267.46600000000001</v>
      </c>
      <c r="E1058" s="36">
        <v>812.32899999999995</v>
      </c>
      <c r="F1058" s="30">
        <v>1274</v>
      </c>
      <c r="G1058" s="30">
        <v>50</v>
      </c>
      <c r="H1058" s="38">
        <v>600</v>
      </c>
      <c r="I1058" s="30">
        <v>695</v>
      </c>
      <c r="J1058" s="30">
        <v>0</v>
      </c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</row>
    <row r="1059" spans="1:20" ht="15.75">
      <c r="A1059" s="11">
        <v>73354</v>
      </c>
      <c r="B1059" s="39">
        <f t="shared" si="7"/>
        <v>31</v>
      </c>
      <c r="C1059" s="30">
        <v>131.881</v>
      </c>
      <c r="D1059" s="30">
        <v>277.16699999999997</v>
      </c>
      <c r="E1059" s="36">
        <v>829.952</v>
      </c>
      <c r="F1059" s="30">
        <v>1239</v>
      </c>
      <c r="G1059" s="30">
        <v>75</v>
      </c>
      <c r="H1059" s="38">
        <v>600</v>
      </c>
      <c r="I1059" s="30">
        <v>695</v>
      </c>
      <c r="J1059" s="30">
        <v>0</v>
      </c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</row>
    <row r="1060" spans="1:20" ht="15.75">
      <c r="A1060" s="11">
        <v>73384</v>
      </c>
      <c r="B1060" s="39">
        <f t="shared" si="7"/>
        <v>30</v>
      </c>
      <c r="C1060" s="30">
        <v>122.58</v>
      </c>
      <c r="D1060" s="30">
        <v>297.94099999999997</v>
      </c>
      <c r="E1060" s="36">
        <v>729.47900000000004</v>
      </c>
      <c r="F1060" s="30">
        <v>1150</v>
      </c>
      <c r="G1060" s="30">
        <v>100</v>
      </c>
      <c r="H1060" s="38">
        <v>600</v>
      </c>
      <c r="I1060" s="30">
        <v>695</v>
      </c>
      <c r="J1060" s="30">
        <v>50</v>
      </c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</row>
    <row r="1061" spans="1:20" ht="15.75">
      <c r="A1061" s="11">
        <v>73415</v>
      </c>
      <c r="B1061" s="39">
        <f t="shared" si="7"/>
        <v>31</v>
      </c>
      <c r="C1061" s="30">
        <v>122.58</v>
      </c>
      <c r="D1061" s="30">
        <v>297.94099999999997</v>
      </c>
      <c r="E1061" s="36">
        <v>729.47900000000004</v>
      </c>
      <c r="F1061" s="30">
        <v>1150</v>
      </c>
      <c r="G1061" s="30">
        <v>100</v>
      </c>
      <c r="H1061" s="38">
        <v>600</v>
      </c>
      <c r="I1061" s="30">
        <v>695</v>
      </c>
      <c r="J1061" s="30">
        <v>50</v>
      </c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</row>
    <row r="1062" spans="1:20" ht="15">
      <c r="A1062" s="9"/>
      <c r="B1062" s="37"/>
      <c r="C1062" s="30"/>
      <c r="D1062" s="30"/>
      <c r="E1062" s="36"/>
      <c r="F1062" s="30"/>
      <c r="G1062" s="30"/>
      <c r="H1062" s="30"/>
      <c r="I1062" s="30"/>
      <c r="J1062" s="30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</row>
    <row r="1063" spans="1:20" ht="15.75">
      <c r="A1063" s="3">
        <v>2014</v>
      </c>
      <c r="B1063" s="3">
        <f t="shared" ref="B1063:B1094" si="8">DATE(A1063+1,1,1)-DATE(A1063,1,1)</f>
        <v>365</v>
      </c>
      <c r="C1063" s="33">
        <f>AVERAGE(C18:C29)</f>
        <v>154.75825</v>
      </c>
      <c r="D1063" s="33">
        <f>AVERAGE(D18:D29)</f>
        <v>281.0162499999999</v>
      </c>
      <c r="E1063" s="33">
        <f>AVERAGE(E18:E29)</f>
        <v>801.55883333333315</v>
      </c>
      <c r="F1063" s="33">
        <f>AVERAGE(F18:F29)</f>
        <v>1237.3333333333333</v>
      </c>
      <c r="G1063" s="33">
        <f>AVERAGE(G18:G29)</f>
        <v>79.166666666666671</v>
      </c>
      <c r="H1063" s="35"/>
      <c r="I1063" s="33">
        <f>AVERAGE(I18:I29)</f>
        <v>695</v>
      </c>
      <c r="J1063" s="33">
        <f>AVERAGE(J18:J29)</f>
        <v>33.333333333333336</v>
      </c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</row>
    <row r="1064" spans="1:20" ht="15.75">
      <c r="A1064" s="3">
        <v>2015</v>
      </c>
      <c r="B1064" s="3">
        <f t="shared" si="8"/>
        <v>365</v>
      </c>
      <c r="C1064" s="33">
        <f>AVERAGE(C30:C41)</f>
        <v>154.75825</v>
      </c>
      <c r="D1064" s="33">
        <f>AVERAGE(D30:D41)</f>
        <v>281.0162499999999</v>
      </c>
      <c r="E1064" s="33">
        <f>AVERAGE(E30:E41)</f>
        <v>801.55883333333315</v>
      </c>
      <c r="F1064" s="33">
        <f>AVERAGE(F30:F41)</f>
        <v>1237.3333333333333</v>
      </c>
      <c r="G1064" s="33">
        <f>AVERAGE(G30:G41)</f>
        <v>79.166666666666671</v>
      </c>
      <c r="H1064" s="35"/>
      <c r="I1064" s="33">
        <f>AVERAGE(I30:I41)</f>
        <v>695</v>
      </c>
      <c r="J1064" s="33">
        <f>AVERAGE(J30:J41)</f>
        <v>33.333333333333336</v>
      </c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</row>
    <row r="1065" spans="1:20" ht="15.75">
      <c r="A1065" s="3">
        <v>2016</v>
      </c>
      <c r="B1065" s="3">
        <f t="shared" si="8"/>
        <v>366</v>
      </c>
      <c r="C1065" s="33">
        <f>AVERAGE(C42:C53)</f>
        <v>154.75825</v>
      </c>
      <c r="D1065" s="33">
        <f>AVERAGE(D42:D53)</f>
        <v>281.0162499999999</v>
      </c>
      <c r="E1065" s="33">
        <f>AVERAGE(E42:E53)</f>
        <v>780.7254999999999</v>
      </c>
      <c r="F1065" s="33">
        <f>AVERAGE(F42:F53)</f>
        <v>1216.5</v>
      </c>
      <c r="G1065" s="33">
        <f>AVERAGE(G42:G53)</f>
        <v>79.166666666666671</v>
      </c>
      <c r="H1065" s="35"/>
      <c r="I1065" s="33">
        <f>AVERAGE(I42:I53)</f>
        <v>695</v>
      </c>
      <c r="J1065" s="33">
        <f>AVERAGE(J42:J53)</f>
        <v>33.333333333333336</v>
      </c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</row>
    <row r="1066" spans="1:20" ht="15">
      <c r="A1066" s="3">
        <v>2017</v>
      </c>
      <c r="B1066" s="3">
        <f t="shared" si="8"/>
        <v>365</v>
      </c>
      <c r="C1066" s="33">
        <f t="shared" ref="C1066:J1066" si="9">AVERAGE(C54:C65)</f>
        <v>154.75825</v>
      </c>
      <c r="D1066" s="33">
        <f t="shared" si="9"/>
        <v>281.0162499999999</v>
      </c>
      <c r="E1066" s="33">
        <f t="shared" si="9"/>
        <v>780.7254999999999</v>
      </c>
      <c r="F1066" s="33">
        <f t="shared" si="9"/>
        <v>1216.5</v>
      </c>
      <c r="G1066" s="33">
        <f t="shared" si="9"/>
        <v>79.166666666666671</v>
      </c>
      <c r="H1066" s="34">
        <f t="shared" si="9"/>
        <v>400</v>
      </c>
      <c r="I1066" s="33">
        <f t="shared" si="9"/>
        <v>695</v>
      </c>
      <c r="J1066" s="33">
        <f t="shared" si="9"/>
        <v>33.333333333333336</v>
      </c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</row>
    <row r="1067" spans="1:20" ht="15">
      <c r="A1067" s="3">
        <v>2018</v>
      </c>
      <c r="B1067" s="3">
        <f t="shared" si="8"/>
        <v>365</v>
      </c>
      <c r="C1067" s="33">
        <f t="shared" ref="C1067:J1067" si="10">AVERAGE(C66:C77)</f>
        <v>154.75825</v>
      </c>
      <c r="D1067" s="33">
        <f t="shared" si="10"/>
        <v>281.0162499999999</v>
      </c>
      <c r="E1067" s="33">
        <f t="shared" si="10"/>
        <v>780.7254999999999</v>
      </c>
      <c r="F1067" s="33">
        <f t="shared" si="10"/>
        <v>1216.5</v>
      </c>
      <c r="G1067" s="33">
        <f t="shared" si="10"/>
        <v>79.166666666666671</v>
      </c>
      <c r="H1067" s="34">
        <f t="shared" si="10"/>
        <v>400</v>
      </c>
      <c r="I1067" s="33">
        <f t="shared" si="10"/>
        <v>695</v>
      </c>
      <c r="J1067" s="33">
        <f t="shared" si="10"/>
        <v>33.333333333333336</v>
      </c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</row>
    <row r="1068" spans="1:20" ht="15">
      <c r="A1068" s="3">
        <v>2019</v>
      </c>
      <c r="B1068" s="3">
        <f t="shared" si="8"/>
        <v>365</v>
      </c>
      <c r="C1068" s="33">
        <f t="shared" ref="C1068:J1068" si="11">AVERAGE(C78:C89)</f>
        <v>154.75825</v>
      </c>
      <c r="D1068" s="33">
        <f t="shared" si="11"/>
        <v>281.0162499999999</v>
      </c>
      <c r="E1068" s="33">
        <f t="shared" si="11"/>
        <v>780.7254999999999</v>
      </c>
      <c r="F1068" s="33">
        <f t="shared" si="11"/>
        <v>1216.5</v>
      </c>
      <c r="G1068" s="33">
        <f t="shared" si="11"/>
        <v>79.166666666666671</v>
      </c>
      <c r="H1068" s="34">
        <f t="shared" si="11"/>
        <v>400</v>
      </c>
      <c r="I1068" s="33">
        <f t="shared" si="11"/>
        <v>695</v>
      </c>
      <c r="J1068" s="33">
        <f t="shared" si="11"/>
        <v>33.333333333333336</v>
      </c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</row>
    <row r="1069" spans="1:20" ht="15">
      <c r="A1069" s="3">
        <v>2020</v>
      </c>
      <c r="B1069" s="3">
        <f t="shared" si="8"/>
        <v>366</v>
      </c>
      <c r="C1069" s="33">
        <f t="shared" ref="C1069:J1069" si="12">AVERAGE(C90:C101)</f>
        <v>154.75825</v>
      </c>
      <c r="D1069" s="33">
        <f t="shared" si="12"/>
        <v>281.0162499999999</v>
      </c>
      <c r="E1069" s="33">
        <f t="shared" si="12"/>
        <v>780.7254999999999</v>
      </c>
      <c r="F1069" s="33">
        <f t="shared" si="12"/>
        <v>1216.5</v>
      </c>
      <c r="G1069" s="33">
        <f t="shared" si="12"/>
        <v>79.166666666666671</v>
      </c>
      <c r="H1069" s="34">
        <f t="shared" si="12"/>
        <v>533.33333333333337</v>
      </c>
      <c r="I1069" s="33">
        <f t="shared" si="12"/>
        <v>695</v>
      </c>
      <c r="J1069" s="33">
        <f t="shared" si="12"/>
        <v>33.333333333333336</v>
      </c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</row>
    <row r="1070" spans="1:20" ht="15">
      <c r="A1070" s="3">
        <v>2021</v>
      </c>
      <c r="B1070" s="3">
        <f t="shared" si="8"/>
        <v>365</v>
      </c>
      <c r="C1070" s="33">
        <f t="shared" ref="C1070:J1070" si="13">AVERAGE(C102:C113)</f>
        <v>154.75825</v>
      </c>
      <c r="D1070" s="33">
        <f t="shared" si="13"/>
        <v>281.0162499999999</v>
      </c>
      <c r="E1070" s="33">
        <f t="shared" si="13"/>
        <v>780.7254999999999</v>
      </c>
      <c r="F1070" s="33">
        <f t="shared" si="13"/>
        <v>1216.5</v>
      </c>
      <c r="G1070" s="33">
        <f t="shared" si="13"/>
        <v>79.166666666666671</v>
      </c>
      <c r="H1070" s="34">
        <f t="shared" si="13"/>
        <v>600</v>
      </c>
      <c r="I1070" s="33">
        <f t="shared" si="13"/>
        <v>695</v>
      </c>
      <c r="J1070" s="33">
        <f t="shared" si="13"/>
        <v>33.333333333333336</v>
      </c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</row>
    <row r="1071" spans="1:20" ht="15">
      <c r="A1071" s="3">
        <v>2022</v>
      </c>
      <c r="B1071" s="3">
        <f t="shared" si="8"/>
        <v>365</v>
      </c>
      <c r="C1071" s="33">
        <f t="shared" ref="C1071:J1071" si="14">AVERAGE(C114:C125)</f>
        <v>154.75825</v>
      </c>
      <c r="D1071" s="33">
        <f t="shared" si="14"/>
        <v>281.0162499999999</v>
      </c>
      <c r="E1071" s="33">
        <f t="shared" si="14"/>
        <v>780.7254999999999</v>
      </c>
      <c r="F1071" s="33">
        <f t="shared" si="14"/>
        <v>1216.5</v>
      </c>
      <c r="G1071" s="33">
        <f t="shared" si="14"/>
        <v>79.166666666666671</v>
      </c>
      <c r="H1071" s="34">
        <f t="shared" si="14"/>
        <v>600</v>
      </c>
      <c r="I1071" s="33">
        <f t="shared" si="14"/>
        <v>695</v>
      </c>
      <c r="J1071" s="33">
        <f t="shared" si="14"/>
        <v>33.333333333333336</v>
      </c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</row>
    <row r="1072" spans="1:20" ht="15">
      <c r="A1072" s="3">
        <v>2023</v>
      </c>
      <c r="B1072" s="3">
        <f t="shared" si="8"/>
        <v>365</v>
      </c>
      <c r="C1072" s="33">
        <f t="shared" ref="C1072:J1072" si="15">AVERAGE(C126:C137)</f>
        <v>154.75825</v>
      </c>
      <c r="D1072" s="33">
        <f t="shared" si="15"/>
        <v>281.0162499999999</v>
      </c>
      <c r="E1072" s="33">
        <f t="shared" si="15"/>
        <v>780.7254999999999</v>
      </c>
      <c r="F1072" s="33">
        <f t="shared" si="15"/>
        <v>1216.5</v>
      </c>
      <c r="G1072" s="33">
        <f t="shared" si="15"/>
        <v>79.166666666666671</v>
      </c>
      <c r="H1072" s="34">
        <f t="shared" si="15"/>
        <v>600</v>
      </c>
      <c r="I1072" s="33">
        <f t="shared" si="15"/>
        <v>695</v>
      </c>
      <c r="J1072" s="33">
        <f t="shared" si="15"/>
        <v>33.333333333333336</v>
      </c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</row>
    <row r="1073" spans="1:20" ht="15">
      <c r="A1073" s="3">
        <v>2024</v>
      </c>
      <c r="B1073" s="3">
        <f t="shared" si="8"/>
        <v>366</v>
      </c>
      <c r="C1073" s="33">
        <f t="shared" ref="C1073:J1073" si="16">AVERAGE(C138:C149)</f>
        <v>154.75825</v>
      </c>
      <c r="D1073" s="33">
        <f t="shared" si="16"/>
        <v>281.0162499999999</v>
      </c>
      <c r="E1073" s="33">
        <f t="shared" si="16"/>
        <v>780.7254999999999</v>
      </c>
      <c r="F1073" s="33">
        <f t="shared" si="16"/>
        <v>1216.5</v>
      </c>
      <c r="G1073" s="33">
        <f t="shared" si="16"/>
        <v>79.166666666666671</v>
      </c>
      <c r="H1073" s="34">
        <f t="shared" si="16"/>
        <v>600</v>
      </c>
      <c r="I1073" s="33">
        <f t="shared" si="16"/>
        <v>695</v>
      </c>
      <c r="J1073" s="33">
        <f t="shared" si="16"/>
        <v>33.333333333333336</v>
      </c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</row>
    <row r="1074" spans="1:20" ht="15">
      <c r="A1074" s="3">
        <v>2025</v>
      </c>
      <c r="B1074" s="3">
        <f t="shared" si="8"/>
        <v>365</v>
      </c>
      <c r="C1074" s="33">
        <f t="shared" ref="C1074:J1074" si="17">AVERAGE(C150:C161)</f>
        <v>154.75825</v>
      </c>
      <c r="D1074" s="33">
        <f t="shared" si="17"/>
        <v>281.0162499999999</v>
      </c>
      <c r="E1074" s="33">
        <f t="shared" si="17"/>
        <v>780.7254999999999</v>
      </c>
      <c r="F1074" s="33">
        <f t="shared" si="17"/>
        <v>1216.5</v>
      </c>
      <c r="G1074" s="33">
        <f t="shared" si="17"/>
        <v>79.166666666666671</v>
      </c>
      <c r="H1074" s="34">
        <f t="shared" si="17"/>
        <v>600</v>
      </c>
      <c r="I1074" s="33">
        <f t="shared" si="17"/>
        <v>695</v>
      </c>
      <c r="J1074" s="33">
        <f t="shared" si="17"/>
        <v>33.333333333333336</v>
      </c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</row>
    <row r="1075" spans="1:20" ht="15">
      <c r="A1075" s="3">
        <v>2026</v>
      </c>
      <c r="B1075" s="3">
        <f t="shared" si="8"/>
        <v>365</v>
      </c>
      <c r="C1075" s="33">
        <f t="shared" ref="C1075:J1075" si="18">AVERAGE(C162:C173)</f>
        <v>154.75825</v>
      </c>
      <c r="D1075" s="33">
        <f t="shared" si="18"/>
        <v>281.0162499999999</v>
      </c>
      <c r="E1075" s="33">
        <f t="shared" si="18"/>
        <v>780.7254999999999</v>
      </c>
      <c r="F1075" s="33">
        <f t="shared" si="18"/>
        <v>1216.5</v>
      </c>
      <c r="G1075" s="33">
        <f t="shared" si="18"/>
        <v>79.166666666666671</v>
      </c>
      <c r="H1075" s="34">
        <f t="shared" si="18"/>
        <v>600</v>
      </c>
      <c r="I1075" s="33">
        <f t="shared" si="18"/>
        <v>695</v>
      </c>
      <c r="J1075" s="33">
        <f t="shared" si="18"/>
        <v>33.333333333333336</v>
      </c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</row>
    <row r="1076" spans="1:20" ht="15">
      <c r="A1076" s="3">
        <v>2027</v>
      </c>
      <c r="B1076" s="3">
        <f t="shared" si="8"/>
        <v>365</v>
      </c>
      <c r="C1076" s="33">
        <f t="shared" ref="C1076:J1076" si="19">AVERAGE(C174:C185)</f>
        <v>154.75825</v>
      </c>
      <c r="D1076" s="33">
        <f t="shared" si="19"/>
        <v>281.0162499999999</v>
      </c>
      <c r="E1076" s="33">
        <f t="shared" si="19"/>
        <v>780.7254999999999</v>
      </c>
      <c r="F1076" s="33">
        <f t="shared" si="19"/>
        <v>1216.5</v>
      </c>
      <c r="G1076" s="33">
        <f t="shared" si="19"/>
        <v>79.166666666666671</v>
      </c>
      <c r="H1076" s="34">
        <f t="shared" si="19"/>
        <v>600</v>
      </c>
      <c r="I1076" s="33">
        <f t="shared" si="19"/>
        <v>695</v>
      </c>
      <c r="J1076" s="33">
        <f t="shared" si="19"/>
        <v>33.333333333333336</v>
      </c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</row>
    <row r="1077" spans="1:20" ht="15">
      <c r="A1077" s="3">
        <v>2028</v>
      </c>
      <c r="B1077" s="3">
        <f t="shared" si="8"/>
        <v>366</v>
      </c>
      <c r="C1077" s="33">
        <f t="shared" ref="C1077:J1077" si="20">AVERAGE(C186:C197)</f>
        <v>154.75825</v>
      </c>
      <c r="D1077" s="33">
        <f t="shared" si="20"/>
        <v>281.0162499999999</v>
      </c>
      <c r="E1077" s="33">
        <f t="shared" si="20"/>
        <v>780.7254999999999</v>
      </c>
      <c r="F1077" s="33">
        <f t="shared" si="20"/>
        <v>1216.5</v>
      </c>
      <c r="G1077" s="33">
        <f t="shared" si="20"/>
        <v>79.166666666666671</v>
      </c>
      <c r="H1077" s="34">
        <f t="shared" si="20"/>
        <v>600</v>
      </c>
      <c r="I1077" s="33">
        <f t="shared" si="20"/>
        <v>695</v>
      </c>
      <c r="J1077" s="33">
        <f t="shared" si="20"/>
        <v>33.333333333333336</v>
      </c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</row>
    <row r="1078" spans="1:20" ht="15">
      <c r="A1078" s="3">
        <v>2029</v>
      </c>
      <c r="B1078" s="3">
        <f t="shared" si="8"/>
        <v>365</v>
      </c>
      <c r="C1078" s="33">
        <f t="shared" ref="C1078:J1078" si="21">AVERAGE(C198:C209)</f>
        <v>154.75825</v>
      </c>
      <c r="D1078" s="33">
        <f t="shared" si="21"/>
        <v>281.0162499999999</v>
      </c>
      <c r="E1078" s="33">
        <f t="shared" si="21"/>
        <v>780.7254999999999</v>
      </c>
      <c r="F1078" s="33">
        <f t="shared" si="21"/>
        <v>1216.5</v>
      </c>
      <c r="G1078" s="33">
        <f t="shared" si="21"/>
        <v>79.166666666666671</v>
      </c>
      <c r="H1078" s="34">
        <f t="shared" si="21"/>
        <v>600</v>
      </c>
      <c r="I1078" s="33">
        <f t="shared" si="21"/>
        <v>695</v>
      </c>
      <c r="J1078" s="33">
        <f t="shared" si="21"/>
        <v>33.333333333333336</v>
      </c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</row>
    <row r="1079" spans="1:20" ht="15">
      <c r="A1079" s="3">
        <v>2030</v>
      </c>
      <c r="B1079" s="3">
        <f t="shared" si="8"/>
        <v>365</v>
      </c>
      <c r="C1079" s="33">
        <f t="shared" ref="C1079:J1079" si="22">AVERAGE(C210:C221)</f>
        <v>154.75825</v>
      </c>
      <c r="D1079" s="33">
        <f t="shared" si="22"/>
        <v>281.0162499999999</v>
      </c>
      <c r="E1079" s="33">
        <f t="shared" si="22"/>
        <v>780.7254999999999</v>
      </c>
      <c r="F1079" s="33">
        <f t="shared" si="22"/>
        <v>1216.5</v>
      </c>
      <c r="G1079" s="33">
        <f t="shared" si="22"/>
        <v>79.166666666666671</v>
      </c>
      <c r="H1079" s="34">
        <f t="shared" si="22"/>
        <v>600</v>
      </c>
      <c r="I1079" s="33">
        <f t="shared" si="22"/>
        <v>695</v>
      </c>
      <c r="J1079" s="33">
        <f t="shared" si="22"/>
        <v>33.333333333333336</v>
      </c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</row>
    <row r="1080" spans="1:20" ht="15">
      <c r="A1080" s="3">
        <v>2031</v>
      </c>
      <c r="B1080" s="3">
        <f t="shared" si="8"/>
        <v>365</v>
      </c>
      <c r="C1080" s="33">
        <f t="shared" ref="C1080:J1080" si="23">AVERAGE(C222:C233)</f>
        <v>154.75825</v>
      </c>
      <c r="D1080" s="33">
        <f t="shared" si="23"/>
        <v>281.0162499999999</v>
      </c>
      <c r="E1080" s="33">
        <f t="shared" si="23"/>
        <v>780.7254999999999</v>
      </c>
      <c r="F1080" s="33">
        <f t="shared" si="23"/>
        <v>1216.5</v>
      </c>
      <c r="G1080" s="33">
        <f t="shared" si="23"/>
        <v>79.166666666666671</v>
      </c>
      <c r="H1080" s="34">
        <f t="shared" si="23"/>
        <v>600</v>
      </c>
      <c r="I1080" s="33">
        <f t="shared" si="23"/>
        <v>695</v>
      </c>
      <c r="J1080" s="33">
        <f t="shared" si="23"/>
        <v>33.333333333333336</v>
      </c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</row>
    <row r="1081" spans="1:20" ht="15">
      <c r="A1081" s="3">
        <v>2032</v>
      </c>
      <c r="B1081" s="3">
        <f t="shared" si="8"/>
        <v>366</v>
      </c>
      <c r="C1081" s="33">
        <f t="shared" ref="C1081:J1081" si="24">AVERAGE(C234:C245)</f>
        <v>154.75825</v>
      </c>
      <c r="D1081" s="33">
        <f t="shared" si="24"/>
        <v>281.0162499999999</v>
      </c>
      <c r="E1081" s="33">
        <f t="shared" si="24"/>
        <v>780.7254999999999</v>
      </c>
      <c r="F1081" s="33">
        <f t="shared" si="24"/>
        <v>1216.5</v>
      </c>
      <c r="G1081" s="33">
        <f t="shared" si="24"/>
        <v>79.166666666666671</v>
      </c>
      <c r="H1081" s="34">
        <f t="shared" si="24"/>
        <v>600</v>
      </c>
      <c r="I1081" s="33">
        <f t="shared" si="24"/>
        <v>695</v>
      </c>
      <c r="J1081" s="33">
        <f t="shared" si="24"/>
        <v>33.333333333333336</v>
      </c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</row>
    <row r="1082" spans="1:20" ht="15">
      <c r="A1082" s="3">
        <v>2033</v>
      </c>
      <c r="B1082" s="3">
        <f t="shared" si="8"/>
        <v>365</v>
      </c>
      <c r="C1082" s="33">
        <f t="shared" ref="C1082:J1082" si="25">AVERAGE(C246:C257)</f>
        <v>154.75825</v>
      </c>
      <c r="D1082" s="33">
        <f t="shared" si="25"/>
        <v>281.0162499999999</v>
      </c>
      <c r="E1082" s="33">
        <f t="shared" si="25"/>
        <v>780.7254999999999</v>
      </c>
      <c r="F1082" s="33">
        <f t="shared" si="25"/>
        <v>1216.5</v>
      </c>
      <c r="G1082" s="33">
        <f t="shared" si="25"/>
        <v>79.166666666666671</v>
      </c>
      <c r="H1082" s="34">
        <f t="shared" si="25"/>
        <v>600</v>
      </c>
      <c r="I1082" s="33">
        <f t="shared" si="25"/>
        <v>695</v>
      </c>
      <c r="J1082" s="33">
        <f t="shared" si="25"/>
        <v>33.333333333333336</v>
      </c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</row>
    <row r="1083" spans="1:20" ht="15">
      <c r="A1083" s="3">
        <v>2034</v>
      </c>
      <c r="B1083" s="3">
        <f t="shared" si="8"/>
        <v>365</v>
      </c>
      <c r="C1083" s="33">
        <f t="shared" ref="C1083:J1083" si="26">AVERAGE(C258:C269)</f>
        <v>154.75825</v>
      </c>
      <c r="D1083" s="33">
        <f t="shared" si="26"/>
        <v>281.0162499999999</v>
      </c>
      <c r="E1083" s="33">
        <f t="shared" si="26"/>
        <v>780.7254999999999</v>
      </c>
      <c r="F1083" s="33">
        <f t="shared" si="26"/>
        <v>1216.5</v>
      </c>
      <c r="G1083" s="33">
        <f t="shared" si="26"/>
        <v>79.166666666666671</v>
      </c>
      <c r="H1083" s="34">
        <f t="shared" si="26"/>
        <v>600</v>
      </c>
      <c r="I1083" s="33">
        <f t="shared" si="26"/>
        <v>695</v>
      </c>
      <c r="J1083" s="33">
        <f t="shared" si="26"/>
        <v>33.333333333333336</v>
      </c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</row>
    <row r="1084" spans="1:20" ht="15">
      <c r="A1084" s="3">
        <v>2035</v>
      </c>
      <c r="B1084" s="3">
        <f t="shared" si="8"/>
        <v>365</v>
      </c>
      <c r="C1084" s="33">
        <f t="shared" ref="C1084:J1084" si="27">AVERAGE(C270:C281)</f>
        <v>154.75825</v>
      </c>
      <c r="D1084" s="33">
        <f t="shared" si="27"/>
        <v>281.0162499999999</v>
      </c>
      <c r="E1084" s="33">
        <f t="shared" si="27"/>
        <v>780.7254999999999</v>
      </c>
      <c r="F1084" s="33">
        <f t="shared" si="27"/>
        <v>1216.5</v>
      </c>
      <c r="G1084" s="33">
        <f t="shared" si="27"/>
        <v>79.166666666666671</v>
      </c>
      <c r="H1084" s="34">
        <f t="shared" si="27"/>
        <v>600</v>
      </c>
      <c r="I1084" s="33">
        <f t="shared" si="27"/>
        <v>695</v>
      </c>
      <c r="J1084" s="33">
        <f t="shared" si="27"/>
        <v>33.333333333333336</v>
      </c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</row>
    <row r="1085" spans="1:20" ht="15">
      <c r="A1085" s="3">
        <v>2036</v>
      </c>
      <c r="B1085" s="3">
        <f t="shared" si="8"/>
        <v>366</v>
      </c>
      <c r="C1085" s="33">
        <f t="shared" ref="C1085:J1085" si="28">AVERAGE(C282:C293)</f>
        <v>154.75825</v>
      </c>
      <c r="D1085" s="33">
        <f t="shared" si="28"/>
        <v>281.0162499999999</v>
      </c>
      <c r="E1085" s="33">
        <f t="shared" si="28"/>
        <v>780.7254999999999</v>
      </c>
      <c r="F1085" s="33">
        <f t="shared" si="28"/>
        <v>1216.5</v>
      </c>
      <c r="G1085" s="33">
        <f t="shared" si="28"/>
        <v>79.166666666666671</v>
      </c>
      <c r="H1085" s="34">
        <f t="shared" si="28"/>
        <v>600</v>
      </c>
      <c r="I1085" s="33">
        <f t="shared" si="28"/>
        <v>695</v>
      </c>
      <c r="J1085" s="33">
        <f t="shared" si="28"/>
        <v>33.333333333333336</v>
      </c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</row>
    <row r="1086" spans="1:20" ht="15">
      <c r="A1086" s="3">
        <v>2037</v>
      </c>
      <c r="B1086" s="3">
        <f t="shared" si="8"/>
        <v>365</v>
      </c>
      <c r="C1086" s="33">
        <f t="shared" ref="C1086:J1086" si="29">AVERAGE(C294:C305)</f>
        <v>154.75825</v>
      </c>
      <c r="D1086" s="33">
        <f t="shared" si="29"/>
        <v>281.0162499999999</v>
      </c>
      <c r="E1086" s="33">
        <f t="shared" si="29"/>
        <v>780.7254999999999</v>
      </c>
      <c r="F1086" s="33">
        <f t="shared" si="29"/>
        <v>1216.5</v>
      </c>
      <c r="G1086" s="33">
        <f t="shared" si="29"/>
        <v>79.166666666666671</v>
      </c>
      <c r="H1086" s="34">
        <f t="shared" si="29"/>
        <v>600</v>
      </c>
      <c r="I1086" s="33">
        <f t="shared" si="29"/>
        <v>695</v>
      </c>
      <c r="J1086" s="33">
        <f t="shared" si="29"/>
        <v>33.333333333333336</v>
      </c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</row>
    <row r="1087" spans="1:20" ht="15">
      <c r="A1087" s="3">
        <f t="shared" ref="A1087:A1118" si="30">A1086+1</f>
        <v>2038</v>
      </c>
      <c r="B1087" s="3">
        <f t="shared" si="8"/>
        <v>365</v>
      </c>
      <c r="C1087" s="30">
        <f t="shared" ref="C1087:J1087" si="31">AVERAGE(C306:C317)</f>
        <v>154.75825</v>
      </c>
      <c r="D1087" s="30">
        <f t="shared" si="31"/>
        <v>281.0162499999999</v>
      </c>
      <c r="E1087" s="30">
        <f t="shared" si="31"/>
        <v>780.7254999999999</v>
      </c>
      <c r="F1087" s="30">
        <f t="shared" si="31"/>
        <v>1216.5</v>
      </c>
      <c r="G1087" s="30">
        <f t="shared" si="31"/>
        <v>79.166666666666671</v>
      </c>
      <c r="H1087" s="32">
        <f t="shared" si="31"/>
        <v>600</v>
      </c>
      <c r="I1087" s="30">
        <f t="shared" si="31"/>
        <v>695</v>
      </c>
      <c r="J1087" s="30">
        <f t="shared" si="31"/>
        <v>33.333333333333336</v>
      </c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</row>
    <row r="1088" spans="1:20" ht="15">
      <c r="A1088" s="3">
        <f t="shared" si="30"/>
        <v>2039</v>
      </c>
      <c r="B1088" s="3">
        <f t="shared" si="8"/>
        <v>365</v>
      </c>
      <c r="C1088" s="30">
        <f t="shared" ref="C1088:J1088" si="32">AVERAGE(C318:C329)</f>
        <v>154.75825</v>
      </c>
      <c r="D1088" s="30">
        <f t="shared" si="32"/>
        <v>281.0162499999999</v>
      </c>
      <c r="E1088" s="30">
        <f t="shared" si="32"/>
        <v>780.7254999999999</v>
      </c>
      <c r="F1088" s="30">
        <f t="shared" si="32"/>
        <v>1216.5</v>
      </c>
      <c r="G1088" s="30">
        <f t="shared" si="32"/>
        <v>79.166666666666671</v>
      </c>
      <c r="H1088" s="32">
        <f t="shared" si="32"/>
        <v>600</v>
      </c>
      <c r="I1088" s="30">
        <f t="shared" si="32"/>
        <v>695</v>
      </c>
      <c r="J1088" s="30">
        <f t="shared" si="32"/>
        <v>33.333333333333336</v>
      </c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</row>
    <row r="1089" spans="1:20" ht="15">
      <c r="A1089" s="3">
        <f t="shared" si="30"/>
        <v>2040</v>
      </c>
      <c r="B1089" s="3">
        <f t="shared" si="8"/>
        <v>366</v>
      </c>
      <c r="C1089" s="30">
        <f t="shared" ref="C1089:J1089" si="33">AVERAGE(C330:C341)</f>
        <v>154.75825</v>
      </c>
      <c r="D1089" s="30">
        <f t="shared" si="33"/>
        <v>281.0162499999999</v>
      </c>
      <c r="E1089" s="30">
        <f t="shared" si="33"/>
        <v>780.7254999999999</v>
      </c>
      <c r="F1089" s="30">
        <f t="shared" si="33"/>
        <v>1216.5</v>
      </c>
      <c r="G1089" s="30">
        <f t="shared" si="33"/>
        <v>79.166666666666671</v>
      </c>
      <c r="H1089" s="32">
        <f t="shared" si="33"/>
        <v>600</v>
      </c>
      <c r="I1089" s="30">
        <f t="shared" si="33"/>
        <v>695</v>
      </c>
      <c r="J1089" s="30">
        <f t="shared" si="33"/>
        <v>33.333333333333336</v>
      </c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</row>
    <row r="1090" spans="1:20" ht="15">
      <c r="A1090" s="3">
        <f t="shared" si="30"/>
        <v>2041</v>
      </c>
      <c r="B1090" s="3">
        <f t="shared" si="8"/>
        <v>365</v>
      </c>
      <c r="C1090" s="30">
        <f t="shared" ref="C1090:J1090" si="34">AVERAGE(C342:C353)</f>
        <v>154.75825</v>
      </c>
      <c r="D1090" s="30">
        <f t="shared" si="34"/>
        <v>281.0162499999999</v>
      </c>
      <c r="E1090" s="30">
        <f t="shared" si="34"/>
        <v>780.7254999999999</v>
      </c>
      <c r="F1090" s="30">
        <f t="shared" si="34"/>
        <v>1216.5</v>
      </c>
      <c r="G1090" s="30">
        <f t="shared" si="34"/>
        <v>79.166666666666671</v>
      </c>
      <c r="H1090" s="32">
        <f t="shared" si="34"/>
        <v>600</v>
      </c>
      <c r="I1090" s="30">
        <f t="shared" si="34"/>
        <v>695</v>
      </c>
      <c r="J1090" s="30">
        <f t="shared" si="34"/>
        <v>33.333333333333336</v>
      </c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</row>
    <row r="1091" spans="1:20" ht="15">
      <c r="A1091" s="3">
        <f t="shared" si="30"/>
        <v>2042</v>
      </c>
      <c r="B1091" s="3">
        <f t="shared" si="8"/>
        <v>365</v>
      </c>
      <c r="C1091" s="30">
        <f t="shared" ref="C1091:J1091" si="35">AVERAGE(C354:C365)</f>
        <v>154.75825</v>
      </c>
      <c r="D1091" s="30">
        <f t="shared" si="35"/>
        <v>281.0162499999999</v>
      </c>
      <c r="E1091" s="30">
        <f t="shared" si="35"/>
        <v>780.7254999999999</v>
      </c>
      <c r="F1091" s="30">
        <f t="shared" si="35"/>
        <v>1216.5</v>
      </c>
      <c r="G1091" s="30">
        <f t="shared" si="35"/>
        <v>79.166666666666671</v>
      </c>
      <c r="H1091" s="32">
        <f t="shared" si="35"/>
        <v>600</v>
      </c>
      <c r="I1091" s="30">
        <f t="shared" si="35"/>
        <v>695</v>
      </c>
      <c r="J1091" s="30">
        <f t="shared" si="35"/>
        <v>33.333333333333336</v>
      </c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</row>
    <row r="1092" spans="1:20" ht="15">
      <c r="A1092" s="3">
        <f t="shared" si="30"/>
        <v>2043</v>
      </c>
      <c r="B1092" s="3">
        <f t="shared" si="8"/>
        <v>365</v>
      </c>
      <c r="C1092" s="30">
        <f t="shared" ref="C1092:J1092" si="36">AVERAGE(C366:C377)</f>
        <v>154.75825</v>
      </c>
      <c r="D1092" s="30">
        <f t="shared" si="36"/>
        <v>281.0162499999999</v>
      </c>
      <c r="E1092" s="30">
        <f t="shared" si="36"/>
        <v>780.7254999999999</v>
      </c>
      <c r="F1092" s="30">
        <f t="shared" si="36"/>
        <v>1216.5</v>
      </c>
      <c r="G1092" s="30">
        <f t="shared" si="36"/>
        <v>79.166666666666671</v>
      </c>
      <c r="H1092" s="32">
        <f t="shared" si="36"/>
        <v>600</v>
      </c>
      <c r="I1092" s="30">
        <f t="shared" si="36"/>
        <v>695</v>
      </c>
      <c r="J1092" s="30">
        <f t="shared" si="36"/>
        <v>33.333333333333336</v>
      </c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</row>
    <row r="1093" spans="1:20" ht="15">
      <c r="A1093" s="3">
        <f t="shared" si="30"/>
        <v>2044</v>
      </c>
      <c r="B1093" s="3">
        <f t="shared" si="8"/>
        <v>366</v>
      </c>
      <c r="C1093" s="30">
        <f t="shared" ref="C1093:J1093" si="37">AVERAGE(C378:C389)</f>
        <v>154.75825</v>
      </c>
      <c r="D1093" s="30">
        <f t="shared" si="37"/>
        <v>281.0162499999999</v>
      </c>
      <c r="E1093" s="30">
        <f t="shared" si="37"/>
        <v>780.7254999999999</v>
      </c>
      <c r="F1093" s="30">
        <f t="shared" si="37"/>
        <v>1216.5</v>
      </c>
      <c r="G1093" s="30">
        <f t="shared" si="37"/>
        <v>79.166666666666671</v>
      </c>
      <c r="H1093" s="32">
        <f t="shared" si="37"/>
        <v>600</v>
      </c>
      <c r="I1093" s="30">
        <f t="shared" si="37"/>
        <v>695</v>
      </c>
      <c r="J1093" s="30">
        <f t="shared" si="37"/>
        <v>33.333333333333336</v>
      </c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</row>
    <row r="1094" spans="1:20" ht="15">
      <c r="A1094" s="3">
        <f t="shared" si="30"/>
        <v>2045</v>
      </c>
      <c r="B1094" s="3">
        <f t="shared" si="8"/>
        <v>365</v>
      </c>
      <c r="C1094" s="30">
        <f t="shared" ref="C1094:J1094" si="38">AVERAGE(C390:C401)</f>
        <v>154.75825</v>
      </c>
      <c r="D1094" s="30">
        <f t="shared" si="38"/>
        <v>281.0162499999999</v>
      </c>
      <c r="E1094" s="30">
        <f t="shared" si="38"/>
        <v>780.7254999999999</v>
      </c>
      <c r="F1094" s="30">
        <f t="shared" si="38"/>
        <v>1216.5</v>
      </c>
      <c r="G1094" s="30">
        <f t="shared" si="38"/>
        <v>79.166666666666671</v>
      </c>
      <c r="H1094" s="32">
        <f t="shared" si="38"/>
        <v>600</v>
      </c>
      <c r="I1094" s="30">
        <f t="shared" si="38"/>
        <v>695</v>
      </c>
      <c r="J1094" s="30">
        <f t="shared" si="38"/>
        <v>33.333333333333336</v>
      </c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</row>
    <row r="1095" spans="1:20" ht="15">
      <c r="A1095" s="3">
        <f t="shared" si="30"/>
        <v>2046</v>
      </c>
      <c r="B1095" s="3">
        <f t="shared" ref="B1095:B1126" si="39">DATE(A1095+1,1,1)-DATE(A1095,1,1)</f>
        <v>365</v>
      </c>
      <c r="C1095" s="30">
        <f t="shared" ref="C1095:J1095" si="40">AVERAGE(C402:C413)</f>
        <v>154.75825</v>
      </c>
      <c r="D1095" s="30">
        <f t="shared" si="40"/>
        <v>281.0162499999999</v>
      </c>
      <c r="E1095" s="30">
        <f t="shared" si="40"/>
        <v>780.7254999999999</v>
      </c>
      <c r="F1095" s="30">
        <f t="shared" si="40"/>
        <v>1216.5</v>
      </c>
      <c r="G1095" s="30">
        <f t="shared" si="40"/>
        <v>79.166666666666671</v>
      </c>
      <c r="H1095" s="32">
        <f t="shared" si="40"/>
        <v>600</v>
      </c>
      <c r="I1095" s="30">
        <f t="shared" si="40"/>
        <v>695</v>
      </c>
      <c r="J1095" s="30">
        <f t="shared" si="40"/>
        <v>33.333333333333336</v>
      </c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</row>
    <row r="1096" spans="1:20" ht="15">
      <c r="A1096" s="3">
        <f t="shared" si="30"/>
        <v>2047</v>
      </c>
      <c r="B1096" s="3">
        <f t="shared" si="39"/>
        <v>365</v>
      </c>
      <c r="C1096" s="30">
        <f t="shared" ref="C1096:J1096" si="41">AVERAGE(C414:C425)</f>
        <v>154.75825</v>
      </c>
      <c r="D1096" s="30">
        <f t="shared" si="41"/>
        <v>281.0162499999999</v>
      </c>
      <c r="E1096" s="30">
        <f t="shared" si="41"/>
        <v>780.7254999999999</v>
      </c>
      <c r="F1096" s="30">
        <f t="shared" si="41"/>
        <v>1216.5</v>
      </c>
      <c r="G1096" s="30">
        <f t="shared" si="41"/>
        <v>79.166666666666671</v>
      </c>
      <c r="H1096" s="32">
        <f t="shared" si="41"/>
        <v>600</v>
      </c>
      <c r="I1096" s="30">
        <f t="shared" si="41"/>
        <v>695</v>
      </c>
      <c r="J1096" s="30">
        <f t="shared" si="41"/>
        <v>33.333333333333336</v>
      </c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</row>
    <row r="1097" spans="1:20" ht="15">
      <c r="A1097" s="3">
        <f t="shared" si="30"/>
        <v>2048</v>
      </c>
      <c r="B1097" s="3">
        <f t="shared" si="39"/>
        <v>366</v>
      </c>
      <c r="C1097" s="30">
        <f t="shared" ref="C1097:J1097" si="42">AVERAGE(C426:C437)</f>
        <v>154.75825</v>
      </c>
      <c r="D1097" s="30">
        <f t="shared" si="42"/>
        <v>281.0162499999999</v>
      </c>
      <c r="E1097" s="30">
        <f t="shared" si="42"/>
        <v>780.7254999999999</v>
      </c>
      <c r="F1097" s="30">
        <f t="shared" si="42"/>
        <v>1216.5</v>
      </c>
      <c r="G1097" s="30">
        <f t="shared" si="42"/>
        <v>79.166666666666671</v>
      </c>
      <c r="H1097" s="32">
        <f t="shared" si="42"/>
        <v>600</v>
      </c>
      <c r="I1097" s="30">
        <f t="shared" si="42"/>
        <v>695</v>
      </c>
      <c r="J1097" s="30">
        <f t="shared" si="42"/>
        <v>33.333333333333336</v>
      </c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</row>
    <row r="1098" spans="1:20" ht="15">
      <c r="A1098" s="3">
        <f t="shared" si="30"/>
        <v>2049</v>
      </c>
      <c r="B1098" s="3">
        <f t="shared" si="39"/>
        <v>365</v>
      </c>
      <c r="C1098" s="30">
        <f t="shared" ref="C1098:J1098" si="43">AVERAGE(C438:C449)</f>
        <v>154.75825</v>
      </c>
      <c r="D1098" s="30">
        <f t="shared" si="43"/>
        <v>281.0162499999999</v>
      </c>
      <c r="E1098" s="30">
        <f t="shared" si="43"/>
        <v>780.7254999999999</v>
      </c>
      <c r="F1098" s="30">
        <f t="shared" si="43"/>
        <v>1216.5</v>
      </c>
      <c r="G1098" s="30">
        <f t="shared" si="43"/>
        <v>79.166666666666671</v>
      </c>
      <c r="H1098" s="32">
        <f t="shared" si="43"/>
        <v>600</v>
      </c>
      <c r="I1098" s="30">
        <f t="shared" si="43"/>
        <v>695</v>
      </c>
      <c r="J1098" s="30">
        <f t="shared" si="43"/>
        <v>33.333333333333336</v>
      </c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</row>
    <row r="1099" spans="1:20" ht="15">
      <c r="A1099" s="3">
        <f t="shared" si="30"/>
        <v>2050</v>
      </c>
      <c r="B1099" s="3">
        <f t="shared" si="39"/>
        <v>365</v>
      </c>
      <c r="C1099" s="30">
        <f t="shared" ref="C1099:J1099" si="44">AVERAGE(C450:C461)</f>
        <v>154.75825</v>
      </c>
      <c r="D1099" s="30">
        <f t="shared" si="44"/>
        <v>281.0162499999999</v>
      </c>
      <c r="E1099" s="30">
        <f t="shared" si="44"/>
        <v>780.7254999999999</v>
      </c>
      <c r="F1099" s="30">
        <f t="shared" si="44"/>
        <v>1216.5</v>
      </c>
      <c r="G1099" s="30">
        <f t="shared" si="44"/>
        <v>79.166666666666671</v>
      </c>
      <c r="H1099" s="32">
        <f t="shared" si="44"/>
        <v>600</v>
      </c>
      <c r="I1099" s="30">
        <f t="shared" si="44"/>
        <v>695</v>
      </c>
      <c r="J1099" s="30">
        <f t="shared" si="44"/>
        <v>33.333333333333336</v>
      </c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</row>
    <row r="1100" spans="1:20" ht="15">
      <c r="A1100" s="3">
        <f t="shared" si="30"/>
        <v>2051</v>
      </c>
      <c r="B1100" s="3">
        <f t="shared" si="39"/>
        <v>365</v>
      </c>
      <c r="C1100" s="30">
        <f t="shared" ref="C1100:J1100" si="45">AVERAGE(C462:C473)</f>
        <v>154.75825</v>
      </c>
      <c r="D1100" s="30">
        <f t="shared" si="45"/>
        <v>281.0162499999999</v>
      </c>
      <c r="E1100" s="30">
        <f t="shared" si="45"/>
        <v>780.7254999999999</v>
      </c>
      <c r="F1100" s="30">
        <f t="shared" si="45"/>
        <v>1216.5</v>
      </c>
      <c r="G1100" s="30">
        <f t="shared" si="45"/>
        <v>79.166666666666671</v>
      </c>
      <c r="H1100" s="32">
        <f t="shared" si="45"/>
        <v>600</v>
      </c>
      <c r="I1100" s="30">
        <f t="shared" si="45"/>
        <v>695</v>
      </c>
      <c r="J1100" s="30">
        <f t="shared" si="45"/>
        <v>33.333333333333336</v>
      </c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</row>
    <row r="1101" spans="1:20" ht="15">
      <c r="A1101" s="3">
        <f t="shared" si="30"/>
        <v>2052</v>
      </c>
      <c r="B1101" s="3">
        <f t="shared" si="39"/>
        <v>366</v>
      </c>
      <c r="C1101" s="30">
        <f t="shared" ref="C1101:J1101" si="46">AVERAGE(C474:C485)</f>
        <v>154.75825</v>
      </c>
      <c r="D1101" s="30">
        <f t="shared" si="46"/>
        <v>281.0162499999999</v>
      </c>
      <c r="E1101" s="30">
        <f t="shared" si="46"/>
        <v>780.7254999999999</v>
      </c>
      <c r="F1101" s="30">
        <f t="shared" si="46"/>
        <v>1216.5</v>
      </c>
      <c r="G1101" s="30">
        <f t="shared" si="46"/>
        <v>79.166666666666671</v>
      </c>
      <c r="H1101" s="32">
        <f t="shared" si="46"/>
        <v>600</v>
      </c>
      <c r="I1101" s="30">
        <f t="shared" si="46"/>
        <v>695</v>
      </c>
      <c r="J1101" s="30">
        <f t="shared" si="46"/>
        <v>33.333333333333336</v>
      </c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</row>
    <row r="1102" spans="1:20" ht="15">
      <c r="A1102" s="3">
        <f t="shared" si="30"/>
        <v>2053</v>
      </c>
      <c r="B1102" s="3">
        <f t="shared" si="39"/>
        <v>365</v>
      </c>
      <c r="C1102" s="30">
        <f t="shared" ref="C1102:J1102" si="47">AVERAGE(C486:C497)</f>
        <v>154.75825</v>
      </c>
      <c r="D1102" s="30">
        <f t="shared" si="47"/>
        <v>281.0162499999999</v>
      </c>
      <c r="E1102" s="30">
        <f t="shared" si="47"/>
        <v>780.7254999999999</v>
      </c>
      <c r="F1102" s="30">
        <f t="shared" si="47"/>
        <v>1216.5</v>
      </c>
      <c r="G1102" s="30">
        <f t="shared" si="47"/>
        <v>79.166666666666671</v>
      </c>
      <c r="H1102" s="32">
        <f t="shared" si="47"/>
        <v>600</v>
      </c>
      <c r="I1102" s="30">
        <f t="shared" si="47"/>
        <v>695</v>
      </c>
      <c r="J1102" s="30">
        <f t="shared" si="47"/>
        <v>33.333333333333336</v>
      </c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</row>
    <row r="1103" spans="1:20" ht="15">
      <c r="A1103" s="3">
        <f t="shared" si="30"/>
        <v>2054</v>
      </c>
      <c r="B1103" s="3">
        <f t="shared" si="39"/>
        <v>365</v>
      </c>
      <c r="C1103" s="30">
        <f t="shared" ref="C1103:J1110" si="48">AVERAGE(C498:C509)</f>
        <v>154.75825</v>
      </c>
      <c r="D1103" s="30">
        <f t="shared" si="48"/>
        <v>281.0162499999999</v>
      </c>
      <c r="E1103" s="30">
        <f t="shared" si="48"/>
        <v>780.7254999999999</v>
      </c>
      <c r="F1103" s="30">
        <f t="shared" si="48"/>
        <v>1216.5</v>
      </c>
      <c r="G1103" s="30">
        <f t="shared" si="48"/>
        <v>79.166666666666671</v>
      </c>
      <c r="H1103" s="32">
        <f t="shared" si="48"/>
        <v>600</v>
      </c>
      <c r="I1103" s="30">
        <f t="shared" si="48"/>
        <v>695</v>
      </c>
      <c r="J1103" s="30">
        <f t="shared" si="48"/>
        <v>33.333333333333336</v>
      </c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</row>
    <row r="1104" spans="1:20" ht="15">
      <c r="A1104" s="3">
        <f t="shared" si="30"/>
        <v>2055</v>
      </c>
      <c r="B1104" s="3">
        <f t="shared" si="39"/>
        <v>365</v>
      </c>
      <c r="C1104" s="30">
        <f t="shared" si="48"/>
        <v>154.75825</v>
      </c>
      <c r="D1104" s="30">
        <f t="shared" si="48"/>
        <v>281.0162499999999</v>
      </c>
      <c r="E1104" s="30">
        <f t="shared" si="48"/>
        <v>780.7254999999999</v>
      </c>
      <c r="F1104" s="30">
        <f t="shared" si="48"/>
        <v>1216.5</v>
      </c>
      <c r="G1104" s="30">
        <f t="shared" si="48"/>
        <v>79.166666666666671</v>
      </c>
      <c r="H1104" s="32">
        <f t="shared" si="48"/>
        <v>600</v>
      </c>
      <c r="I1104" s="30">
        <f t="shared" si="48"/>
        <v>695</v>
      </c>
      <c r="J1104" s="30">
        <f t="shared" si="48"/>
        <v>33.333333333333336</v>
      </c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</row>
    <row r="1105" spans="1:20" ht="15">
      <c r="A1105" s="3">
        <f t="shared" si="30"/>
        <v>2056</v>
      </c>
      <c r="B1105" s="3">
        <f t="shared" si="39"/>
        <v>366</v>
      </c>
      <c r="C1105" s="30">
        <f t="shared" si="48"/>
        <v>154.75824999999998</v>
      </c>
      <c r="D1105" s="30">
        <f t="shared" si="48"/>
        <v>281.0162499999999</v>
      </c>
      <c r="E1105" s="30">
        <f t="shared" si="48"/>
        <v>780.7254999999999</v>
      </c>
      <c r="F1105" s="30">
        <f t="shared" si="48"/>
        <v>1216.5</v>
      </c>
      <c r="G1105" s="30">
        <f t="shared" si="48"/>
        <v>79.166666666666671</v>
      </c>
      <c r="H1105" s="32">
        <f t="shared" si="48"/>
        <v>600</v>
      </c>
      <c r="I1105" s="30">
        <f t="shared" si="48"/>
        <v>695</v>
      </c>
      <c r="J1105" s="30">
        <f t="shared" si="48"/>
        <v>33.333333333333336</v>
      </c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</row>
    <row r="1106" spans="1:20" ht="15">
      <c r="A1106" s="3">
        <f t="shared" si="30"/>
        <v>2057</v>
      </c>
      <c r="B1106" s="3">
        <f t="shared" si="39"/>
        <v>365</v>
      </c>
      <c r="C1106" s="30">
        <f t="shared" si="48"/>
        <v>154.75825</v>
      </c>
      <c r="D1106" s="30">
        <f t="shared" si="48"/>
        <v>281.0162499999999</v>
      </c>
      <c r="E1106" s="30">
        <f t="shared" si="48"/>
        <v>780.72550000000001</v>
      </c>
      <c r="F1106" s="30">
        <f t="shared" si="48"/>
        <v>1216.5</v>
      </c>
      <c r="G1106" s="30">
        <f t="shared" si="48"/>
        <v>79.166666666666671</v>
      </c>
      <c r="H1106" s="32">
        <f t="shared" si="48"/>
        <v>600</v>
      </c>
      <c r="I1106" s="30">
        <f t="shared" si="48"/>
        <v>695</v>
      </c>
      <c r="J1106" s="30">
        <f t="shared" si="48"/>
        <v>33.333333333333336</v>
      </c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</row>
    <row r="1107" spans="1:20" ht="15">
      <c r="A1107" s="3">
        <f t="shared" si="30"/>
        <v>2058</v>
      </c>
      <c r="B1107" s="3">
        <f t="shared" si="39"/>
        <v>365</v>
      </c>
      <c r="C1107" s="30">
        <f t="shared" si="48"/>
        <v>154.75824999999998</v>
      </c>
      <c r="D1107" s="30">
        <f t="shared" si="48"/>
        <v>281.01624999999996</v>
      </c>
      <c r="E1107" s="30">
        <f t="shared" si="48"/>
        <v>780.72550000000001</v>
      </c>
      <c r="F1107" s="30">
        <f t="shared" si="48"/>
        <v>1216.5</v>
      </c>
      <c r="G1107" s="30">
        <f t="shared" si="48"/>
        <v>79.166666666666671</v>
      </c>
      <c r="H1107" s="32">
        <f t="shared" si="48"/>
        <v>600</v>
      </c>
      <c r="I1107" s="30">
        <f t="shared" si="48"/>
        <v>695</v>
      </c>
      <c r="J1107" s="30">
        <f t="shared" si="48"/>
        <v>33.333333333333336</v>
      </c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</row>
    <row r="1108" spans="1:20" ht="15">
      <c r="A1108" s="3">
        <f t="shared" si="30"/>
        <v>2059</v>
      </c>
      <c r="B1108" s="3">
        <f t="shared" si="39"/>
        <v>365</v>
      </c>
      <c r="C1108" s="30">
        <f t="shared" si="48"/>
        <v>154.75824999999998</v>
      </c>
      <c r="D1108" s="30">
        <f t="shared" si="48"/>
        <v>281.01624999999996</v>
      </c>
      <c r="E1108" s="30">
        <f t="shared" si="48"/>
        <v>780.72550000000012</v>
      </c>
      <c r="F1108" s="30">
        <f t="shared" si="48"/>
        <v>1216.5</v>
      </c>
      <c r="G1108" s="30">
        <f t="shared" si="48"/>
        <v>79.166666666666671</v>
      </c>
      <c r="H1108" s="32">
        <f t="shared" si="48"/>
        <v>600</v>
      </c>
      <c r="I1108" s="30">
        <f t="shared" si="48"/>
        <v>695</v>
      </c>
      <c r="J1108" s="30">
        <f t="shared" si="48"/>
        <v>33.333333333333336</v>
      </c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</row>
    <row r="1109" spans="1:20" ht="15">
      <c r="A1109" s="3">
        <f t="shared" si="30"/>
        <v>2060</v>
      </c>
      <c r="B1109" s="3">
        <f t="shared" si="39"/>
        <v>366</v>
      </c>
      <c r="C1109" s="30">
        <f t="shared" si="48"/>
        <v>154.75824999999998</v>
      </c>
      <c r="D1109" s="30">
        <f t="shared" si="48"/>
        <v>281.01624999999996</v>
      </c>
      <c r="E1109" s="30">
        <f t="shared" si="48"/>
        <v>780.72550000000012</v>
      </c>
      <c r="F1109" s="30">
        <f t="shared" si="48"/>
        <v>1216.5</v>
      </c>
      <c r="G1109" s="30">
        <f t="shared" si="48"/>
        <v>79.166666666666671</v>
      </c>
      <c r="H1109" s="32">
        <f t="shared" si="48"/>
        <v>600</v>
      </c>
      <c r="I1109" s="30">
        <f t="shared" si="48"/>
        <v>695</v>
      </c>
      <c r="J1109" s="30">
        <f t="shared" si="48"/>
        <v>33.333333333333336</v>
      </c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</row>
    <row r="1110" spans="1:20" ht="15">
      <c r="A1110" s="3">
        <f t="shared" si="30"/>
        <v>2061</v>
      </c>
      <c r="B1110" s="3">
        <f t="shared" si="39"/>
        <v>365</v>
      </c>
      <c r="C1110" s="30">
        <f t="shared" si="48"/>
        <v>154.75825</v>
      </c>
      <c r="D1110" s="30">
        <f t="shared" si="48"/>
        <v>281.01624999999996</v>
      </c>
      <c r="E1110" s="30">
        <f t="shared" si="48"/>
        <v>780.72550000000001</v>
      </c>
      <c r="F1110" s="30">
        <f t="shared" si="48"/>
        <v>1216.5</v>
      </c>
      <c r="G1110" s="30">
        <f t="shared" si="48"/>
        <v>79.166666666666671</v>
      </c>
      <c r="H1110" s="32">
        <f t="shared" si="48"/>
        <v>600</v>
      </c>
      <c r="I1110" s="30">
        <f t="shared" si="48"/>
        <v>695</v>
      </c>
      <c r="J1110" s="30">
        <f t="shared" si="48"/>
        <v>33.333333333333336</v>
      </c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</row>
    <row r="1111" spans="1:20" ht="15">
      <c r="A1111" s="3">
        <f t="shared" si="30"/>
        <v>2062</v>
      </c>
      <c r="B1111" s="3">
        <f t="shared" si="39"/>
        <v>365</v>
      </c>
      <c r="C1111" s="30">
        <f t="shared" ref="C1111:J1120" ca="1" si="49">AVERAGE(OFFSET(C$594,($A1111-$A$1111)*12,0,12,1))</f>
        <v>154.75825</v>
      </c>
      <c r="D1111" s="30">
        <f t="shared" ca="1" si="49"/>
        <v>281.0162499999999</v>
      </c>
      <c r="E1111" s="30">
        <f t="shared" ca="1" si="49"/>
        <v>780.7254999999999</v>
      </c>
      <c r="F1111" s="30">
        <f t="shared" ca="1" si="49"/>
        <v>1216.5</v>
      </c>
      <c r="G1111" s="30">
        <f t="shared" ca="1" si="49"/>
        <v>79.166666666666671</v>
      </c>
      <c r="H1111" s="30">
        <f t="shared" ca="1" si="49"/>
        <v>600</v>
      </c>
      <c r="I1111" s="30">
        <f t="shared" ca="1" si="49"/>
        <v>695</v>
      </c>
      <c r="J1111" s="30">
        <f t="shared" ca="1" si="49"/>
        <v>33.333333333333336</v>
      </c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</row>
    <row r="1112" spans="1:20" ht="15">
      <c r="A1112" s="3">
        <f t="shared" si="30"/>
        <v>2063</v>
      </c>
      <c r="B1112" s="3">
        <f t="shared" si="39"/>
        <v>365</v>
      </c>
      <c r="C1112" s="30">
        <f t="shared" ca="1" si="49"/>
        <v>154.75825</v>
      </c>
      <c r="D1112" s="30">
        <f t="shared" ca="1" si="49"/>
        <v>281.0162499999999</v>
      </c>
      <c r="E1112" s="30">
        <f t="shared" ca="1" si="49"/>
        <v>780.7254999999999</v>
      </c>
      <c r="F1112" s="30">
        <f t="shared" ca="1" si="49"/>
        <v>1216.5</v>
      </c>
      <c r="G1112" s="30">
        <f t="shared" ca="1" si="49"/>
        <v>79.166666666666671</v>
      </c>
      <c r="H1112" s="30">
        <f t="shared" ca="1" si="49"/>
        <v>600</v>
      </c>
      <c r="I1112" s="30">
        <f t="shared" ca="1" si="49"/>
        <v>695</v>
      </c>
      <c r="J1112" s="30">
        <f t="shared" ca="1" si="49"/>
        <v>33.333333333333336</v>
      </c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</row>
    <row r="1113" spans="1:20" ht="15">
      <c r="A1113" s="3">
        <f t="shared" si="30"/>
        <v>2064</v>
      </c>
      <c r="B1113" s="3">
        <f t="shared" si="39"/>
        <v>366</v>
      </c>
      <c r="C1113" s="30">
        <f t="shared" ca="1" si="49"/>
        <v>154.75825</v>
      </c>
      <c r="D1113" s="30">
        <f t="shared" ca="1" si="49"/>
        <v>281.0162499999999</v>
      </c>
      <c r="E1113" s="30">
        <f t="shared" ca="1" si="49"/>
        <v>780.7254999999999</v>
      </c>
      <c r="F1113" s="30">
        <f t="shared" ca="1" si="49"/>
        <v>1216.5</v>
      </c>
      <c r="G1113" s="30">
        <f t="shared" ca="1" si="49"/>
        <v>79.166666666666671</v>
      </c>
      <c r="H1113" s="30">
        <f t="shared" ca="1" si="49"/>
        <v>600</v>
      </c>
      <c r="I1113" s="30">
        <f t="shared" ca="1" si="49"/>
        <v>695</v>
      </c>
      <c r="J1113" s="30">
        <f t="shared" ca="1" si="49"/>
        <v>33.333333333333336</v>
      </c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</row>
    <row r="1114" spans="1:20" ht="15">
      <c r="A1114" s="3">
        <f t="shared" si="30"/>
        <v>2065</v>
      </c>
      <c r="B1114" s="3">
        <f t="shared" si="39"/>
        <v>365</v>
      </c>
      <c r="C1114" s="30">
        <f t="shared" ca="1" si="49"/>
        <v>154.75825</v>
      </c>
      <c r="D1114" s="30">
        <f t="shared" ca="1" si="49"/>
        <v>281.0162499999999</v>
      </c>
      <c r="E1114" s="30">
        <f t="shared" ca="1" si="49"/>
        <v>780.7254999999999</v>
      </c>
      <c r="F1114" s="30">
        <f t="shared" ca="1" si="49"/>
        <v>1216.5</v>
      </c>
      <c r="G1114" s="30">
        <f t="shared" ca="1" si="49"/>
        <v>79.166666666666671</v>
      </c>
      <c r="H1114" s="30">
        <f t="shared" ca="1" si="49"/>
        <v>600</v>
      </c>
      <c r="I1114" s="30">
        <f t="shared" ca="1" si="49"/>
        <v>695</v>
      </c>
      <c r="J1114" s="30">
        <f t="shared" ca="1" si="49"/>
        <v>33.333333333333336</v>
      </c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</row>
    <row r="1115" spans="1:20" ht="15">
      <c r="A1115" s="3">
        <f t="shared" si="30"/>
        <v>2066</v>
      </c>
      <c r="B1115" s="3">
        <f t="shared" si="39"/>
        <v>365</v>
      </c>
      <c r="C1115" s="30">
        <f t="shared" ca="1" si="49"/>
        <v>154.75825</v>
      </c>
      <c r="D1115" s="30">
        <f t="shared" ca="1" si="49"/>
        <v>281.0162499999999</v>
      </c>
      <c r="E1115" s="30">
        <f t="shared" ca="1" si="49"/>
        <v>780.7254999999999</v>
      </c>
      <c r="F1115" s="30">
        <f t="shared" ca="1" si="49"/>
        <v>1216.5</v>
      </c>
      <c r="G1115" s="30">
        <f t="shared" ca="1" si="49"/>
        <v>79.166666666666671</v>
      </c>
      <c r="H1115" s="30">
        <f t="shared" ca="1" si="49"/>
        <v>600</v>
      </c>
      <c r="I1115" s="30">
        <f t="shared" ca="1" si="49"/>
        <v>695</v>
      </c>
      <c r="J1115" s="30">
        <f t="shared" ca="1" si="49"/>
        <v>33.333333333333336</v>
      </c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</row>
    <row r="1116" spans="1:20" ht="15">
      <c r="A1116" s="3">
        <f t="shared" si="30"/>
        <v>2067</v>
      </c>
      <c r="B1116" s="3">
        <f t="shared" si="39"/>
        <v>365</v>
      </c>
      <c r="C1116" s="30">
        <f t="shared" ca="1" si="49"/>
        <v>154.75825</v>
      </c>
      <c r="D1116" s="30">
        <f t="shared" ca="1" si="49"/>
        <v>281.0162499999999</v>
      </c>
      <c r="E1116" s="30">
        <f t="shared" ca="1" si="49"/>
        <v>780.7254999999999</v>
      </c>
      <c r="F1116" s="30">
        <f t="shared" ca="1" si="49"/>
        <v>1216.5</v>
      </c>
      <c r="G1116" s="30">
        <f t="shared" ca="1" si="49"/>
        <v>79.166666666666671</v>
      </c>
      <c r="H1116" s="30">
        <f t="shared" ca="1" si="49"/>
        <v>600</v>
      </c>
      <c r="I1116" s="30">
        <f t="shared" ca="1" si="49"/>
        <v>695</v>
      </c>
      <c r="J1116" s="30">
        <f t="shared" ca="1" si="49"/>
        <v>33.333333333333336</v>
      </c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</row>
    <row r="1117" spans="1:20" ht="15">
      <c r="A1117" s="3">
        <f t="shared" si="30"/>
        <v>2068</v>
      </c>
      <c r="B1117" s="3">
        <f t="shared" si="39"/>
        <v>366</v>
      </c>
      <c r="C1117" s="30">
        <f t="shared" ca="1" si="49"/>
        <v>154.75825</v>
      </c>
      <c r="D1117" s="30">
        <f t="shared" ca="1" si="49"/>
        <v>281.0162499999999</v>
      </c>
      <c r="E1117" s="30">
        <f t="shared" ca="1" si="49"/>
        <v>780.7254999999999</v>
      </c>
      <c r="F1117" s="30">
        <f t="shared" ca="1" si="49"/>
        <v>1216.5</v>
      </c>
      <c r="G1117" s="30">
        <f t="shared" ca="1" si="49"/>
        <v>79.166666666666671</v>
      </c>
      <c r="H1117" s="30">
        <f t="shared" ca="1" si="49"/>
        <v>600</v>
      </c>
      <c r="I1117" s="30">
        <f t="shared" ca="1" si="49"/>
        <v>695</v>
      </c>
      <c r="J1117" s="30">
        <f t="shared" ca="1" si="49"/>
        <v>33.333333333333336</v>
      </c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</row>
    <row r="1118" spans="1:20" ht="15">
      <c r="A1118" s="3">
        <f t="shared" si="30"/>
        <v>2069</v>
      </c>
      <c r="B1118" s="3">
        <f t="shared" si="39"/>
        <v>365</v>
      </c>
      <c r="C1118" s="30">
        <f t="shared" ca="1" si="49"/>
        <v>154.75825</v>
      </c>
      <c r="D1118" s="30">
        <f t="shared" ca="1" si="49"/>
        <v>281.0162499999999</v>
      </c>
      <c r="E1118" s="30">
        <f t="shared" ca="1" si="49"/>
        <v>780.7254999999999</v>
      </c>
      <c r="F1118" s="30">
        <f t="shared" ca="1" si="49"/>
        <v>1216.5</v>
      </c>
      <c r="G1118" s="30">
        <f t="shared" ca="1" si="49"/>
        <v>79.166666666666671</v>
      </c>
      <c r="H1118" s="30">
        <f t="shared" ca="1" si="49"/>
        <v>600</v>
      </c>
      <c r="I1118" s="30">
        <f t="shared" ca="1" si="49"/>
        <v>695</v>
      </c>
      <c r="J1118" s="30">
        <f t="shared" ca="1" si="49"/>
        <v>33.333333333333336</v>
      </c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</row>
    <row r="1119" spans="1:20" ht="15">
      <c r="A1119" s="3">
        <f t="shared" ref="A1119:A1149" si="50">A1118+1</f>
        <v>2070</v>
      </c>
      <c r="B1119" s="3">
        <f t="shared" si="39"/>
        <v>365</v>
      </c>
      <c r="C1119" s="30">
        <f t="shared" ca="1" si="49"/>
        <v>154.75825</v>
      </c>
      <c r="D1119" s="30">
        <f t="shared" ca="1" si="49"/>
        <v>281.0162499999999</v>
      </c>
      <c r="E1119" s="30">
        <f t="shared" ca="1" si="49"/>
        <v>780.7254999999999</v>
      </c>
      <c r="F1119" s="30">
        <f t="shared" ca="1" si="49"/>
        <v>1216.5</v>
      </c>
      <c r="G1119" s="30">
        <f t="shared" ca="1" si="49"/>
        <v>79.166666666666671</v>
      </c>
      <c r="H1119" s="30">
        <f t="shared" ca="1" si="49"/>
        <v>600</v>
      </c>
      <c r="I1119" s="30">
        <f t="shared" ca="1" si="49"/>
        <v>695</v>
      </c>
      <c r="J1119" s="30">
        <f t="shared" ca="1" si="49"/>
        <v>33.333333333333336</v>
      </c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</row>
    <row r="1120" spans="1:20" ht="15">
      <c r="A1120" s="3">
        <f t="shared" si="50"/>
        <v>2071</v>
      </c>
      <c r="B1120" s="3">
        <f t="shared" si="39"/>
        <v>365</v>
      </c>
      <c r="C1120" s="30">
        <f t="shared" ca="1" si="49"/>
        <v>154.75825</v>
      </c>
      <c r="D1120" s="30">
        <f t="shared" ca="1" si="49"/>
        <v>281.0162499999999</v>
      </c>
      <c r="E1120" s="30">
        <f t="shared" ca="1" si="49"/>
        <v>780.7254999999999</v>
      </c>
      <c r="F1120" s="30">
        <f t="shared" ca="1" si="49"/>
        <v>1216.5</v>
      </c>
      <c r="G1120" s="30">
        <f t="shared" ca="1" si="49"/>
        <v>79.166666666666671</v>
      </c>
      <c r="H1120" s="30">
        <f t="shared" ca="1" si="49"/>
        <v>600</v>
      </c>
      <c r="I1120" s="30">
        <f t="shared" ca="1" si="49"/>
        <v>695</v>
      </c>
      <c r="J1120" s="30">
        <f t="shared" ca="1" si="49"/>
        <v>33.333333333333336</v>
      </c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</row>
    <row r="1121" spans="1:20" ht="15">
      <c r="A1121" s="3">
        <f t="shared" si="50"/>
        <v>2072</v>
      </c>
      <c r="B1121" s="3">
        <f t="shared" si="39"/>
        <v>366</v>
      </c>
      <c r="C1121" s="30">
        <f t="shared" ref="C1121:J1130" ca="1" si="51">AVERAGE(OFFSET(C$594,($A1121-$A$1111)*12,0,12,1))</f>
        <v>154.75825</v>
      </c>
      <c r="D1121" s="30">
        <f t="shared" ca="1" si="51"/>
        <v>281.0162499999999</v>
      </c>
      <c r="E1121" s="30">
        <f t="shared" ca="1" si="51"/>
        <v>780.7254999999999</v>
      </c>
      <c r="F1121" s="30">
        <f t="shared" ca="1" si="51"/>
        <v>1216.5</v>
      </c>
      <c r="G1121" s="30">
        <f t="shared" ca="1" si="51"/>
        <v>79.166666666666671</v>
      </c>
      <c r="H1121" s="30">
        <f t="shared" ca="1" si="51"/>
        <v>600</v>
      </c>
      <c r="I1121" s="30">
        <f t="shared" ca="1" si="51"/>
        <v>695</v>
      </c>
      <c r="J1121" s="30">
        <f t="shared" ca="1" si="51"/>
        <v>33.333333333333336</v>
      </c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</row>
    <row r="1122" spans="1:20" ht="15">
      <c r="A1122" s="3">
        <f t="shared" si="50"/>
        <v>2073</v>
      </c>
      <c r="B1122" s="3">
        <f t="shared" si="39"/>
        <v>365</v>
      </c>
      <c r="C1122" s="30">
        <f t="shared" ca="1" si="51"/>
        <v>154.75825</v>
      </c>
      <c r="D1122" s="30">
        <f t="shared" ca="1" si="51"/>
        <v>281.0162499999999</v>
      </c>
      <c r="E1122" s="30">
        <f t="shared" ca="1" si="51"/>
        <v>780.7254999999999</v>
      </c>
      <c r="F1122" s="30">
        <f t="shared" ca="1" si="51"/>
        <v>1216.5</v>
      </c>
      <c r="G1122" s="30">
        <f t="shared" ca="1" si="51"/>
        <v>79.166666666666671</v>
      </c>
      <c r="H1122" s="30">
        <f t="shared" ca="1" si="51"/>
        <v>600</v>
      </c>
      <c r="I1122" s="30">
        <f t="shared" ca="1" si="51"/>
        <v>695</v>
      </c>
      <c r="J1122" s="30">
        <f t="shared" ca="1" si="51"/>
        <v>33.333333333333336</v>
      </c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</row>
    <row r="1123" spans="1:20" ht="15">
      <c r="A1123" s="3">
        <f t="shared" si="50"/>
        <v>2074</v>
      </c>
      <c r="B1123" s="3">
        <f t="shared" si="39"/>
        <v>365</v>
      </c>
      <c r="C1123" s="30">
        <f t="shared" ca="1" si="51"/>
        <v>154.75825</v>
      </c>
      <c r="D1123" s="30">
        <f t="shared" ca="1" si="51"/>
        <v>281.0162499999999</v>
      </c>
      <c r="E1123" s="30">
        <f t="shared" ca="1" si="51"/>
        <v>780.7254999999999</v>
      </c>
      <c r="F1123" s="30">
        <f t="shared" ca="1" si="51"/>
        <v>1216.5</v>
      </c>
      <c r="G1123" s="30">
        <f t="shared" ca="1" si="51"/>
        <v>79.166666666666671</v>
      </c>
      <c r="H1123" s="30">
        <f t="shared" ca="1" si="51"/>
        <v>600</v>
      </c>
      <c r="I1123" s="30">
        <f t="shared" ca="1" si="51"/>
        <v>695</v>
      </c>
      <c r="J1123" s="30">
        <f t="shared" ca="1" si="51"/>
        <v>33.333333333333336</v>
      </c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</row>
    <row r="1124" spans="1:20" ht="15">
      <c r="A1124" s="3">
        <f t="shared" si="50"/>
        <v>2075</v>
      </c>
      <c r="B1124" s="3">
        <f t="shared" si="39"/>
        <v>365</v>
      </c>
      <c r="C1124" s="30">
        <f t="shared" ca="1" si="51"/>
        <v>154.75825</v>
      </c>
      <c r="D1124" s="30">
        <f t="shared" ca="1" si="51"/>
        <v>281.0162499999999</v>
      </c>
      <c r="E1124" s="30">
        <f t="shared" ca="1" si="51"/>
        <v>780.7254999999999</v>
      </c>
      <c r="F1124" s="30">
        <f t="shared" ca="1" si="51"/>
        <v>1216.5</v>
      </c>
      <c r="G1124" s="30">
        <f t="shared" ca="1" si="51"/>
        <v>79.166666666666671</v>
      </c>
      <c r="H1124" s="30">
        <f t="shared" ca="1" si="51"/>
        <v>600</v>
      </c>
      <c r="I1124" s="30">
        <f t="shared" ca="1" si="51"/>
        <v>695</v>
      </c>
      <c r="J1124" s="30">
        <f t="shared" ca="1" si="51"/>
        <v>33.333333333333336</v>
      </c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</row>
    <row r="1125" spans="1:20" ht="15">
      <c r="A1125" s="3">
        <f t="shared" si="50"/>
        <v>2076</v>
      </c>
      <c r="B1125" s="3">
        <f t="shared" si="39"/>
        <v>366</v>
      </c>
      <c r="C1125" s="30">
        <f t="shared" ca="1" si="51"/>
        <v>154.75825</v>
      </c>
      <c r="D1125" s="30">
        <f t="shared" ca="1" si="51"/>
        <v>281.0162499999999</v>
      </c>
      <c r="E1125" s="30">
        <f t="shared" ca="1" si="51"/>
        <v>780.7254999999999</v>
      </c>
      <c r="F1125" s="30">
        <f t="shared" ca="1" si="51"/>
        <v>1216.5</v>
      </c>
      <c r="G1125" s="30">
        <f t="shared" ca="1" si="51"/>
        <v>79.166666666666671</v>
      </c>
      <c r="H1125" s="30">
        <f t="shared" ca="1" si="51"/>
        <v>600</v>
      </c>
      <c r="I1125" s="30">
        <f t="shared" ca="1" si="51"/>
        <v>695</v>
      </c>
      <c r="J1125" s="30">
        <f t="shared" ca="1" si="51"/>
        <v>33.333333333333336</v>
      </c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</row>
    <row r="1126" spans="1:20" ht="15">
      <c r="A1126" s="3">
        <f t="shared" si="50"/>
        <v>2077</v>
      </c>
      <c r="B1126" s="3">
        <f t="shared" si="39"/>
        <v>365</v>
      </c>
      <c r="C1126" s="30">
        <f t="shared" ca="1" si="51"/>
        <v>154.75825</v>
      </c>
      <c r="D1126" s="30">
        <f t="shared" ca="1" si="51"/>
        <v>281.0162499999999</v>
      </c>
      <c r="E1126" s="30">
        <f t="shared" ca="1" si="51"/>
        <v>780.7254999999999</v>
      </c>
      <c r="F1126" s="30">
        <f t="shared" ca="1" si="51"/>
        <v>1216.5</v>
      </c>
      <c r="G1126" s="30">
        <f t="shared" ca="1" si="51"/>
        <v>79.166666666666671</v>
      </c>
      <c r="H1126" s="30">
        <f t="shared" ca="1" si="51"/>
        <v>600</v>
      </c>
      <c r="I1126" s="30">
        <f t="shared" ca="1" si="51"/>
        <v>695</v>
      </c>
      <c r="J1126" s="30">
        <f t="shared" ca="1" si="51"/>
        <v>33.333333333333336</v>
      </c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</row>
    <row r="1127" spans="1:20" ht="15">
      <c r="A1127" s="3">
        <f t="shared" si="50"/>
        <v>2078</v>
      </c>
      <c r="B1127" s="3">
        <f t="shared" ref="B1127:B1149" si="52">DATE(A1127+1,1,1)-DATE(A1127,1,1)</f>
        <v>365</v>
      </c>
      <c r="C1127" s="30">
        <f t="shared" ca="1" si="51"/>
        <v>154.75825</v>
      </c>
      <c r="D1127" s="30">
        <f t="shared" ca="1" si="51"/>
        <v>281.0162499999999</v>
      </c>
      <c r="E1127" s="30">
        <f t="shared" ca="1" si="51"/>
        <v>780.7254999999999</v>
      </c>
      <c r="F1127" s="30">
        <f t="shared" ca="1" si="51"/>
        <v>1216.5</v>
      </c>
      <c r="G1127" s="30">
        <f t="shared" ca="1" si="51"/>
        <v>79.166666666666671</v>
      </c>
      <c r="H1127" s="30">
        <f t="shared" ca="1" si="51"/>
        <v>600</v>
      </c>
      <c r="I1127" s="30">
        <f t="shared" ca="1" si="51"/>
        <v>695</v>
      </c>
      <c r="J1127" s="30">
        <f t="shared" ca="1" si="51"/>
        <v>33.333333333333336</v>
      </c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</row>
    <row r="1128" spans="1:20" ht="15">
      <c r="A1128" s="3">
        <f t="shared" si="50"/>
        <v>2079</v>
      </c>
      <c r="B1128" s="3">
        <f t="shared" si="52"/>
        <v>365</v>
      </c>
      <c r="C1128" s="30">
        <f t="shared" ca="1" si="51"/>
        <v>154.75825</v>
      </c>
      <c r="D1128" s="30">
        <f t="shared" ca="1" si="51"/>
        <v>281.0162499999999</v>
      </c>
      <c r="E1128" s="30">
        <f t="shared" ca="1" si="51"/>
        <v>780.7254999999999</v>
      </c>
      <c r="F1128" s="30">
        <f t="shared" ca="1" si="51"/>
        <v>1216.5</v>
      </c>
      <c r="G1128" s="30">
        <f t="shared" ca="1" si="51"/>
        <v>79.166666666666671</v>
      </c>
      <c r="H1128" s="30">
        <f t="shared" ca="1" si="51"/>
        <v>600</v>
      </c>
      <c r="I1128" s="30">
        <f t="shared" ca="1" si="51"/>
        <v>695</v>
      </c>
      <c r="J1128" s="30">
        <f t="shared" ca="1" si="51"/>
        <v>33.333333333333336</v>
      </c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</row>
    <row r="1129" spans="1:20" ht="15">
      <c r="A1129" s="3">
        <f t="shared" si="50"/>
        <v>2080</v>
      </c>
      <c r="B1129" s="3">
        <f t="shared" si="52"/>
        <v>366</v>
      </c>
      <c r="C1129" s="30">
        <f t="shared" ca="1" si="51"/>
        <v>154.75825</v>
      </c>
      <c r="D1129" s="30">
        <f t="shared" ca="1" si="51"/>
        <v>281.0162499999999</v>
      </c>
      <c r="E1129" s="30">
        <f t="shared" ca="1" si="51"/>
        <v>780.7254999999999</v>
      </c>
      <c r="F1129" s="30">
        <f t="shared" ca="1" si="51"/>
        <v>1216.5</v>
      </c>
      <c r="G1129" s="30">
        <f t="shared" ca="1" si="51"/>
        <v>79.166666666666671</v>
      </c>
      <c r="H1129" s="30">
        <f t="shared" ca="1" si="51"/>
        <v>600</v>
      </c>
      <c r="I1129" s="30">
        <f t="shared" ca="1" si="51"/>
        <v>695</v>
      </c>
      <c r="J1129" s="30">
        <f t="shared" ca="1" si="51"/>
        <v>33.333333333333336</v>
      </c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</row>
    <row r="1130" spans="1:20" ht="15">
      <c r="A1130" s="3">
        <f t="shared" si="50"/>
        <v>2081</v>
      </c>
      <c r="B1130" s="3">
        <f t="shared" si="52"/>
        <v>365</v>
      </c>
      <c r="C1130" s="30">
        <f t="shared" ca="1" si="51"/>
        <v>154.75825</v>
      </c>
      <c r="D1130" s="30">
        <f t="shared" ca="1" si="51"/>
        <v>281.0162499999999</v>
      </c>
      <c r="E1130" s="30">
        <f t="shared" ca="1" si="51"/>
        <v>780.7254999999999</v>
      </c>
      <c r="F1130" s="30">
        <f t="shared" ca="1" si="51"/>
        <v>1216.5</v>
      </c>
      <c r="G1130" s="30">
        <f t="shared" ca="1" si="51"/>
        <v>79.166666666666671</v>
      </c>
      <c r="H1130" s="30">
        <f t="shared" ca="1" si="51"/>
        <v>600</v>
      </c>
      <c r="I1130" s="30">
        <f t="shared" ca="1" si="51"/>
        <v>695</v>
      </c>
      <c r="J1130" s="30">
        <f t="shared" ca="1" si="51"/>
        <v>33.333333333333336</v>
      </c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</row>
    <row r="1131" spans="1:20" ht="15">
      <c r="A1131" s="3">
        <f t="shared" si="50"/>
        <v>2082</v>
      </c>
      <c r="B1131" s="3">
        <f t="shared" si="52"/>
        <v>365</v>
      </c>
      <c r="C1131" s="30">
        <f t="shared" ref="C1131:J1140" ca="1" si="53">AVERAGE(OFFSET(C$594,($A1131-$A$1111)*12,0,12,1))</f>
        <v>154.75825</v>
      </c>
      <c r="D1131" s="30">
        <f t="shared" ca="1" si="53"/>
        <v>281.0162499999999</v>
      </c>
      <c r="E1131" s="30">
        <f t="shared" ca="1" si="53"/>
        <v>780.7254999999999</v>
      </c>
      <c r="F1131" s="30">
        <f t="shared" ca="1" si="53"/>
        <v>1216.5</v>
      </c>
      <c r="G1131" s="30">
        <f t="shared" ca="1" si="53"/>
        <v>79.166666666666671</v>
      </c>
      <c r="H1131" s="30">
        <f t="shared" ca="1" si="53"/>
        <v>600</v>
      </c>
      <c r="I1131" s="30">
        <f t="shared" ca="1" si="53"/>
        <v>695</v>
      </c>
      <c r="J1131" s="30">
        <f t="shared" ca="1" si="53"/>
        <v>33.333333333333336</v>
      </c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</row>
    <row r="1132" spans="1:20" ht="15">
      <c r="A1132" s="3">
        <f t="shared" si="50"/>
        <v>2083</v>
      </c>
      <c r="B1132" s="3">
        <f t="shared" si="52"/>
        <v>365</v>
      </c>
      <c r="C1132" s="30">
        <f t="shared" ca="1" si="53"/>
        <v>154.75825</v>
      </c>
      <c r="D1132" s="30">
        <f t="shared" ca="1" si="53"/>
        <v>281.0162499999999</v>
      </c>
      <c r="E1132" s="30">
        <f t="shared" ca="1" si="53"/>
        <v>780.7254999999999</v>
      </c>
      <c r="F1132" s="30">
        <f t="shared" ca="1" si="53"/>
        <v>1216.5</v>
      </c>
      <c r="G1132" s="30">
        <f t="shared" ca="1" si="53"/>
        <v>79.166666666666671</v>
      </c>
      <c r="H1132" s="30">
        <f t="shared" ca="1" si="53"/>
        <v>600</v>
      </c>
      <c r="I1132" s="30">
        <f t="shared" ca="1" si="53"/>
        <v>695</v>
      </c>
      <c r="J1132" s="30">
        <f t="shared" ca="1" si="53"/>
        <v>33.333333333333336</v>
      </c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</row>
    <row r="1133" spans="1:20" ht="15">
      <c r="A1133" s="3">
        <f t="shared" si="50"/>
        <v>2084</v>
      </c>
      <c r="B1133" s="3">
        <f t="shared" si="52"/>
        <v>366</v>
      </c>
      <c r="C1133" s="30">
        <f t="shared" ca="1" si="53"/>
        <v>154.75825</v>
      </c>
      <c r="D1133" s="30">
        <f t="shared" ca="1" si="53"/>
        <v>281.0162499999999</v>
      </c>
      <c r="E1133" s="30">
        <f t="shared" ca="1" si="53"/>
        <v>780.7254999999999</v>
      </c>
      <c r="F1133" s="30">
        <f t="shared" ca="1" si="53"/>
        <v>1216.5</v>
      </c>
      <c r="G1133" s="30">
        <f t="shared" ca="1" si="53"/>
        <v>79.166666666666671</v>
      </c>
      <c r="H1133" s="30">
        <f t="shared" ca="1" si="53"/>
        <v>600</v>
      </c>
      <c r="I1133" s="30">
        <f t="shared" ca="1" si="53"/>
        <v>695</v>
      </c>
      <c r="J1133" s="30">
        <f t="shared" ca="1" si="53"/>
        <v>33.333333333333336</v>
      </c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</row>
    <row r="1134" spans="1:20" ht="15">
      <c r="A1134" s="3">
        <f t="shared" si="50"/>
        <v>2085</v>
      </c>
      <c r="B1134" s="3">
        <f t="shared" si="52"/>
        <v>365</v>
      </c>
      <c r="C1134" s="30">
        <f t="shared" ca="1" si="53"/>
        <v>154.75825</v>
      </c>
      <c r="D1134" s="30">
        <f t="shared" ca="1" si="53"/>
        <v>281.0162499999999</v>
      </c>
      <c r="E1134" s="30">
        <f t="shared" ca="1" si="53"/>
        <v>780.7254999999999</v>
      </c>
      <c r="F1134" s="30">
        <f t="shared" ca="1" si="53"/>
        <v>1216.5</v>
      </c>
      <c r="G1134" s="30">
        <f t="shared" ca="1" si="53"/>
        <v>79.166666666666671</v>
      </c>
      <c r="H1134" s="30">
        <f t="shared" ca="1" si="53"/>
        <v>600</v>
      </c>
      <c r="I1134" s="30">
        <f t="shared" ca="1" si="53"/>
        <v>695</v>
      </c>
      <c r="J1134" s="30">
        <f t="shared" ca="1" si="53"/>
        <v>33.333333333333336</v>
      </c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</row>
    <row r="1135" spans="1:20" ht="15">
      <c r="A1135" s="3">
        <f t="shared" si="50"/>
        <v>2086</v>
      </c>
      <c r="B1135" s="3">
        <f t="shared" si="52"/>
        <v>365</v>
      </c>
      <c r="C1135" s="30">
        <f t="shared" ca="1" si="53"/>
        <v>154.75825</v>
      </c>
      <c r="D1135" s="30">
        <f t="shared" ca="1" si="53"/>
        <v>281.0162499999999</v>
      </c>
      <c r="E1135" s="30">
        <f t="shared" ca="1" si="53"/>
        <v>780.7254999999999</v>
      </c>
      <c r="F1135" s="30">
        <f t="shared" ca="1" si="53"/>
        <v>1216.5</v>
      </c>
      <c r="G1135" s="30">
        <f t="shared" ca="1" si="53"/>
        <v>79.166666666666671</v>
      </c>
      <c r="H1135" s="30">
        <f t="shared" ca="1" si="53"/>
        <v>600</v>
      </c>
      <c r="I1135" s="30">
        <f t="shared" ca="1" si="53"/>
        <v>695</v>
      </c>
      <c r="J1135" s="30">
        <f t="shared" ca="1" si="53"/>
        <v>33.333333333333336</v>
      </c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</row>
    <row r="1136" spans="1:20" ht="15">
      <c r="A1136" s="3">
        <f t="shared" si="50"/>
        <v>2087</v>
      </c>
      <c r="B1136" s="3">
        <f t="shared" si="52"/>
        <v>365</v>
      </c>
      <c r="C1136" s="30">
        <f t="shared" ca="1" si="53"/>
        <v>154.75825</v>
      </c>
      <c r="D1136" s="30">
        <f t="shared" ca="1" si="53"/>
        <v>281.0162499999999</v>
      </c>
      <c r="E1136" s="30">
        <f t="shared" ca="1" si="53"/>
        <v>780.7254999999999</v>
      </c>
      <c r="F1136" s="30">
        <f t="shared" ca="1" si="53"/>
        <v>1216.5</v>
      </c>
      <c r="G1136" s="30">
        <f t="shared" ca="1" si="53"/>
        <v>79.166666666666671</v>
      </c>
      <c r="H1136" s="30">
        <f t="shared" ca="1" si="53"/>
        <v>600</v>
      </c>
      <c r="I1136" s="30">
        <f t="shared" ca="1" si="53"/>
        <v>695</v>
      </c>
      <c r="J1136" s="30">
        <f t="shared" ca="1" si="53"/>
        <v>33.333333333333336</v>
      </c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</row>
    <row r="1137" spans="1:20" ht="15">
      <c r="A1137" s="3">
        <f t="shared" si="50"/>
        <v>2088</v>
      </c>
      <c r="B1137" s="3">
        <f t="shared" si="52"/>
        <v>366</v>
      </c>
      <c r="C1137" s="30">
        <f t="shared" ca="1" si="53"/>
        <v>154.75825</v>
      </c>
      <c r="D1137" s="30">
        <f t="shared" ca="1" si="53"/>
        <v>281.0162499999999</v>
      </c>
      <c r="E1137" s="30">
        <f t="shared" ca="1" si="53"/>
        <v>780.7254999999999</v>
      </c>
      <c r="F1137" s="30">
        <f t="shared" ca="1" si="53"/>
        <v>1216.5</v>
      </c>
      <c r="G1137" s="30">
        <f t="shared" ca="1" si="53"/>
        <v>79.166666666666671</v>
      </c>
      <c r="H1137" s="30">
        <f t="shared" ca="1" si="53"/>
        <v>600</v>
      </c>
      <c r="I1137" s="30">
        <f t="shared" ca="1" si="53"/>
        <v>695</v>
      </c>
      <c r="J1137" s="30">
        <f t="shared" ca="1" si="53"/>
        <v>33.333333333333336</v>
      </c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</row>
    <row r="1138" spans="1:20" ht="15">
      <c r="A1138" s="3">
        <f t="shared" si="50"/>
        <v>2089</v>
      </c>
      <c r="B1138" s="3">
        <f t="shared" si="52"/>
        <v>365</v>
      </c>
      <c r="C1138" s="30">
        <f t="shared" ca="1" si="53"/>
        <v>154.75825</v>
      </c>
      <c r="D1138" s="30">
        <f t="shared" ca="1" si="53"/>
        <v>281.0162499999999</v>
      </c>
      <c r="E1138" s="30">
        <f t="shared" ca="1" si="53"/>
        <v>780.7254999999999</v>
      </c>
      <c r="F1138" s="30">
        <f t="shared" ca="1" si="53"/>
        <v>1216.5</v>
      </c>
      <c r="G1138" s="30">
        <f t="shared" ca="1" si="53"/>
        <v>79.166666666666671</v>
      </c>
      <c r="H1138" s="30">
        <f t="shared" ca="1" si="53"/>
        <v>600</v>
      </c>
      <c r="I1138" s="30">
        <f t="shared" ca="1" si="53"/>
        <v>695</v>
      </c>
      <c r="J1138" s="30">
        <f t="shared" ca="1" si="53"/>
        <v>33.333333333333336</v>
      </c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</row>
    <row r="1139" spans="1:20" ht="15">
      <c r="A1139" s="3">
        <f t="shared" si="50"/>
        <v>2090</v>
      </c>
      <c r="B1139" s="3">
        <f t="shared" si="52"/>
        <v>365</v>
      </c>
      <c r="C1139" s="30">
        <f t="shared" ca="1" si="53"/>
        <v>154.75825</v>
      </c>
      <c r="D1139" s="30">
        <f t="shared" ca="1" si="53"/>
        <v>281.0162499999999</v>
      </c>
      <c r="E1139" s="30">
        <f t="shared" ca="1" si="53"/>
        <v>780.7254999999999</v>
      </c>
      <c r="F1139" s="30">
        <f t="shared" ca="1" si="53"/>
        <v>1216.5</v>
      </c>
      <c r="G1139" s="30">
        <f t="shared" ca="1" si="53"/>
        <v>79.166666666666671</v>
      </c>
      <c r="H1139" s="30">
        <f t="shared" ca="1" si="53"/>
        <v>600</v>
      </c>
      <c r="I1139" s="30">
        <f t="shared" ca="1" si="53"/>
        <v>695</v>
      </c>
      <c r="J1139" s="30">
        <f t="shared" ca="1" si="53"/>
        <v>33.333333333333336</v>
      </c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</row>
    <row r="1140" spans="1:20" ht="15">
      <c r="A1140" s="3">
        <f t="shared" si="50"/>
        <v>2091</v>
      </c>
      <c r="B1140" s="3">
        <f t="shared" si="52"/>
        <v>365</v>
      </c>
      <c r="C1140" s="30">
        <f t="shared" ca="1" si="53"/>
        <v>154.75825</v>
      </c>
      <c r="D1140" s="30">
        <f t="shared" ca="1" si="53"/>
        <v>281.0162499999999</v>
      </c>
      <c r="E1140" s="30">
        <f t="shared" ca="1" si="53"/>
        <v>780.7254999999999</v>
      </c>
      <c r="F1140" s="30">
        <f t="shared" ca="1" si="53"/>
        <v>1216.5</v>
      </c>
      <c r="G1140" s="30">
        <f t="shared" ca="1" si="53"/>
        <v>79.166666666666671</v>
      </c>
      <c r="H1140" s="30">
        <f t="shared" ca="1" si="53"/>
        <v>600</v>
      </c>
      <c r="I1140" s="30">
        <f t="shared" ca="1" si="53"/>
        <v>695</v>
      </c>
      <c r="J1140" s="30">
        <f t="shared" ca="1" si="53"/>
        <v>33.333333333333336</v>
      </c>
    </row>
    <row r="1141" spans="1:20" ht="15">
      <c r="A1141" s="3">
        <f t="shared" si="50"/>
        <v>2092</v>
      </c>
      <c r="B1141" s="3">
        <f t="shared" si="52"/>
        <v>366</v>
      </c>
      <c r="C1141" s="30">
        <f t="shared" ref="C1141:J1149" ca="1" si="54">AVERAGE(OFFSET(C$594,($A1141-$A$1111)*12,0,12,1))</f>
        <v>154.75825</v>
      </c>
      <c r="D1141" s="30">
        <f t="shared" ca="1" si="54"/>
        <v>281.0162499999999</v>
      </c>
      <c r="E1141" s="30">
        <f t="shared" ca="1" si="54"/>
        <v>780.7254999999999</v>
      </c>
      <c r="F1141" s="30">
        <f t="shared" ca="1" si="54"/>
        <v>1216.5</v>
      </c>
      <c r="G1141" s="30">
        <f t="shared" ca="1" si="54"/>
        <v>79.166666666666671</v>
      </c>
      <c r="H1141" s="30">
        <f t="shared" ca="1" si="54"/>
        <v>600</v>
      </c>
      <c r="I1141" s="30">
        <f t="shared" ca="1" si="54"/>
        <v>695</v>
      </c>
      <c r="J1141" s="30">
        <f t="shared" ca="1" si="54"/>
        <v>33.333333333333336</v>
      </c>
    </row>
    <row r="1142" spans="1:20" ht="15">
      <c r="A1142" s="3">
        <f t="shared" si="50"/>
        <v>2093</v>
      </c>
      <c r="B1142" s="3">
        <f t="shared" si="52"/>
        <v>365</v>
      </c>
      <c r="C1142" s="30">
        <f t="shared" ca="1" si="54"/>
        <v>154.75825</v>
      </c>
      <c r="D1142" s="30">
        <f t="shared" ca="1" si="54"/>
        <v>281.0162499999999</v>
      </c>
      <c r="E1142" s="30">
        <f t="shared" ca="1" si="54"/>
        <v>780.7254999999999</v>
      </c>
      <c r="F1142" s="30">
        <f t="shared" ca="1" si="54"/>
        <v>1216.5</v>
      </c>
      <c r="G1142" s="30">
        <f t="shared" ca="1" si="54"/>
        <v>79.166666666666671</v>
      </c>
      <c r="H1142" s="30">
        <f t="shared" ca="1" si="54"/>
        <v>600</v>
      </c>
      <c r="I1142" s="30">
        <f t="shared" ca="1" si="54"/>
        <v>695</v>
      </c>
      <c r="J1142" s="30">
        <f t="shared" ca="1" si="54"/>
        <v>33.333333333333336</v>
      </c>
    </row>
    <row r="1143" spans="1:20" ht="15">
      <c r="A1143" s="3">
        <f t="shared" si="50"/>
        <v>2094</v>
      </c>
      <c r="B1143" s="3">
        <f t="shared" si="52"/>
        <v>365</v>
      </c>
      <c r="C1143" s="30">
        <f t="shared" ca="1" si="54"/>
        <v>154.75825</v>
      </c>
      <c r="D1143" s="30">
        <f t="shared" ca="1" si="54"/>
        <v>281.0162499999999</v>
      </c>
      <c r="E1143" s="30">
        <f t="shared" ca="1" si="54"/>
        <v>780.7254999999999</v>
      </c>
      <c r="F1143" s="30">
        <f t="shared" ca="1" si="54"/>
        <v>1216.5</v>
      </c>
      <c r="G1143" s="30">
        <f t="shared" ca="1" si="54"/>
        <v>79.166666666666671</v>
      </c>
      <c r="H1143" s="30">
        <f t="shared" ca="1" si="54"/>
        <v>600</v>
      </c>
      <c r="I1143" s="30">
        <f t="shared" ca="1" si="54"/>
        <v>695</v>
      </c>
      <c r="J1143" s="30">
        <f t="shared" ca="1" si="54"/>
        <v>33.333333333333336</v>
      </c>
    </row>
    <row r="1144" spans="1:20" ht="15">
      <c r="A1144" s="3">
        <f t="shared" si="50"/>
        <v>2095</v>
      </c>
      <c r="B1144" s="3">
        <f t="shared" si="52"/>
        <v>365</v>
      </c>
      <c r="C1144" s="30">
        <f t="shared" ca="1" si="54"/>
        <v>154.75825</v>
      </c>
      <c r="D1144" s="30">
        <f t="shared" ca="1" si="54"/>
        <v>281.0162499999999</v>
      </c>
      <c r="E1144" s="30">
        <f t="shared" ca="1" si="54"/>
        <v>780.7254999999999</v>
      </c>
      <c r="F1144" s="30">
        <f t="shared" ca="1" si="54"/>
        <v>1216.5</v>
      </c>
      <c r="G1144" s="30">
        <f t="shared" ca="1" si="54"/>
        <v>79.166666666666671</v>
      </c>
      <c r="H1144" s="30">
        <f t="shared" ca="1" si="54"/>
        <v>600</v>
      </c>
      <c r="I1144" s="30">
        <f t="shared" ca="1" si="54"/>
        <v>695</v>
      </c>
      <c r="J1144" s="30">
        <f t="shared" ca="1" si="54"/>
        <v>33.333333333333336</v>
      </c>
    </row>
    <row r="1145" spans="1:20" ht="15">
      <c r="A1145" s="3">
        <f t="shared" si="50"/>
        <v>2096</v>
      </c>
      <c r="B1145" s="3">
        <f t="shared" si="52"/>
        <v>366</v>
      </c>
      <c r="C1145" s="30">
        <f t="shared" ca="1" si="54"/>
        <v>154.75825</v>
      </c>
      <c r="D1145" s="30">
        <f t="shared" ca="1" si="54"/>
        <v>281.0162499999999</v>
      </c>
      <c r="E1145" s="30">
        <f t="shared" ca="1" si="54"/>
        <v>780.7254999999999</v>
      </c>
      <c r="F1145" s="30">
        <f t="shared" ca="1" si="54"/>
        <v>1216.5</v>
      </c>
      <c r="G1145" s="30">
        <f t="shared" ca="1" si="54"/>
        <v>79.166666666666671</v>
      </c>
      <c r="H1145" s="30">
        <f t="shared" ca="1" si="54"/>
        <v>600</v>
      </c>
      <c r="I1145" s="30">
        <f t="shared" ca="1" si="54"/>
        <v>695</v>
      </c>
      <c r="J1145" s="30">
        <f t="shared" ca="1" si="54"/>
        <v>33.333333333333336</v>
      </c>
    </row>
    <row r="1146" spans="1:20" ht="15">
      <c r="A1146" s="3">
        <f t="shared" si="50"/>
        <v>2097</v>
      </c>
      <c r="B1146" s="3">
        <f t="shared" si="52"/>
        <v>365</v>
      </c>
      <c r="C1146" s="30">
        <f t="shared" ca="1" si="54"/>
        <v>154.75825</v>
      </c>
      <c r="D1146" s="30">
        <f t="shared" ca="1" si="54"/>
        <v>281.0162499999999</v>
      </c>
      <c r="E1146" s="30">
        <f t="shared" ca="1" si="54"/>
        <v>780.7254999999999</v>
      </c>
      <c r="F1146" s="30">
        <f t="shared" ca="1" si="54"/>
        <v>1216.5</v>
      </c>
      <c r="G1146" s="30">
        <f t="shared" ca="1" si="54"/>
        <v>79.166666666666671</v>
      </c>
      <c r="H1146" s="30">
        <f t="shared" ca="1" si="54"/>
        <v>600</v>
      </c>
      <c r="I1146" s="30">
        <f t="shared" ca="1" si="54"/>
        <v>695</v>
      </c>
      <c r="J1146" s="30">
        <f t="shared" ca="1" si="54"/>
        <v>33.333333333333336</v>
      </c>
    </row>
    <row r="1147" spans="1:20" ht="15">
      <c r="A1147" s="3">
        <f t="shared" si="50"/>
        <v>2098</v>
      </c>
      <c r="B1147" s="3">
        <f t="shared" si="52"/>
        <v>365</v>
      </c>
      <c r="C1147" s="30">
        <f t="shared" ca="1" si="54"/>
        <v>154.75825</v>
      </c>
      <c r="D1147" s="30">
        <f t="shared" ca="1" si="54"/>
        <v>281.0162499999999</v>
      </c>
      <c r="E1147" s="30">
        <f t="shared" ca="1" si="54"/>
        <v>780.7254999999999</v>
      </c>
      <c r="F1147" s="30">
        <f t="shared" ca="1" si="54"/>
        <v>1216.5</v>
      </c>
      <c r="G1147" s="30">
        <f t="shared" ca="1" si="54"/>
        <v>79.166666666666671</v>
      </c>
      <c r="H1147" s="30">
        <f t="shared" ca="1" si="54"/>
        <v>600</v>
      </c>
      <c r="I1147" s="30">
        <f t="shared" ca="1" si="54"/>
        <v>695</v>
      </c>
      <c r="J1147" s="30">
        <f t="shared" ca="1" si="54"/>
        <v>33.333333333333336</v>
      </c>
    </row>
    <row r="1148" spans="1:20" ht="15">
      <c r="A1148" s="3">
        <f t="shared" si="50"/>
        <v>2099</v>
      </c>
      <c r="B1148" s="3">
        <f t="shared" si="52"/>
        <v>365</v>
      </c>
      <c r="C1148" s="30">
        <f t="shared" ca="1" si="54"/>
        <v>154.75825</v>
      </c>
      <c r="D1148" s="30">
        <f t="shared" ca="1" si="54"/>
        <v>281.0162499999999</v>
      </c>
      <c r="E1148" s="30">
        <f t="shared" ca="1" si="54"/>
        <v>780.7254999999999</v>
      </c>
      <c r="F1148" s="30">
        <f t="shared" ca="1" si="54"/>
        <v>1216.5</v>
      </c>
      <c r="G1148" s="30">
        <f t="shared" ca="1" si="54"/>
        <v>79.166666666666671</v>
      </c>
      <c r="H1148" s="30">
        <f t="shared" ca="1" si="54"/>
        <v>600</v>
      </c>
      <c r="I1148" s="30">
        <f t="shared" ca="1" si="54"/>
        <v>695</v>
      </c>
      <c r="J1148" s="30">
        <f t="shared" ca="1" si="54"/>
        <v>33.333333333333336</v>
      </c>
    </row>
    <row r="1149" spans="1:20" ht="15">
      <c r="A1149" s="3">
        <f t="shared" si="50"/>
        <v>2100</v>
      </c>
      <c r="B1149" s="3">
        <f t="shared" si="52"/>
        <v>365</v>
      </c>
      <c r="C1149" s="30">
        <f t="shared" ca="1" si="54"/>
        <v>154.75825</v>
      </c>
      <c r="D1149" s="30">
        <f t="shared" ca="1" si="54"/>
        <v>281.0162499999999</v>
      </c>
      <c r="E1149" s="30">
        <f t="shared" ca="1" si="54"/>
        <v>780.7254999999999</v>
      </c>
      <c r="F1149" s="30">
        <f t="shared" ca="1" si="54"/>
        <v>1216.5</v>
      </c>
      <c r="G1149" s="30">
        <f t="shared" ca="1" si="54"/>
        <v>79.166666666666671</v>
      </c>
      <c r="H1149" s="30">
        <f t="shared" ca="1" si="54"/>
        <v>600</v>
      </c>
      <c r="I1149" s="30">
        <f t="shared" ca="1" si="54"/>
        <v>695</v>
      </c>
      <c r="J1149" s="30">
        <f t="shared" ca="1" si="54"/>
        <v>33.333333333333336</v>
      </c>
    </row>
    <row r="1150" spans="1:20">
      <c r="A1150" s="27"/>
      <c r="B1150" s="27"/>
      <c r="C1150" s="29"/>
      <c r="D1150" s="29"/>
      <c r="E1150" s="29"/>
      <c r="F1150" s="29"/>
      <c r="G1150" s="29"/>
    </row>
    <row r="1151" spans="1:20">
      <c r="A1151" s="27"/>
      <c r="B1151" s="27"/>
    </row>
    <row r="1152" spans="1:20">
      <c r="A1152" s="27"/>
      <c r="B1152" s="27"/>
    </row>
    <row r="1153" spans="1:2">
      <c r="A1153" s="27"/>
      <c r="B1153" s="27"/>
    </row>
    <row r="1154" spans="1:2">
      <c r="A1154" s="27"/>
      <c r="B1154" s="27"/>
    </row>
    <row r="1155" spans="1:2">
      <c r="A1155" s="27"/>
      <c r="B1155" s="27"/>
    </row>
    <row r="1156" spans="1:2">
      <c r="A1156" s="27"/>
      <c r="B1156" s="27"/>
    </row>
    <row r="1157" spans="1:2">
      <c r="A1157" s="27"/>
      <c r="B1157" s="27"/>
    </row>
    <row r="1158" spans="1:2">
      <c r="A1158" s="27"/>
      <c r="B1158" s="27"/>
    </row>
    <row r="1159" spans="1:2">
      <c r="A1159" s="27"/>
      <c r="B1159" s="27"/>
    </row>
    <row r="1160" spans="1:2">
      <c r="A1160" s="27"/>
      <c r="B1160" s="27"/>
    </row>
    <row r="1161" spans="1:2">
      <c r="A1161" s="27"/>
      <c r="B1161" s="27"/>
    </row>
    <row r="1162" spans="1:2">
      <c r="A1162" s="27"/>
      <c r="B1162" s="27"/>
    </row>
    <row r="1163" spans="1:2">
      <c r="A1163" s="27"/>
      <c r="B1163" s="27"/>
    </row>
    <row r="1164" spans="1:2">
      <c r="A1164" s="27"/>
      <c r="B1164" s="27"/>
    </row>
    <row r="1165" spans="1:2">
      <c r="A1165" s="27"/>
      <c r="B1165" s="27"/>
    </row>
    <row r="1166" spans="1:2">
      <c r="A1166" s="27"/>
      <c r="B1166" s="27"/>
    </row>
    <row r="1167" spans="1:2">
      <c r="A1167" s="27"/>
      <c r="B1167" s="27"/>
    </row>
    <row r="1168" spans="1:2">
      <c r="A1168" s="27"/>
      <c r="B1168" s="27"/>
    </row>
    <row r="1169" spans="1:2">
      <c r="A1169" s="27"/>
      <c r="B1169" s="27"/>
    </row>
  </sheetData>
  <mergeCells count="1">
    <mergeCell ref="C15:E15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9"/>
  <sheetViews>
    <sheetView zoomScale="70" zoomScaleNormal="70" workbookViewId="0">
      <pane xSplit="1" ySplit="17" topLeftCell="B18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7.5546875" style="28" bestFit="1" customWidth="1"/>
    <col min="2" max="2" width="10" style="28" customWidth="1"/>
    <col min="3" max="3" width="12" style="28" customWidth="1"/>
    <col min="4" max="4" width="12.109375" style="28" bestFit="1" customWidth="1"/>
    <col min="5" max="5" width="8.44140625" style="28" bestFit="1" customWidth="1"/>
    <col min="6" max="16384" width="7.109375" style="27"/>
  </cols>
  <sheetData>
    <row r="1" spans="1:7" ht="15.75">
      <c r="A1" s="79" t="s">
        <v>64</v>
      </c>
    </row>
    <row r="2" spans="1:7" ht="15.75">
      <c r="A2" s="79" t="s">
        <v>65</v>
      </c>
    </row>
    <row r="3" spans="1:7" ht="15.75">
      <c r="A3" s="79" t="s">
        <v>66</v>
      </c>
    </row>
    <row r="4" spans="1:7" ht="15.75">
      <c r="A4" s="79" t="s">
        <v>67</v>
      </c>
    </row>
    <row r="5" spans="1:7" ht="15.75">
      <c r="A5" s="79" t="s">
        <v>73</v>
      </c>
    </row>
    <row r="6" spans="1:7" ht="15.75">
      <c r="A6" s="79" t="s">
        <v>71</v>
      </c>
    </row>
    <row r="9" spans="1:7" ht="20.25">
      <c r="A9" s="26" t="s">
        <v>42</v>
      </c>
    </row>
    <row r="10" spans="1:7" ht="15" customHeight="1">
      <c r="A10" s="52" t="s">
        <v>24</v>
      </c>
    </row>
    <row r="11" spans="1:7" ht="15" customHeight="1">
      <c r="A11" s="57"/>
      <c r="F11" s="55"/>
      <c r="G11" s="55"/>
    </row>
    <row r="12" spans="1:7" ht="15" customHeight="1">
      <c r="A12" s="57"/>
      <c r="B12" s="56"/>
      <c r="C12" s="56"/>
      <c r="D12" s="56"/>
      <c r="E12" s="56"/>
      <c r="F12" s="55"/>
      <c r="G12" s="55"/>
    </row>
    <row r="13" spans="1:7" ht="15" customHeight="1"/>
    <row r="14" spans="1:7" ht="15" customHeight="1">
      <c r="B14" s="54" t="s">
        <v>23</v>
      </c>
      <c r="C14" s="53">
        <f>1-0.263</f>
        <v>0.73699999999999999</v>
      </c>
      <c r="D14" s="54" t="s">
        <v>22</v>
      </c>
      <c r="E14" s="53">
        <f>1+0.263</f>
        <v>1.2629999999999999</v>
      </c>
    </row>
    <row r="15" spans="1:7" ht="15" customHeight="1">
      <c r="A15" s="52"/>
      <c r="B15" s="82" t="s">
        <v>41</v>
      </c>
      <c r="C15" s="82"/>
      <c r="D15" s="51" t="s">
        <v>40</v>
      </c>
      <c r="E15" s="46"/>
    </row>
    <row r="16" spans="1:7" s="49" customFormat="1" ht="63">
      <c r="B16" s="50" t="s">
        <v>39</v>
      </c>
      <c r="C16" s="50" t="s">
        <v>38</v>
      </c>
      <c r="D16" s="50" t="s">
        <v>37</v>
      </c>
      <c r="E16" s="18" t="s">
        <v>36</v>
      </c>
    </row>
    <row r="17" spans="1:5" s="49" customFormat="1" ht="21" customHeight="1">
      <c r="A17" s="16" t="s">
        <v>2</v>
      </c>
      <c r="B17" s="41" t="s">
        <v>1</v>
      </c>
      <c r="C17" s="41" t="s">
        <v>1</v>
      </c>
      <c r="D17" s="41" t="s">
        <v>1</v>
      </c>
      <c r="E17" s="16" t="s">
        <v>35</v>
      </c>
    </row>
    <row r="18" spans="1:5" ht="15">
      <c r="A18" s="11">
        <v>41640</v>
      </c>
      <c r="B18" s="4">
        <v>16.436064253071699</v>
      </c>
      <c r="C18" s="4">
        <v>16.288836342915499</v>
      </c>
      <c r="D18" s="4">
        <v>24.229497427101201</v>
      </c>
      <c r="E18" s="4">
        <v>98.77</v>
      </c>
    </row>
    <row r="19" spans="1:5" ht="15">
      <c r="A19" s="11">
        <v>41671</v>
      </c>
      <c r="B19" s="4">
        <v>17.464204878071701</v>
      </c>
      <c r="C19" s="4">
        <v>17.316976967915501</v>
      </c>
      <c r="D19" s="4">
        <v>24.359056260720401</v>
      </c>
      <c r="E19" s="4">
        <v>94.99</v>
      </c>
    </row>
    <row r="20" spans="1:5" ht="15">
      <c r="A20" s="11">
        <v>41699</v>
      </c>
      <c r="B20" s="4">
        <v>17.5704548780717</v>
      </c>
      <c r="C20" s="4">
        <v>17.4232269679155</v>
      </c>
      <c r="D20" s="4">
        <v>23.297155060034299</v>
      </c>
      <c r="E20" s="4">
        <v>102.92</v>
      </c>
    </row>
    <row r="21" spans="1:5" ht="15">
      <c r="A21" s="11">
        <v>41730</v>
      </c>
      <c r="B21" s="4">
        <v>16.605954878071699</v>
      </c>
      <c r="C21" s="4">
        <v>16.458726967915499</v>
      </c>
      <c r="D21" s="4">
        <v>22.8128799313894</v>
      </c>
      <c r="E21" s="4">
        <v>99.43</v>
      </c>
    </row>
    <row r="22" spans="1:5" ht="15">
      <c r="A22" s="11">
        <v>41760</v>
      </c>
      <c r="B22" s="4">
        <v>16.420773787848599</v>
      </c>
      <c r="C22" s="4">
        <v>16.273553600348599</v>
      </c>
      <c r="D22" s="4">
        <v>23.1277790737564</v>
      </c>
      <c r="E22" s="4">
        <v>102.13</v>
      </c>
    </row>
    <row r="23" spans="1:5" ht="15">
      <c r="A23" s="11">
        <v>41791</v>
      </c>
      <c r="B23" s="4">
        <v>16.224492537848601</v>
      </c>
      <c r="C23" s="4">
        <v>16.077272350348601</v>
      </c>
      <c r="D23" s="4">
        <v>23.109257289879899</v>
      </c>
      <c r="E23" s="4">
        <v>102.44</v>
      </c>
    </row>
    <row r="24" spans="1:5" ht="15">
      <c r="A24" s="11">
        <v>41821</v>
      </c>
      <c r="B24" s="4">
        <f>16 * CHOOSE(CONTROL!$C$14, $C$14, 100%, $E$14) + CHOOSE(CONTROL!$C$33, 0.0304, 0)</f>
        <v>16.0304</v>
      </c>
      <c r="C24" s="4">
        <f>15.6367 * CHOOSE(CONTROL!$C$14, $C$14, 100%, $E$14) + CHOOSE(CONTROL!$C$33, 0.0304, 0)</f>
        <v>15.6671</v>
      </c>
      <c r="D24" s="4">
        <f>23.2538 * CHOOSE(CONTROL!$C$14, $C$14, 100%, $E$14) + CHOOSE(CONTROL!$C$33, 0.0021, 0)</f>
        <v>23.255899999999997</v>
      </c>
      <c r="E24" s="4">
        <f>107.26 * CHOOSE(CONTROL!$C$14, $C$14, 100%, $E$14) + CHOOSE(CONTROL!$C$33, 0.0021, 0)</f>
        <v>107.2621</v>
      </c>
    </row>
    <row r="25" spans="1:5" ht="15">
      <c r="A25" s="11">
        <v>41852</v>
      </c>
      <c r="B25" s="4">
        <f>15.2328 * CHOOSE(CONTROL!$C$14, $C$14, 100%, $E$14) + CHOOSE(CONTROL!$C$33, 0.0304, 0)</f>
        <v>15.263199999999999</v>
      </c>
      <c r="C25" s="4">
        <f>14.8695 * CHOOSE(CONTROL!$C$14, $C$14, 100%, $E$14) + CHOOSE(CONTROL!$C$33, 0.0304, 0)</f>
        <v>14.899900000000001</v>
      </c>
      <c r="D25" s="4">
        <f>22.6472 * CHOOSE(CONTROL!$C$14, $C$14, 100%, $E$14) + CHOOSE(CONTROL!$C$33, 0.0021, 0)</f>
        <v>22.6493</v>
      </c>
      <c r="E25" s="4">
        <f>104.42 * CHOOSE(CONTROL!$C$14, $C$14, 100%, $E$14) + CHOOSE(CONTROL!$C$33, 0.0021, 0)</f>
        <v>104.4221</v>
      </c>
    </row>
    <row r="26" spans="1:5" ht="15">
      <c r="A26" s="11">
        <v>41883</v>
      </c>
      <c r="B26" s="4">
        <f>15.6719 * CHOOSE(CONTROL!$C$14, $C$14, 100%, $E$14) + CHOOSE(CONTROL!$C$33, 0.0304, 0)</f>
        <v>15.702300000000001</v>
      </c>
      <c r="C26" s="4">
        <f>15.3086 * CHOOSE(CONTROL!$C$14, $C$14, 100%, $E$14) + CHOOSE(CONTROL!$C$33, 0.0304, 0)</f>
        <v>15.339</v>
      </c>
      <c r="D26" s="4">
        <f>22.5362 * CHOOSE(CONTROL!$C$14, $C$14, 100%, $E$14) + CHOOSE(CONTROL!$C$33, 0.0021, 0)</f>
        <v>22.5383</v>
      </c>
      <c r="E26" s="4">
        <f>98.29 * CHOOSE(CONTROL!$C$14, $C$14, 100%, $E$14) + CHOOSE(CONTROL!$C$33, 0.0021, 0)</f>
        <v>98.292100000000005</v>
      </c>
    </row>
    <row r="27" spans="1:5" ht="15">
      <c r="A27" s="11">
        <v>41913</v>
      </c>
      <c r="B27" s="4">
        <f>15.6562 * CHOOSE(CONTROL!$C$14, $C$14, 100%, $E$14) + CHOOSE(CONTROL!$C$33, 0.0272, 0)</f>
        <v>15.683400000000001</v>
      </c>
      <c r="C27" s="4">
        <f>15.293 * CHOOSE(CONTROL!$C$14, $C$14, 100%, $E$14) + CHOOSE(CONTROL!$C$33, 0.0272, 0)</f>
        <v>15.3202</v>
      </c>
      <c r="D27" s="4">
        <f>22.6011 * CHOOSE(CONTROL!$C$14, $C$14, 100%, $E$14) + CHOOSE(CONTROL!$C$33, 0.0021, 0)</f>
        <v>22.603199999999998</v>
      </c>
      <c r="E27" s="4">
        <f>97.36 * CHOOSE(CONTROL!$C$14, $C$14, 100%, $E$14) + CHOOSE(CONTROL!$C$33, 0.0021, 0)</f>
        <v>97.362099999999998</v>
      </c>
    </row>
    <row r="28" spans="1:5" ht="15">
      <c r="A28" s="11">
        <v>41944</v>
      </c>
      <c r="B28" s="4">
        <f>15.6406 * CHOOSE(CONTROL!$C$14, $C$14, 100%, $E$14) + CHOOSE(CONTROL!$C$33, 0.0272, 0)</f>
        <v>15.6678</v>
      </c>
      <c r="C28" s="4">
        <f>15.2773 * CHOOSE(CONTROL!$C$14, $C$14, 100%, $E$14) + CHOOSE(CONTROL!$C$33, 0.0272, 0)</f>
        <v>15.304500000000001</v>
      </c>
      <c r="D28" s="4">
        <f>22.6594 * CHOOSE(CONTROL!$C$14, $C$14, 100%, $E$14) + CHOOSE(CONTROL!$C$33, 0.0021, 0)</f>
        <v>22.6615</v>
      </c>
      <c r="E28" s="4">
        <f>96.78 * CHOOSE(CONTROL!$C$14, $C$14, 100%, $E$14) + CHOOSE(CONTROL!$C$33, 0.0021, 0)</f>
        <v>96.7821</v>
      </c>
    </row>
    <row r="29" spans="1:5" ht="15">
      <c r="A29" s="11">
        <v>41974</v>
      </c>
      <c r="B29" s="4">
        <f>15.625 * CHOOSE(CONTROL!$C$14, $C$14, 100%, $E$14) + CHOOSE(CONTROL!$C$33, 0.0272, 0)</f>
        <v>15.652200000000001</v>
      </c>
      <c r="C29" s="4">
        <f>15.2617 * CHOOSE(CONTROL!$C$14, $C$14, 100%, $E$14) + CHOOSE(CONTROL!$C$33, 0.0272, 0)</f>
        <v>15.2889</v>
      </c>
      <c r="D29" s="4">
        <f>22.7149 * CHOOSE(CONTROL!$C$14, $C$14, 100%, $E$14) + CHOOSE(CONTROL!$C$33, 0.0021, 0)</f>
        <v>22.716999999999999</v>
      </c>
      <c r="E29" s="4">
        <f>96.28 * CHOOSE(CONTROL!$C$14, $C$14, 100%, $E$14) + CHOOSE(CONTROL!$C$33, 0.0021, 0)</f>
        <v>96.2821</v>
      </c>
    </row>
    <row r="30" spans="1:5" ht="15">
      <c r="A30" s="11">
        <v>42005</v>
      </c>
      <c r="B30" s="4">
        <f>15.6484 * CHOOSE(CONTROL!$C$14, $C$14, 100%, $E$14) + CHOOSE(CONTROL!$C$33, 0.0272, 0)</f>
        <v>15.675600000000001</v>
      </c>
      <c r="C30" s="4">
        <f>15.2852 * CHOOSE(CONTROL!$C$14, $C$14, 100%, $E$14) + CHOOSE(CONTROL!$C$33, 0.0272, 0)</f>
        <v>15.3124</v>
      </c>
      <c r="D30" s="4">
        <f>22.7689 * CHOOSE(CONTROL!$C$14, $C$14, 100%, $E$14) + CHOOSE(CONTROL!$C$33, 0.0021, 0)</f>
        <v>22.770999999999997</v>
      </c>
      <c r="E30" s="4">
        <f>95.86 * CHOOSE(CONTROL!$C$14, $C$14, 100%, $E$14) + CHOOSE(CONTROL!$C$33, 0.0021, 0)</f>
        <v>95.862099999999998</v>
      </c>
    </row>
    <row r="31" spans="1:5" ht="15">
      <c r="A31" s="11">
        <v>42036</v>
      </c>
      <c r="B31" s="4">
        <f>15.6328 * CHOOSE(CONTROL!$C$14, $C$14, 100%, $E$14) + CHOOSE(CONTROL!$C$33, 0.0272, 0)</f>
        <v>15.66</v>
      </c>
      <c r="C31" s="4">
        <f>15.2695 * CHOOSE(CONTROL!$C$14, $C$14, 100%, $E$14) + CHOOSE(CONTROL!$C$33, 0.0272, 0)</f>
        <v>15.296700000000001</v>
      </c>
      <c r="D31" s="4">
        <f>22.7531 * CHOOSE(CONTROL!$C$14, $C$14, 100%, $E$14) + CHOOSE(CONTROL!$C$33, 0.0021, 0)</f>
        <v>22.755199999999999</v>
      </c>
      <c r="E31" s="4">
        <f>95.42 * CHOOSE(CONTROL!$C$14, $C$14, 100%, $E$14) + CHOOSE(CONTROL!$C$33, 0.0021, 0)</f>
        <v>95.4221</v>
      </c>
    </row>
    <row r="32" spans="1:5" ht="15">
      <c r="A32" s="11">
        <v>42064</v>
      </c>
      <c r="B32" s="4">
        <f>15.6172 * CHOOSE(CONTROL!$C$14, $C$14, 100%, $E$14) + CHOOSE(CONTROL!$C$33, 0.0272, 0)</f>
        <v>15.644400000000001</v>
      </c>
      <c r="C32" s="4">
        <f>15.2539 * CHOOSE(CONTROL!$C$14, $C$14, 100%, $E$14) + CHOOSE(CONTROL!$C$33, 0.0272, 0)</f>
        <v>15.2811</v>
      </c>
      <c r="D32" s="4">
        <f>22.6796 * CHOOSE(CONTROL!$C$14, $C$14, 100%, $E$14) + CHOOSE(CONTROL!$C$33, 0.0021, 0)</f>
        <v>22.681699999999999</v>
      </c>
      <c r="E32" s="4">
        <f>95 * CHOOSE(CONTROL!$C$14, $C$14, 100%, $E$14) + CHOOSE(CONTROL!$C$33, 0.0021, 0)</f>
        <v>95.002099999999999</v>
      </c>
    </row>
    <row r="33" spans="1:5" ht="15">
      <c r="A33" s="11">
        <v>42095</v>
      </c>
      <c r="B33" s="4">
        <f>15.6016 * CHOOSE(CONTROL!$C$14, $C$14, 100%, $E$14) + CHOOSE(CONTROL!$C$33, 0.0272, 0)</f>
        <v>15.6288</v>
      </c>
      <c r="C33" s="4">
        <f>15.2383 * CHOOSE(CONTROL!$C$14, $C$14, 100%, $E$14) + CHOOSE(CONTROL!$C$33, 0.0272, 0)</f>
        <v>15.265500000000001</v>
      </c>
      <c r="D33" s="4">
        <f>22.5867 * CHOOSE(CONTROL!$C$14, $C$14, 100%, $E$14) + CHOOSE(CONTROL!$C$33, 0.0021, 0)</f>
        <v>22.588799999999999</v>
      </c>
      <c r="E33" s="4">
        <f>94.55 * CHOOSE(CONTROL!$C$14, $C$14, 100%, $E$14) + CHOOSE(CONTROL!$C$33, 0.0021, 0)</f>
        <v>94.552099999999996</v>
      </c>
    </row>
    <row r="34" spans="1:5" ht="15">
      <c r="A34" s="11">
        <v>42125</v>
      </c>
      <c r="B34" s="4">
        <f>15.5859 * CHOOSE(CONTROL!$C$14, $C$14, 100%, $E$14) + CHOOSE(CONTROL!$C$33, 0.0304, 0)</f>
        <v>15.616300000000001</v>
      </c>
      <c r="C34" s="4">
        <f>15.2227 * CHOOSE(CONTROL!$C$14, $C$14, 100%, $E$14) + CHOOSE(CONTROL!$C$33, 0.0304, 0)</f>
        <v>15.2531</v>
      </c>
      <c r="D34" s="4">
        <f>22.5053 * CHOOSE(CONTROL!$C$14, $C$14, 100%, $E$14) + CHOOSE(CONTROL!$C$33, 0.0021, 0)</f>
        <v>22.507399999999997</v>
      </c>
      <c r="E34" s="4">
        <f>94.17 * CHOOSE(CONTROL!$C$14, $C$14, 100%, $E$14) + CHOOSE(CONTROL!$C$33, 0.0021, 0)</f>
        <v>94.1721</v>
      </c>
    </row>
    <row r="35" spans="1:5" ht="15">
      <c r="A35" s="11">
        <v>42156</v>
      </c>
      <c r="B35" s="4">
        <f>15.5703 * CHOOSE(CONTROL!$C$14, $C$14, 100%, $E$14) + CHOOSE(CONTROL!$C$33, 0.0304, 0)</f>
        <v>15.6007</v>
      </c>
      <c r="C35" s="4">
        <f>15.207 * CHOOSE(CONTROL!$C$14, $C$14, 100%, $E$14) + CHOOSE(CONTROL!$C$33, 0.0304, 0)</f>
        <v>15.237400000000001</v>
      </c>
      <c r="D35" s="4">
        <f>22.4289 * CHOOSE(CONTROL!$C$14, $C$14, 100%, $E$14) + CHOOSE(CONTROL!$C$33, 0.0021, 0)</f>
        <v>22.430999999999997</v>
      </c>
      <c r="E35" s="4">
        <f>93.84 * CHOOSE(CONTROL!$C$14, $C$14, 100%, $E$14) + CHOOSE(CONTROL!$C$33, 0.0021, 0)</f>
        <v>93.842100000000002</v>
      </c>
    </row>
    <row r="36" spans="1:5" ht="15">
      <c r="A36" s="11">
        <v>42186</v>
      </c>
      <c r="B36" s="4">
        <f>15.5547 * CHOOSE(CONTROL!$C$14, $C$14, 100%, $E$14) + CHOOSE(CONTROL!$C$33, 0.0304, 0)</f>
        <v>15.585100000000001</v>
      </c>
      <c r="C36" s="4">
        <f>15.1914 * CHOOSE(CONTROL!$C$14, $C$14, 100%, $E$14) + CHOOSE(CONTROL!$C$33, 0.0304, 0)</f>
        <v>15.2218</v>
      </c>
      <c r="D36" s="4">
        <f>22.3986 * CHOOSE(CONTROL!$C$14, $C$14, 100%, $E$14) + CHOOSE(CONTROL!$C$33, 0.0021, 0)</f>
        <v>22.400699999999997</v>
      </c>
      <c r="E36" s="4">
        <f>93.43 * CHOOSE(CONTROL!$C$14, $C$14, 100%, $E$14) + CHOOSE(CONTROL!$C$33, 0.0021, 0)</f>
        <v>93.432100000000005</v>
      </c>
    </row>
    <row r="37" spans="1:5" ht="15">
      <c r="A37" s="11">
        <v>42217</v>
      </c>
      <c r="B37" s="4">
        <f>15.5391 * CHOOSE(CONTROL!$C$14, $C$14, 100%, $E$14) + CHOOSE(CONTROL!$C$33, 0.0304, 0)</f>
        <v>15.5695</v>
      </c>
      <c r="C37" s="4">
        <f>15.1758 * CHOOSE(CONTROL!$C$14, $C$14, 100%, $E$14) + CHOOSE(CONTROL!$C$33, 0.0304, 0)</f>
        <v>15.206200000000001</v>
      </c>
      <c r="D37" s="4">
        <f>22.3857 * CHOOSE(CONTROL!$C$14, $C$14, 100%, $E$14) + CHOOSE(CONTROL!$C$33, 0.0021, 0)</f>
        <v>22.387799999999999</v>
      </c>
      <c r="E37" s="4">
        <f>93.08 * CHOOSE(CONTROL!$C$14, $C$14, 100%, $E$14) + CHOOSE(CONTROL!$C$33, 0.0021, 0)</f>
        <v>93.082099999999997</v>
      </c>
    </row>
    <row r="38" spans="1:5" ht="15">
      <c r="A38" s="11">
        <v>42248</v>
      </c>
      <c r="B38" s="4">
        <f>15.5234 * CHOOSE(CONTROL!$C$14, $C$14, 100%, $E$14) + CHOOSE(CONTROL!$C$33, 0.0304, 0)</f>
        <v>15.553800000000001</v>
      </c>
      <c r="C38" s="4">
        <f>15.1602 * CHOOSE(CONTROL!$C$14, $C$14, 100%, $E$14) + CHOOSE(CONTROL!$C$33, 0.0304, 0)</f>
        <v>15.1906</v>
      </c>
      <c r="D38" s="4">
        <f>22.3806 * CHOOSE(CONTROL!$C$14, $C$14, 100%, $E$14) + CHOOSE(CONTROL!$C$33, 0.0021, 0)</f>
        <v>22.3827</v>
      </c>
      <c r="E38" s="4">
        <f>92.8 * CHOOSE(CONTROL!$C$14, $C$14, 100%, $E$14) + CHOOSE(CONTROL!$C$33, 0.0021, 0)</f>
        <v>92.802099999999996</v>
      </c>
    </row>
    <row r="39" spans="1:5" ht="15">
      <c r="A39" s="11">
        <v>42278</v>
      </c>
      <c r="B39" s="4">
        <f>15.5078 * CHOOSE(CONTROL!$C$14, $C$14, 100%, $E$14) + CHOOSE(CONTROL!$C$33, 0.0272, 0)</f>
        <v>15.535</v>
      </c>
      <c r="C39" s="4">
        <f>15.1445 * CHOOSE(CONTROL!$C$14, $C$14, 100%, $E$14) + CHOOSE(CONTROL!$C$33, 0.0272, 0)</f>
        <v>15.171700000000001</v>
      </c>
      <c r="D39" s="4">
        <f>22.3749 * CHOOSE(CONTROL!$C$14, $C$14, 100%, $E$14) + CHOOSE(CONTROL!$C$33, 0.0021, 0)</f>
        <v>22.376999999999999</v>
      </c>
      <c r="E39" s="4">
        <f>92.54 * CHOOSE(CONTROL!$C$14, $C$14, 100%, $E$14) + CHOOSE(CONTROL!$C$33, 0.0021, 0)</f>
        <v>92.542100000000005</v>
      </c>
    </row>
    <row r="40" spans="1:5" ht="15">
      <c r="A40" s="11">
        <v>42309</v>
      </c>
      <c r="B40" s="4">
        <f>15.4922 * CHOOSE(CONTROL!$C$14, $C$14, 100%, $E$14) + CHOOSE(CONTROL!$C$33, 0.0272, 0)</f>
        <v>15.519400000000001</v>
      </c>
      <c r="C40" s="4">
        <f>15.1289 * CHOOSE(CONTROL!$C$14, $C$14, 100%, $E$14) + CHOOSE(CONTROL!$C$33, 0.0272, 0)</f>
        <v>15.1561</v>
      </c>
      <c r="D40" s="4">
        <f>22.3698 * CHOOSE(CONTROL!$C$14, $C$14, 100%, $E$14) + CHOOSE(CONTROL!$C$33, 0.0021, 0)</f>
        <v>22.3719</v>
      </c>
      <c r="E40" s="4">
        <f>92.32 * CHOOSE(CONTROL!$C$14, $C$14, 100%, $E$14) + CHOOSE(CONTROL!$C$33, 0.0021, 0)</f>
        <v>92.322099999999992</v>
      </c>
    </row>
    <row r="41" spans="1:5" ht="15">
      <c r="A41" s="11">
        <v>42339</v>
      </c>
      <c r="B41" s="4">
        <f>15.4766 * CHOOSE(CONTROL!$C$14, $C$14, 100%, $E$14) + CHOOSE(CONTROL!$C$33, 0.0272, 0)</f>
        <v>15.5038</v>
      </c>
      <c r="C41" s="4">
        <f>15.1133 * CHOOSE(CONTROL!$C$14, $C$14, 100%, $E$14) + CHOOSE(CONTROL!$C$33, 0.0272, 0)</f>
        <v>15.140500000000001</v>
      </c>
      <c r="D41" s="4">
        <f>22.3547 * CHOOSE(CONTROL!$C$14, $C$14, 100%, $E$14) + CHOOSE(CONTROL!$C$33, 0.0021, 0)</f>
        <v>22.3568</v>
      </c>
      <c r="E41" s="4">
        <f>92.11 * CHOOSE(CONTROL!$C$14, $C$14, 100%, $E$14) + CHOOSE(CONTROL!$C$33, 0.0021, 0)</f>
        <v>92.112099999999998</v>
      </c>
    </row>
    <row r="42" spans="1:5" ht="15">
      <c r="A42" s="11">
        <v>42370</v>
      </c>
      <c r="B42" s="4">
        <f>15.4766 * CHOOSE(CONTROL!$C$14, $C$14, 100%, $E$14) + CHOOSE(CONTROL!$C$33, 0.0272, 0)</f>
        <v>15.5038</v>
      </c>
      <c r="C42" s="4">
        <f>15.1133 * CHOOSE(CONTROL!$C$14, $C$14, 100%, $E$14) + CHOOSE(CONTROL!$C$33, 0.0272, 0)</f>
        <v>15.140500000000001</v>
      </c>
      <c r="D42" s="4">
        <f>22.3324 * CHOOSE(CONTROL!$C$14, $C$14, 100%, $E$14) + CHOOSE(CONTROL!$C$33, 0.0021, 0)</f>
        <v>22.334499999999998</v>
      </c>
      <c r="E42" s="4">
        <f>91.75 * CHOOSE(CONTROL!$C$14, $C$14, 100%, $E$14) + CHOOSE(CONTROL!$C$33, 0.0021, 0)</f>
        <v>91.752099999999999</v>
      </c>
    </row>
    <row r="43" spans="1:5" ht="15">
      <c r="A43" s="11">
        <v>42401</v>
      </c>
      <c r="B43" s="4">
        <f>15.4453 * CHOOSE(CONTROL!$C$14, $C$14, 100%, $E$14) + CHOOSE(CONTROL!$C$33, 0.0272, 0)</f>
        <v>15.4725</v>
      </c>
      <c r="C43" s="4">
        <f>15.082 * CHOOSE(CONTROL!$C$14, $C$14, 100%, $E$14) + CHOOSE(CONTROL!$C$33, 0.0272, 0)</f>
        <v>15.109200000000001</v>
      </c>
      <c r="D43" s="4">
        <f>22.2783 * CHOOSE(CONTROL!$C$14, $C$14, 100%, $E$14) + CHOOSE(CONTROL!$C$33, 0.0021, 0)</f>
        <v>22.2804</v>
      </c>
      <c r="E43" s="4">
        <f>91.42 * CHOOSE(CONTROL!$C$14, $C$14, 100%, $E$14) + CHOOSE(CONTROL!$C$33, 0.0021, 0)</f>
        <v>91.4221</v>
      </c>
    </row>
    <row r="44" spans="1:5" ht="15">
      <c r="A44" s="11">
        <v>42430</v>
      </c>
      <c r="B44" s="4">
        <f>15.4141 * CHOOSE(CONTROL!$C$14, $C$14, 100%, $E$14) + CHOOSE(CONTROL!$C$33, 0.0272, 0)</f>
        <v>15.4413</v>
      </c>
      <c r="C44" s="4">
        <f>15.0508 * CHOOSE(CONTROL!$C$14, $C$14, 100%, $E$14) + CHOOSE(CONTROL!$C$33, 0.0272, 0)</f>
        <v>15.078000000000001</v>
      </c>
      <c r="D44" s="4">
        <f>22.1595 * CHOOSE(CONTROL!$C$14, $C$14, 100%, $E$14) + CHOOSE(CONTROL!$C$33, 0.0021, 0)</f>
        <v>22.1616</v>
      </c>
      <c r="E44" s="4">
        <f>91.12 * CHOOSE(CONTROL!$C$14, $C$14, 100%, $E$14) + CHOOSE(CONTROL!$C$33, 0.0021, 0)</f>
        <v>91.122100000000003</v>
      </c>
    </row>
    <row r="45" spans="1:5" ht="15">
      <c r="A45" s="11">
        <v>42461</v>
      </c>
      <c r="B45" s="4">
        <f>15.3828 * CHOOSE(CONTROL!$C$14, $C$14, 100%, $E$14) + CHOOSE(CONTROL!$C$33, 0.0272, 0)</f>
        <v>15.41</v>
      </c>
      <c r="C45" s="4">
        <f>15.0195 * CHOOSE(CONTROL!$C$14, $C$14, 100%, $E$14) + CHOOSE(CONTROL!$C$33, 0.0272, 0)</f>
        <v>15.046700000000001</v>
      </c>
      <c r="D45" s="4">
        <f>22.0226 * CHOOSE(CONTROL!$C$14, $C$14, 100%, $E$14) + CHOOSE(CONTROL!$C$33, 0.0021, 0)</f>
        <v>22.024699999999999</v>
      </c>
      <c r="E45" s="4">
        <f>90.87 * CHOOSE(CONTROL!$C$14, $C$14, 100%, $E$14) + CHOOSE(CONTROL!$C$33, 0.0021, 0)</f>
        <v>90.872100000000003</v>
      </c>
    </row>
    <row r="46" spans="1:5" ht="15">
      <c r="A46" s="11">
        <v>42491</v>
      </c>
      <c r="B46" s="4">
        <f>15.3516 * CHOOSE(CONTROL!$C$14, $C$14, 100%, $E$14) + CHOOSE(CONTROL!$C$33, 0.0304, 0)</f>
        <v>15.382</v>
      </c>
      <c r="C46" s="4">
        <f>14.9883 * CHOOSE(CONTROL!$C$14, $C$14, 100%, $E$14) + CHOOSE(CONTROL!$C$33, 0.0304, 0)</f>
        <v>15.018700000000001</v>
      </c>
      <c r="D46" s="4">
        <f>21.9145 * CHOOSE(CONTROL!$C$14, $C$14, 100%, $E$14) + CHOOSE(CONTROL!$C$33, 0.0021, 0)</f>
        <v>21.916599999999999</v>
      </c>
      <c r="E46" s="4">
        <f>90.67 * CHOOSE(CONTROL!$C$14, $C$14, 100%, $E$14) + CHOOSE(CONTROL!$C$33, 0.0021, 0)</f>
        <v>90.6721</v>
      </c>
    </row>
    <row r="47" spans="1:5" ht="15">
      <c r="A47" s="11">
        <v>42522</v>
      </c>
      <c r="B47" s="4">
        <f>15.3203 * CHOOSE(CONTROL!$C$14, $C$14, 100%, $E$14) + CHOOSE(CONTROL!$C$33, 0.0304, 0)</f>
        <v>15.3507</v>
      </c>
      <c r="C47" s="4">
        <f>14.957 * CHOOSE(CONTROL!$C$14, $C$14, 100%, $E$14) + CHOOSE(CONTROL!$C$33, 0.0304, 0)</f>
        <v>14.987400000000001</v>
      </c>
      <c r="D47" s="4">
        <f>21.8281 * CHOOSE(CONTROL!$C$14, $C$14, 100%, $E$14) + CHOOSE(CONTROL!$C$33, 0.0021, 0)</f>
        <v>21.830199999999998</v>
      </c>
      <c r="E47" s="4">
        <f>90.53 * CHOOSE(CONTROL!$C$14, $C$14, 100%, $E$14) + CHOOSE(CONTROL!$C$33, 0.0021, 0)</f>
        <v>90.5321</v>
      </c>
    </row>
    <row r="48" spans="1:5" ht="15">
      <c r="A48" s="11">
        <v>42552</v>
      </c>
      <c r="B48" s="4">
        <f>15.2891 * CHOOSE(CONTROL!$C$14, $C$14, 100%, $E$14) + CHOOSE(CONTROL!$C$33, 0.0304, 0)</f>
        <v>15.3195</v>
      </c>
      <c r="C48" s="4">
        <f>14.9258 * CHOOSE(CONTROL!$C$14, $C$14, 100%, $E$14) + CHOOSE(CONTROL!$C$33, 0.0304, 0)</f>
        <v>14.956200000000001</v>
      </c>
      <c r="D48" s="4">
        <f>21.8029 * CHOOSE(CONTROL!$C$14, $C$14, 100%, $E$14) + CHOOSE(CONTROL!$C$33, 0.0021, 0)</f>
        <v>21.805</v>
      </c>
      <c r="E48" s="4">
        <f>90.26 * CHOOSE(CONTROL!$C$14, $C$14, 100%, $E$14) + CHOOSE(CONTROL!$C$33, 0.0021, 0)</f>
        <v>90.262100000000004</v>
      </c>
    </row>
    <row r="49" spans="1:5" ht="15">
      <c r="A49" s="11">
        <v>42583</v>
      </c>
      <c r="B49" s="4">
        <f>15.2578 * CHOOSE(CONTROL!$C$14, $C$14, 100%, $E$14) + CHOOSE(CONTROL!$C$33, 0.0304, 0)</f>
        <v>15.2882</v>
      </c>
      <c r="C49" s="4">
        <f>14.8945 * CHOOSE(CONTROL!$C$14, $C$14, 100%, $E$14) + CHOOSE(CONTROL!$C$33, 0.0304, 0)</f>
        <v>14.924900000000001</v>
      </c>
      <c r="D49" s="4">
        <f>21.7957 * CHOOSE(CONTROL!$C$14, $C$14, 100%, $E$14) + CHOOSE(CONTROL!$C$33, 0.0021, 0)</f>
        <v>21.797799999999999</v>
      </c>
      <c r="E49" s="4">
        <f>90.06 * CHOOSE(CONTROL!$C$14, $C$14, 100%, $E$14) + CHOOSE(CONTROL!$C$33, 0.0021, 0)</f>
        <v>90.062100000000001</v>
      </c>
    </row>
    <row r="50" spans="1:5" ht="15">
      <c r="A50" s="11">
        <v>42614</v>
      </c>
      <c r="B50" s="4">
        <f>15.2266 * CHOOSE(CONTROL!$C$14, $C$14, 100%, $E$14) + CHOOSE(CONTROL!$C$33, 0.0304, 0)</f>
        <v>15.257</v>
      </c>
      <c r="C50" s="4">
        <f>14.8633 * CHOOSE(CONTROL!$C$14, $C$14, 100%, $E$14) + CHOOSE(CONTROL!$C$33, 0.0304, 0)</f>
        <v>14.893700000000001</v>
      </c>
      <c r="D50" s="4">
        <f>21.7885 * CHOOSE(CONTROL!$C$14, $C$14, 100%, $E$14) + CHOOSE(CONTROL!$C$33, 0.0021, 0)</f>
        <v>21.790599999999998</v>
      </c>
      <c r="E50" s="4">
        <f>89.92 * CHOOSE(CONTROL!$C$14, $C$14, 100%, $E$14) + CHOOSE(CONTROL!$C$33, 0.0021, 0)</f>
        <v>89.9221</v>
      </c>
    </row>
    <row r="51" spans="1:5" ht="15">
      <c r="A51" s="11">
        <v>42644</v>
      </c>
      <c r="B51" s="4">
        <f>15.1953 * CHOOSE(CONTROL!$C$14, $C$14, 100%, $E$14) + CHOOSE(CONTROL!$C$33, 0.0272, 0)</f>
        <v>15.2225</v>
      </c>
      <c r="C51" s="4">
        <f>14.832 * CHOOSE(CONTROL!$C$14, $C$14, 100%, $E$14) + CHOOSE(CONTROL!$C$33, 0.0272, 0)</f>
        <v>14.859200000000001</v>
      </c>
      <c r="D51" s="4">
        <f>21.774 * CHOOSE(CONTROL!$C$14, $C$14, 100%, $E$14) + CHOOSE(CONTROL!$C$33, 0.0021, 0)</f>
        <v>21.7761</v>
      </c>
      <c r="E51" s="4">
        <f>89.81 * CHOOSE(CONTROL!$C$14, $C$14, 100%, $E$14) + CHOOSE(CONTROL!$C$33, 0.0021, 0)</f>
        <v>89.812100000000001</v>
      </c>
    </row>
    <row r="52" spans="1:5" ht="15">
      <c r="A52" s="11">
        <v>42675</v>
      </c>
      <c r="B52" s="4">
        <f>15.1641 * CHOOSE(CONTROL!$C$14, $C$14, 100%, $E$14) + CHOOSE(CONTROL!$C$33, 0.0272, 0)</f>
        <v>15.1913</v>
      </c>
      <c r="C52" s="4">
        <f>14.8008 * CHOOSE(CONTROL!$C$14, $C$14, 100%, $E$14) + CHOOSE(CONTROL!$C$33, 0.0272, 0)</f>
        <v>14.828000000000001</v>
      </c>
      <c r="D52" s="4">
        <f>21.756 * CHOOSE(CONTROL!$C$14, $C$14, 100%, $E$14) + CHOOSE(CONTROL!$C$33, 0.0021, 0)</f>
        <v>21.758099999999999</v>
      </c>
      <c r="E52" s="4">
        <f>89.73 * CHOOSE(CONTROL!$C$14, $C$14, 100%, $E$14) + CHOOSE(CONTROL!$C$33, 0.0021, 0)</f>
        <v>89.732100000000003</v>
      </c>
    </row>
    <row r="53" spans="1:5" ht="15">
      <c r="A53" s="11">
        <v>42705</v>
      </c>
      <c r="B53" s="4">
        <f>15.1328 * CHOOSE(CONTROL!$C$14, $C$14, 100%, $E$14) + CHOOSE(CONTROL!$C$33, 0.0272, 0)</f>
        <v>15.16</v>
      </c>
      <c r="C53" s="4">
        <f>14.7695 * CHOOSE(CONTROL!$C$14, $C$14, 100%, $E$14) + CHOOSE(CONTROL!$C$33, 0.0272, 0)</f>
        <v>14.796700000000001</v>
      </c>
      <c r="D53" s="4">
        <f>21.7344 * CHOOSE(CONTROL!$C$14, $C$14, 100%, $E$14) + CHOOSE(CONTROL!$C$33, 0.0021, 0)</f>
        <v>21.736499999999999</v>
      </c>
      <c r="E53" s="4">
        <f>89.68 * CHOOSE(CONTROL!$C$14, $C$14, 100%, $E$14) + CHOOSE(CONTROL!$C$33, 0.0021, 0)</f>
        <v>89.682100000000005</v>
      </c>
    </row>
    <row r="54" spans="1:5" ht="15">
      <c r="A54" s="11">
        <v>42736</v>
      </c>
      <c r="B54" s="4">
        <f>14.0595 * CHOOSE(CONTROL!$C$14, $C$14, 100%, $E$14) + CHOOSE(CONTROL!$C$33, 0.0272, 0)</f>
        <v>14.0867</v>
      </c>
      <c r="C54" s="4">
        <f>13.6962 * CHOOSE(CONTROL!$C$14, $C$14, 100%, $E$14) + CHOOSE(CONTROL!$C$33, 0.0272, 0)</f>
        <v>13.7234</v>
      </c>
      <c r="D54" s="4">
        <f>20.6118 * CHOOSE(CONTROL!$C$14, $C$14, 100%, $E$14) + CHOOSE(CONTROL!$C$33, 0.0021, 0)</f>
        <v>20.613899999999997</v>
      </c>
      <c r="E54" s="4">
        <f>84.6355678458128 * CHOOSE(CONTROL!$C$14, $C$14, 100%, $E$14) + CHOOSE(CONTROL!$C$33, 0.0021, 0)</f>
        <v>84.6376678458128</v>
      </c>
    </row>
    <row r="55" spans="1:5" ht="15">
      <c r="A55" s="11">
        <v>42767</v>
      </c>
      <c r="B55" s="4">
        <f>14.3749 * CHOOSE(CONTROL!$C$14, $C$14, 100%, $E$14) + CHOOSE(CONTROL!$C$33, 0.0272, 0)</f>
        <v>14.402100000000001</v>
      </c>
      <c r="C55" s="4">
        <f>14.0116 * CHOOSE(CONTROL!$C$14, $C$14, 100%, $E$14) + CHOOSE(CONTROL!$C$33, 0.0272, 0)</f>
        <v>14.0388</v>
      </c>
      <c r="D55" s="4">
        <f>21.2739 * CHOOSE(CONTROL!$C$14, $C$14, 100%, $E$14) + CHOOSE(CONTROL!$C$33, 0.0021, 0)</f>
        <v>21.276</v>
      </c>
      <c r="E55" s="4">
        <f>86.6451497675808 * CHOOSE(CONTROL!$C$14, $C$14, 100%, $E$14) + CHOOSE(CONTROL!$C$33, 0.0021, 0)</f>
        <v>86.647249767580803</v>
      </c>
    </row>
    <row r="56" spans="1:5" ht="15">
      <c r="A56" s="11">
        <v>42795</v>
      </c>
      <c r="B56" s="4">
        <f>15.2033 * CHOOSE(CONTROL!$C$14, $C$14, 100%, $E$14) + CHOOSE(CONTROL!$C$33, 0.0272, 0)</f>
        <v>15.230500000000001</v>
      </c>
      <c r="C56" s="4">
        <f>14.8401 * CHOOSE(CONTROL!$C$14, $C$14, 100%, $E$14) + CHOOSE(CONTROL!$C$33, 0.0272, 0)</f>
        <v>14.8673</v>
      </c>
      <c r="D56" s="4">
        <f>22.3104 * CHOOSE(CONTROL!$C$14, $C$14, 100%, $E$14) + CHOOSE(CONTROL!$C$33, 0.0021, 0)</f>
        <v>22.3125</v>
      </c>
      <c r="E56" s="4">
        <f>91.9224186898126 * CHOOSE(CONTROL!$C$14, $C$14, 100%, $E$14) + CHOOSE(CONTROL!$C$33, 0.0021, 0)</f>
        <v>91.924518689812601</v>
      </c>
    </row>
    <row r="57" spans="1:5" ht="15">
      <c r="A57" s="11">
        <v>42826</v>
      </c>
      <c r="B57" s="4">
        <f>15.7919 * CHOOSE(CONTROL!$C$14, $C$14, 100%, $E$14) + CHOOSE(CONTROL!$C$33, 0.0272, 0)</f>
        <v>15.819100000000001</v>
      </c>
      <c r="C57" s="4">
        <f>15.4287 * CHOOSE(CONTROL!$C$14, $C$14, 100%, $E$14) + CHOOSE(CONTROL!$C$33, 0.0272, 0)</f>
        <v>15.4559</v>
      </c>
      <c r="D57" s="4">
        <f>22.9074 * CHOOSE(CONTROL!$C$14, $C$14, 100%, $E$14) + CHOOSE(CONTROL!$C$33, 0.0021, 0)</f>
        <v>22.909499999999998</v>
      </c>
      <c r="E57" s="4">
        <f>95.6719885879136 * CHOOSE(CONTROL!$C$14, $C$14, 100%, $E$14) + CHOOSE(CONTROL!$C$33, 0.0021, 0)</f>
        <v>95.674088587913602</v>
      </c>
    </row>
    <row r="58" spans="1:5" ht="15">
      <c r="A58" s="11">
        <v>42856</v>
      </c>
      <c r="B58" s="4">
        <f>16.1516 * CHOOSE(CONTROL!$C$14, $C$14, 100%, $E$14) + CHOOSE(CONTROL!$C$33, 0.0304, 0)</f>
        <v>16.181999999999999</v>
      </c>
      <c r="C58" s="4">
        <f>15.7883 * CHOOSE(CONTROL!$C$14, $C$14, 100%, $E$14) + CHOOSE(CONTROL!$C$33, 0.0304, 0)</f>
        <v>15.8187</v>
      </c>
      <c r="D58" s="4">
        <f>22.6715 * CHOOSE(CONTROL!$C$14, $C$14, 100%, $E$14) + CHOOSE(CONTROL!$C$33, 0.0021, 0)</f>
        <v>22.6736</v>
      </c>
      <c r="E58" s="4">
        <f>97.9628859310048 * CHOOSE(CONTROL!$C$14, $C$14, 100%, $E$14) + CHOOSE(CONTROL!$C$33, 0.0021, 0)</f>
        <v>97.964985931004804</v>
      </c>
    </row>
    <row r="59" spans="1:5" ht="15">
      <c r="A59" s="11">
        <v>42887</v>
      </c>
      <c r="B59" s="4">
        <f>16.2002 * CHOOSE(CONTROL!$C$14, $C$14, 100%, $E$14) + CHOOSE(CONTROL!$C$33, 0.0304, 0)</f>
        <v>16.230599999999999</v>
      </c>
      <c r="C59" s="4">
        <f>15.8369 * CHOOSE(CONTROL!$C$14, $C$14, 100%, $E$14) + CHOOSE(CONTROL!$C$33, 0.0304, 0)</f>
        <v>15.8673</v>
      </c>
      <c r="D59" s="4">
        <f>22.8637 * CHOOSE(CONTROL!$C$14, $C$14, 100%, $E$14) + CHOOSE(CONTROL!$C$33, 0.0021, 0)</f>
        <v>22.8658</v>
      </c>
      <c r="E59" s="4">
        <f>98.2728538489444 * CHOOSE(CONTROL!$C$14, $C$14, 100%, $E$14) + CHOOSE(CONTROL!$C$33, 0.0021, 0)</f>
        <v>98.274953848944392</v>
      </c>
    </row>
    <row r="60" spans="1:5" ht="15">
      <c r="A60" s="11">
        <v>42917</v>
      </c>
      <c r="B60" s="4">
        <f>16.1953 * CHOOSE(CONTROL!$C$14, $C$14, 100%, $E$14) + CHOOSE(CONTROL!$C$33, 0.0304, 0)</f>
        <v>16.2257</v>
      </c>
      <c r="C60" s="4">
        <f>15.832 * CHOOSE(CONTROL!$C$14, $C$14, 100%, $E$14) + CHOOSE(CONTROL!$C$33, 0.0304, 0)</f>
        <v>15.862400000000001</v>
      </c>
      <c r="D60" s="4">
        <f>23.2103 * CHOOSE(CONTROL!$C$14, $C$14, 100%, $E$14) + CHOOSE(CONTROL!$C$33, 0.0021, 0)</f>
        <v>23.212399999999999</v>
      </c>
      <c r="E60" s="4">
        <f>98.2415965799085 * CHOOSE(CONTROL!$C$14, $C$14, 100%, $E$14) + CHOOSE(CONTROL!$C$33, 0.0021, 0)</f>
        <v>98.243696579908502</v>
      </c>
    </row>
    <row r="61" spans="1:5" ht="15">
      <c r="A61" s="11">
        <v>42948</v>
      </c>
      <c r="B61" s="4">
        <f>16.5645 * CHOOSE(CONTROL!$C$14, $C$14, 100%, $E$14) + CHOOSE(CONTROL!$C$33, 0.0304, 0)</f>
        <v>16.594899999999999</v>
      </c>
      <c r="C61" s="4">
        <f>16.2013 * CHOOSE(CONTROL!$C$14, $C$14, 100%, $E$14) + CHOOSE(CONTROL!$C$33, 0.0304, 0)</f>
        <v>16.2317</v>
      </c>
      <c r="D61" s="4">
        <f>22.9814 * CHOOSE(CONTROL!$C$14, $C$14, 100%, $E$14) + CHOOSE(CONTROL!$C$33, 0.0021, 0)</f>
        <v>22.983499999999999</v>
      </c>
      <c r="E61" s="4">
        <f>100.593706074862 * CHOOSE(CONTROL!$C$14, $C$14, 100%, $E$14) + CHOOSE(CONTROL!$C$33, 0.0021, 0)</f>
        <v>100.595806074862</v>
      </c>
    </row>
    <row r="62" spans="1:5" ht="15">
      <c r="A62" s="11">
        <v>42979</v>
      </c>
      <c r="B62" s="4">
        <f>15.9353 * CHOOSE(CONTROL!$C$14, $C$14, 100%, $E$14) + CHOOSE(CONTROL!$C$33, 0.0304, 0)</f>
        <v>15.9657</v>
      </c>
      <c r="C62" s="4">
        <f>15.572 * CHOOSE(CONTROL!$C$14, $C$14, 100%, $E$14) + CHOOSE(CONTROL!$C$33, 0.0304, 0)</f>
        <v>15.602399999999999</v>
      </c>
      <c r="D62" s="4">
        <f>22.8732 * CHOOSE(CONTROL!$C$14, $C$14, 100%, $E$14) + CHOOSE(CONTROL!$C$33, 0.0021, 0)</f>
        <v>22.875299999999999</v>
      </c>
      <c r="E62" s="4">
        <f>96.5849613210046 * CHOOSE(CONTROL!$C$14, $C$14, 100%, $E$14) + CHOOSE(CONTROL!$C$33, 0.0021, 0)</f>
        <v>96.587061321004597</v>
      </c>
    </row>
    <row r="63" spans="1:5" ht="15">
      <c r="A63" s="11">
        <v>43009</v>
      </c>
      <c r="B63" s="4">
        <f>15.4315 * CHOOSE(CONTROL!$C$14, $C$14, 100%, $E$14) + CHOOSE(CONTROL!$C$33, 0.0272, 0)</f>
        <v>15.4587</v>
      </c>
      <c r="C63" s="4">
        <f>15.0682 * CHOOSE(CONTROL!$C$14, $C$14, 100%, $E$14) + CHOOSE(CONTROL!$C$33, 0.0272, 0)</f>
        <v>15.0954</v>
      </c>
      <c r="D63" s="4">
        <f>22.5836 * CHOOSE(CONTROL!$C$14, $C$14, 100%, $E$14) + CHOOSE(CONTROL!$C$33, 0.0021, 0)</f>
        <v>22.585699999999999</v>
      </c>
      <c r="E63" s="4">
        <f>93.375881699983 * CHOOSE(CONTROL!$C$14, $C$14, 100%, $E$14) + CHOOSE(CONTROL!$C$33, 0.0021, 0)</f>
        <v>93.377981699982996</v>
      </c>
    </row>
    <row r="64" spans="1:5" ht="15">
      <c r="A64" s="11">
        <v>43040</v>
      </c>
      <c r="B64" s="4">
        <f>15.107 * CHOOSE(CONTROL!$C$14, $C$14, 100%, $E$14) + CHOOSE(CONTROL!$C$33, 0.0272, 0)</f>
        <v>15.1342</v>
      </c>
      <c r="C64" s="4">
        <f>14.7438 * CHOOSE(CONTROL!$C$14, $C$14, 100%, $E$14) + CHOOSE(CONTROL!$C$33, 0.0272, 0)</f>
        <v>14.771000000000001</v>
      </c>
      <c r="D64" s="4">
        <f>22.484 * CHOOSE(CONTROL!$C$14, $C$14, 100%, $E$14) + CHOOSE(CONTROL!$C$33, 0.0021, 0)</f>
        <v>22.4861</v>
      </c>
      <c r="E64" s="4">
        <f>91.3089947849826 * CHOOSE(CONTROL!$C$14, $C$14, 100%, $E$14) + CHOOSE(CONTROL!$C$33, 0.0021, 0)</f>
        <v>91.3110947849826</v>
      </c>
    </row>
    <row r="65" spans="1:5" ht="15">
      <c r="A65" s="11">
        <v>43070</v>
      </c>
      <c r="B65" s="4">
        <f>14.8826 * CHOOSE(CONTROL!$C$14, $C$14, 100%, $E$14) + CHOOSE(CONTROL!$C$33, 0.0272, 0)</f>
        <v>14.909800000000001</v>
      </c>
      <c r="C65" s="4">
        <f>14.5193 * CHOOSE(CONTROL!$C$14, $C$14, 100%, $E$14) + CHOOSE(CONTROL!$C$33, 0.0272, 0)</f>
        <v>14.5465</v>
      </c>
      <c r="D65" s="4">
        <f>21.7508 * CHOOSE(CONTROL!$C$14, $C$14, 100%, $E$14) + CHOOSE(CONTROL!$C$33, 0.0021, 0)</f>
        <v>21.7529</v>
      </c>
      <c r="E65" s="4">
        <f>89.8789747265891 * CHOOSE(CONTROL!$C$14, $C$14, 100%, $E$14) + CHOOSE(CONTROL!$C$33, 0.0021, 0)</f>
        <v>89.881074726589105</v>
      </c>
    </row>
    <row r="66" spans="1:5" ht="15">
      <c r="A66" s="11">
        <v>43101</v>
      </c>
      <c r="B66" s="4">
        <f>14.2282 * CHOOSE(CONTROL!$C$14, $C$14, 100%, $E$14) + CHOOSE(CONTROL!$C$33, 0.0272, 0)</f>
        <v>14.2554</v>
      </c>
      <c r="C66" s="4">
        <f>13.8649 * CHOOSE(CONTROL!$C$14, $C$14, 100%, $E$14) + CHOOSE(CONTROL!$C$33, 0.0272, 0)</f>
        <v>13.892100000000001</v>
      </c>
      <c r="D66" s="4">
        <f>21.1917 * CHOOSE(CONTROL!$C$14, $C$14, 100%, $E$14) + CHOOSE(CONTROL!$C$33, 0.0021, 0)</f>
        <v>21.1938</v>
      </c>
      <c r="E66" s="4">
        <f>86.9340789814846 * CHOOSE(CONTROL!$C$14, $C$14, 100%, $E$14) + CHOOSE(CONTROL!$C$33, 0.0021, 0)</f>
        <v>86.936178981484602</v>
      </c>
    </row>
    <row r="67" spans="1:5" ht="15">
      <c r="A67" s="11">
        <v>43132</v>
      </c>
      <c r="B67" s="4">
        <f>14.5476 * CHOOSE(CONTROL!$C$14, $C$14, 100%, $E$14) + CHOOSE(CONTROL!$C$33, 0.0272, 0)</f>
        <v>14.5748</v>
      </c>
      <c r="C67" s="4">
        <f>14.1844 * CHOOSE(CONTROL!$C$14, $C$14, 100%, $E$14) + CHOOSE(CONTROL!$C$33, 0.0272, 0)</f>
        <v>14.211600000000001</v>
      </c>
      <c r="D67" s="4">
        <f>21.8743 * CHOOSE(CONTROL!$C$14, $C$14, 100%, $E$14) + CHOOSE(CONTROL!$C$33, 0.0021, 0)</f>
        <v>21.8764</v>
      </c>
      <c r="E67" s="4">
        <f>88.9982366158376 * CHOOSE(CONTROL!$C$14, $C$14, 100%, $E$14) + CHOOSE(CONTROL!$C$33, 0.0021, 0)</f>
        <v>89.000336615837597</v>
      </c>
    </row>
    <row r="68" spans="1:5" ht="15">
      <c r="A68" s="11">
        <v>43160</v>
      </c>
      <c r="B68" s="4">
        <f>15.3866 * CHOOSE(CONTROL!$C$14, $C$14, 100%, $E$14) + CHOOSE(CONTROL!$C$33, 0.0272, 0)</f>
        <v>15.4138</v>
      </c>
      <c r="C68" s="4">
        <f>15.0233 * CHOOSE(CONTROL!$C$14, $C$14, 100%, $E$14) + CHOOSE(CONTROL!$C$33, 0.0272, 0)</f>
        <v>15.050500000000001</v>
      </c>
      <c r="D68" s="4">
        <f>22.9428 * CHOOSE(CONTROL!$C$14, $C$14, 100%, $E$14) + CHOOSE(CONTROL!$C$33, 0.0021, 0)</f>
        <v>22.944899999999997</v>
      </c>
      <c r="E68" s="4">
        <f>94.4188242596473 * CHOOSE(CONTROL!$C$14, $C$14, 100%, $E$14) + CHOOSE(CONTROL!$C$33, 0.0021, 0)</f>
        <v>94.420924259647293</v>
      </c>
    </row>
    <row r="69" spans="1:5" ht="15">
      <c r="A69" s="11">
        <v>43191</v>
      </c>
      <c r="B69" s="4">
        <f>15.9827 * CHOOSE(CONTROL!$C$14, $C$14, 100%, $E$14) + CHOOSE(CONTROL!$C$33, 0.0272, 0)</f>
        <v>16.009899999999998</v>
      </c>
      <c r="C69" s="4">
        <f>15.6194 * CHOOSE(CONTROL!$C$14, $C$14, 100%, $E$14) + CHOOSE(CONTROL!$C$33, 0.0272, 0)</f>
        <v>15.646600000000001</v>
      </c>
      <c r="D69" s="4">
        <f>23.5583 * CHOOSE(CONTROL!$C$14, $C$14, 100%, $E$14) + CHOOSE(CONTROL!$C$33, 0.0021, 0)</f>
        <v>23.560399999999998</v>
      </c>
      <c r="E69" s="4">
        <f>98.2702240194026 * CHOOSE(CONTROL!$C$14, $C$14, 100%, $E$14) + CHOOSE(CONTROL!$C$33, 0.0021, 0)</f>
        <v>98.272324019402603</v>
      </c>
    </row>
    <row r="70" spans="1:5" ht="15">
      <c r="A70" s="11">
        <v>43221</v>
      </c>
      <c r="B70" s="4">
        <f>16.3469 * CHOOSE(CONTROL!$C$14, $C$14, 100%, $E$14) + CHOOSE(CONTROL!$C$33, 0.0304, 0)</f>
        <v>16.377300000000002</v>
      </c>
      <c r="C70" s="4">
        <f>15.9836 * CHOOSE(CONTROL!$C$14, $C$14, 100%, $E$14) + CHOOSE(CONTROL!$C$33, 0.0304, 0)</f>
        <v>16.013999999999999</v>
      </c>
      <c r="D70" s="4">
        <f>23.3151 * CHOOSE(CONTROL!$C$14, $C$14, 100%, $E$14) + CHOOSE(CONTROL!$C$33, 0.0021, 0)</f>
        <v>23.3172</v>
      </c>
      <c r="E70" s="4">
        <f>100.623336967443 * CHOOSE(CONTROL!$C$14, $C$14, 100%, $E$14) + CHOOSE(CONTROL!$C$33, 0.0021, 0)</f>
        <v>100.62543696744299</v>
      </c>
    </row>
    <row r="71" spans="1:5" ht="15">
      <c r="A71" s="11">
        <v>43252</v>
      </c>
      <c r="B71" s="4">
        <f>16.3961 * CHOOSE(CONTROL!$C$14, $C$14, 100%, $E$14) + CHOOSE(CONTROL!$C$33, 0.0304, 0)</f>
        <v>16.426500000000001</v>
      </c>
      <c r="C71" s="4">
        <f>16.0329 * CHOOSE(CONTROL!$C$14, $C$14, 100%, $E$14) + CHOOSE(CONTROL!$C$33, 0.0304, 0)</f>
        <v>16.063300000000002</v>
      </c>
      <c r="D71" s="4">
        <f>23.5132 * CHOOSE(CONTROL!$C$14, $C$14, 100%, $E$14) + CHOOSE(CONTROL!$C$33, 0.0021, 0)</f>
        <v>23.5153</v>
      </c>
      <c r="E71" s="4">
        <f>100.941722914933 * CHOOSE(CONTROL!$C$14, $C$14, 100%, $E$14) + CHOOSE(CONTROL!$C$33, 0.0021, 0)</f>
        <v>100.94382291493299</v>
      </c>
    </row>
    <row r="72" spans="1:5" ht="15">
      <c r="A72" s="11">
        <v>43282</v>
      </c>
      <c r="B72" s="4">
        <f>16.3912 * CHOOSE(CONTROL!$C$14, $C$14, 100%, $E$14) + CHOOSE(CONTROL!$C$33, 0.0304, 0)</f>
        <v>16.421600000000002</v>
      </c>
      <c r="C72" s="4">
        <f>16.0279 * CHOOSE(CONTROL!$C$14, $C$14, 100%, $E$14) + CHOOSE(CONTROL!$C$33, 0.0304, 0)</f>
        <v>16.058299999999999</v>
      </c>
      <c r="D72" s="4">
        <f>23.8706 * CHOOSE(CONTROL!$C$14, $C$14, 100%, $E$14) + CHOOSE(CONTROL!$C$33, 0.0021, 0)</f>
        <v>23.872699999999998</v>
      </c>
      <c r="E72" s="4">
        <f>100.909616768967 * CHOOSE(CONTROL!$C$14, $C$14, 100%, $E$14) + CHOOSE(CONTROL!$C$33, 0.0021, 0)</f>
        <v>100.911716768967</v>
      </c>
    </row>
    <row r="73" spans="1:5" ht="15">
      <c r="A73" s="11">
        <v>43313</v>
      </c>
      <c r="B73" s="4">
        <f>16.7651 * CHOOSE(CONTROL!$C$14, $C$14, 100%, $E$14) + CHOOSE(CONTROL!$C$33, 0.0304, 0)</f>
        <v>16.795500000000001</v>
      </c>
      <c r="C73" s="4">
        <f>16.4018 * CHOOSE(CONTROL!$C$14, $C$14, 100%, $E$14) + CHOOSE(CONTROL!$C$33, 0.0304, 0)</f>
        <v>16.432200000000002</v>
      </c>
      <c r="D73" s="4">
        <f>23.6345 * CHOOSE(CONTROL!$C$14, $C$14, 100%, $E$14) + CHOOSE(CONTROL!$C$33, 0.0021, 0)</f>
        <v>23.636599999999998</v>
      </c>
      <c r="E73" s="4">
        <f>103.325604252857 * CHOOSE(CONTROL!$C$14, $C$14, 100%, $E$14) + CHOOSE(CONTROL!$C$33, 0.0021, 0)</f>
        <v>103.327704252857</v>
      </c>
    </row>
    <row r="74" spans="1:5" ht="15">
      <c r="A74" s="11">
        <v>43344</v>
      </c>
      <c r="B74" s="4">
        <f>16.1278 * CHOOSE(CONTROL!$C$14, $C$14, 100%, $E$14) + CHOOSE(CONTROL!$C$33, 0.0304, 0)</f>
        <v>16.158200000000001</v>
      </c>
      <c r="C74" s="4">
        <f>15.7645 * CHOOSE(CONTROL!$C$14, $C$14, 100%, $E$14) + CHOOSE(CONTROL!$C$33, 0.0304, 0)</f>
        <v>15.7949</v>
      </c>
      <c r="D74" s="4">
        <f>23.523 * CHOOSE(CONTROL!$C$14, $C$14, 100%, $E$14) + CHOOSE(CONTROL!$C$33, 0.0021, 0)</f>
        <v>23.525099999999998</v>
      </c>
      <c r="E74" s="4">
        <f>99.207991032806 * CHOOSE(CONTROL!$C$14, $C$14, 100%, $E$14) + CHOOSE(CONTROL!$C$33, 0.0021, 0)</f>
        <v>99.210091032806005</v>
      </c>
    </row>
    <row r="75" spans="1:5" ht="15">
      <c r="A75" s="11">
        <v>43374</v>
      </c>
      <c r="B75" s="4">
        <f>15.6177 * CHOOSE(CONTROL!$C$14, $C$14, 100%, $E$14) + CHOOSE(CONTROL!$C$33, 0.0272, 0)</f>
        <v>15.6449</v>
      </c>
      <c r="C75" s="4">
        <f>15.2544 * CHOOSE(CONTROL!$C$14, $C$14, 100%, $E$14) + CHOOSE(CONTROL!$C$33, 0.0272, 0)</f>
        <v>15.281600000000001</v>
      </c>
      <c r="D75" s="4">
        <f>23.2244 * CHOOSE(CONTROL!$C$14, $C$14, 100%, $E$14) + CHOOSE(CONTROL!$C$33, 0.0021, 0)</f>
        <v>23.226499999999998</v>
      </c>
      <c r="E75" s="4">
        <f>95.9117600470342 * CHOOSE(CONTROL!$C$14, $C$14, 100%, $E$14) + CHOOSE(CONTROL!$C$33, 0.0021, 0)</f>
        <v>95.913860047034206</v>
      </c>
    </row>
    <row r="76" spans="1:5" ht="15">
      <c r="A76" s="11">
        <v>43405</v>
      </c>
      <c r="B76" s="4">
        <f>15.2891 * CHOOSE(CONTROL!$C$14, $C$14, 100%, $E$14) + CHOOSE(CONTROL!$C$33, 0.0272, 0)</f>
        <v>15.3163</v>
      </c>
      <c r="C76" s="4">
        <f>14.9258 * CHOOSE(CONTROL!$C$14, $C$14, 100%, $E$14) + CHOOSE(CONTROL!$C$33, 0.0272, 0)</f>
        <v>14.953000000000001</v>
      </c>
      <c r="D76" s="4">
        <f>23.1217 * CHOOSE(CONTROL!$C$14, $C$14, 100%, $E$14) + CHOOSE(CONTROL!$C$33, 0.0021, 0)</f>
        <v>23.123799999999999</v>
      </c>
      <c r="E76" s="4">
        <f>93.7887411450781 * CHOOSE(CONTROL!$C$14, $C$14, 100%, $E$14) + CHOOSE(CONTROL!$C$33, 0.0021, 0)</f>
        <v>93.790841145078105</v>
      </c>
    </row>
    <row r="77" spans="1:5" ht="15">
      <c r="A77" s="11">
        <v>43435</v>
      </c>
      <c r="B77" s="4">
        <f>15.0617 * CHOOSE(CONTROL!$C$14, $C$14, 100%, $E$14) + CHOOSE(CONTROL!$C$33, 0.0272, 0)</f>
        <v>15.088900000000001</v>
      </c>
      <c r="C77" s="4">
        <f>14.6985 * CHOOSE(CONTROL!$C$14, $C$14, 100%, $E$14) + CHOOSE(CONTROL!$C$33, 0.0272, 0)</f>
        <v>14.7257</v>
      </c>
      <c r="D77" s="4">
        <f>22.3659 * CHOOSE(CONTROL!$C$14, $C$14, 100%, $E$14) + CHOOSE(CONTROL!$C$33, 0.0021, 0)</f>
        <v>22.367999999999999</v>
      </c>
      <c r="E77" s="4">
        <f>92.3198849671653 * CHOOSE(CONTROL!$C$14, $C$14, 100%, $E$14) + CHOOSE(CONTROL!$C$33, 0.0021, 0)</f>
        <v>92.321984967165292</v>
      </c>
    </row>
    <row r="78" spans="1:5" ht="15">
      <c r="A78" s="11">
        <v>43466</v>
      </c>
      <c r="B78" s="4">
        <f>15.3765 * CHOOSE(CONTROL!$C$14, $C$14, 100%, $E$14) + CHOOSE(CONTROL!$C$33, 0.0272, 0)</f>
        <v>15.403700000000001</v>
      </c>
      <c r="C78" s="4">
        <f>15.0133 * CHOOSE(CONTROL!$C$14, $C$14, 100%, $E$14) + CHOOSE(CONTROL!$C$33, 0.0272, 0)</f>
        <v>15.0405</v>
      </c>
      <c r="D78" s="4">
        <f>22.7344 * CHOOSE(CONTROL!$C$14, $C$14, 100%, $E$14) + CHOOSE(CONTROL!$C$33, 0.0021, 0)</f>
        <v>22.736499999999999</v>
      </c>
      <c r="E78" s="4">
        <f>97.7898369525729 * CHOOSE(CONTROL!$C$14, $C$14, 100%, $E$14) + CHOOSE(CONTROL!$C$33, 0.0021, 0)</f>
        <v>97.791936952572897</v>
      </c>
    </row>
    <row r="79" spans="1:5" ht="15">
      <c r="A79" s="11">
        <v>43497</v>
      </c>
      <c r="B79" s="4">
        <f>15.7233 * CHOOSE(CONTROL!$C$14, $C$14, 100%, $E$14) + CHOOSE(CONTROL!$C$33, 0.0272, 0)</f>
        <v>15.750500000000001</v>
      </c>
      <c r="C79" s="4">
        <f>15.36 * CHOOSE(CONTROL!$C$14, $C$14, 100%, $E$14) + CHOOSE(CONTROL!$C$33, 0.0272, 0)</f>
        <v>15.3872</v>
      </c>
      <c r="D79" s="4">
        <f>23.4714 * CHOOSE(CONTROL!$C$14, $C$14, 100%, $E$14) + CHOOSE(CONTROL!$C$33, 0.0021, 0)</f>
        <v>23.473499999999998</v>
      </c>
      <c r="E79" s="4">
        <f>100.111753062719 * CHOOSE(CONTROL!$C$14, $C$14, 100%, $E$14) + CHOOSE(CONTROL!$C$33, 0.0021, 0)</f>
        <v>100.113853062719</v>
      </c>
    </row>
    <row r="80" spans="1:5" ht="15">
      <c r="A80" s="11">
        <v>43525</v>
      </c>
      <c r="B80" s="4">
        <f>16.6338 * CHOOSE(CONTROL!$C$14, $C$14, 100%, $E$14) + CHOOSE(CONTROL!$C$33, 0.0272, 0)</f>
        <v>16.661000000000001</v>
      </c>
      <c r="C80" s="4">
        <f>16.2705 * CHOOSE(CONTROL!$C$14, $C$14, 100%, $E$14) + CHOOSE(CONTROL!$C$33, 0.0272, 0)</f>
        <v>16.297699999999999</v>
      </c>
      <c r="D80" s="4">
        <f>24.6252 * CHOOSE(CONTROL!$C$14, $C$14, 100%, $E$14) + CHOOSE(CONTROL!$C$33, 0.0021, 0)</f>
        <v>24.627299999999998</v>
      </c>
      <c r="E80" s="4">
        <f>106.209228162077 * CHOOSE(CONTROL!$C$14, $C$14, 100%, $E$14) + CHOOSE(CONTROL!$C$33, 0.0021, 0)</f>
        <v>106.211328162077</v>
      </c>
    </row>
    <row r="81" spans="1:5" ht="15">
      <c r="A81" s="11">
        <v>43556</v>
      </c>
      <c r="B81" s="4">
        <f>17.2808 * CHOOSE(CONTROL!$C$14, $C$14, 100%, $E$14) + CHOOSE(CONTROL!$C$33, 0.0272, 0)</f>
        <v>17.308</v>
      </c>
      <c r="C81" s="4">
        <f>16.9175 * CHOOSE(CONTROL!$C$14, $C$14, 100%, $E$14) + CHOOSE(CONTROL!$C$33, 0.0272, 0)</f>
        <v>16.944700000000001</v>
      </c>
      <c r="D81" s="4">
        <f>25.2898 * CHOOSE(CONTROL!$C$14, $C$14, 100%, $E$14) + CHOOSE(CONTROL!$C$33, 0.0021, 0)</f>
        <v>25.291899999999998</v>
      </c>
      <c r="E81" s="4">
        <f>110.541565479712 * CHOOSE(CONTROL!$C$14, $C$14, 100%, $E$14) + CHOOSE(CONTROL!$C$33, 0.0021, 0)</f>
        <v>110.543665479712</v>
      </c>
    </row>
    <row r="82" spans="1:5" ht="15">
      <c r="A82" s="11">
        <v>43586</v>
      </c>
      <c r="B82" s="4">
        <f>17.6761 * CHOOSE(CONTROL!$C$14, $C$14, 100%, $E$14) + CHOOSE(CONTROL!$C$33, 0.0304, 0)</f>
        <v>17.706500000000002</v>
      </c>
      <c r="C82" s="4">
        <f>17.3128 * CHOOSE(CONTROL!$C$14, $C$14, 100%, $E$14) + CHOOSE(CONTROL!$C$33, 0.0304, 0)</f>
        <v>17.3432</v>
      </c>
      <c r="D82" s="4">
        <f>25.0271 * CHOOSE(CONTROL!$C$14, $C$14, 100%, $E$14) + CHOOSE(CONTROL!$C$33, 0.0021, 0)</f>
        <v>25.029199999999999</v>
      </c>
      <c r="E82" s="4">
        <f>113.188519749152 * CHOOSE(CONTROL!$C$14, $C$14, 100%, $E$14) + CHOOSE(CONTROL!$C$33, 0.0021, 0)</f>
        <v>113.19061974915199</v>
      </c>
    </row>
    <row r="83" spans="1:5" ht="15">
      <c r="A83" s="11">
        <v>43617</v>
      </c>
      <c r="B83" s="4">
        <f>17.7295 * CHOOSE(CONTROL!$C$14, $C$14, 100%, $E$14) + CHOOSE(CONTROL!$C$33, 0.0304, 0)</f>
        <v>17.759900000000002</v>
      </c>
      <c r="C83" s="4">
        <f>17.3663 * CHOOSE(CONTROL!$C$14, $C$14, 100%, $E$14) + CHOOSE(CONTROL!$C$33, 0.0304, 0)</f>
        <v>17.396699999999999</v>
      </c>
      <c r="D83" s="4">
        <f>25.241 * CHOOSE(CONTROL!$C$14, $C$14, 100%, $E$14) + CHOOSE(CONTROL!$C$33, 0.0021, 0)</f>
        <v>25.243099999999998</v>
      </c>
      <c r="E83" s="4">
        <f>113.546663646893 * CHOOSE(CONTROL!$C$14, $C$14, 100%, $E$14) + CHOOSE(CONTROL!$C$33, 0.0021, 0)</f>
        <v>113.54876364689299</v>
      </c>
    </row>
    <row r="84" spans="1:5" ht="15">
      <c r="A84" s="11">
        <v>43647</v>
      </c>
      <c r="B84" s="4">
        <f>17.7241 * CHOOSE(CONTROL!$C$14, $C$14, 100%, $E$14) + CHOOSE(CONTROL!$C$33, 0.0304, 0)</f>
        <v>17.7545</v>
      </c>
      <c r="C84" s="4">
        <f>17.3609 * CHOOSE(CONTROL!$C$14, $C$14, 100%, $E$14) + CHOOSE(CONTROL!$C$33, 0.0304, 0)</f>
        <v>17.391300000000001</v>
      </c>
      <c r="D84" s="4">
        <f>25.6269 * CHOOSE(CONTROL!$C$14, $C$14, 100%, $E$14) + CHOOSE(CONTROL!$C$33, 0.0021, 0)</f>
        <v>25.628999999999998</v>
      </c>
      <c r="E84" s="4">
        <f>113.51054829586 * CHOOSE(CONTROL!$C$14, $C$14, 100%, $E$14) + CHOOSE(CONTROL!$C$33, 0.0021, 0)</f>
        <v>113.51264829586</v>
      </c>
    </row>
    <row r="85" spans="1:5" ht="15">
      <c r="A85" s="11">
        <v>43678</v>
      </c>
      <c r="B85" s="4">
        <f>18.13 * CHOOSE(CONTROL!$C$14, $C$14, 100%, $E$14) + CHOOSE(CONTROL!$C$33, 0.0304, 0)</f>
        <v>18.160399999999999</v>
      </c>
      <c r="C85" s="4">
        <f>17.7667 * CHOOSE(CONTROL!$C$14, $C$14, 100%, $E$14) + CHOOSE(CONTROL!$C$33, 0.0304, 0)</f>
        <v>17.7971</v>
      </c>
      <c r="D85" s="4">
        <f>25.3721 * CHOOSE(CONTROL!$C$14, $C$14, 100%, $E$14) + CHOOSE(CONTROL!$C$33, 0.0021, 0)</f>
        <v>25.374199999999998</v>
      </c>
      <c r="E85" s="4">
        <f>116.228228461073 * CHOOSE(CONTROL!$C$14, $C$14, 100%, $E$14) + CHOOSE(CONTROL!$C$33, 0.0021, 0)</f>
        <v>116.230328461073</v>
      </c>
    </row>
    <row r="86" spans="1:5" ht="15">
      <c r="A86" s="11">
        <v>43709</v>
      </c>
      <c r="B86" s="4">
        <f>17.4383 * CHOOSE(CONTROL!$C$14, $C$14, 100%, $E$14) + CHOOSE(CONTROL!$C$33, 0.0304, 0)</f>
        <v>17.468700000000002</v>
      </c>
      <c r="C86" s="4">
        <f>17.075 * CHOOSE(CONTROL!$C$14, $C$14, 100%, $E$14) + CHOOSE(CONTROL!$C$33, 0.0304, 0)</f>
        <v>17.105399999999999</v>
      </c>
      <c r="D86" s="4">
        <f>25.2517 * CHOOSE(CONTROL!$C$14, $C$14, 100%, $E$14) + CHOOSE(CONTROL!$C$33, 0.0021, 0)</f>
        <v>25.253799999999998</v>
      </c>
      <c r="E86" s="4">
        <f>111.596434691126 * CHOOSE(CONTROL!$C$14, $C$14, 100%, $E$14) + CHOOSE(CONTROL!$C$33, 0.0021, 0)</f>
        <v>111.59853469112601</v>
      </c>
    </row>
    <row r="87" spans="1:5" ht="15">
      <c r="A87" s="11">
        <v>43739</v>
      </c>
      <c r="B87" s="4">
        <f>16.8846 * CHOOSE(CONTROL!$C$14, $C$14, 100%, $E$14) + CHOOSE(CONTROL!$C$33, 0.0272, 0)</f>
        <v>16.911799999999999</v>
      </c>
      <c r="C87" s="4">
        <f>16.5213 * CHOOSE(CONTROL!$C$14, $C$14, 100%, $E$14) + CHOOSE(CONTROL!$C$33, 0.0272, 0)</f>
        <v>16.548500000000001</v>
      </c>
      <c r="D87" s="4">
        <f>24.9292 * CHOOSE(CONTROL!$C$14, $C$14, 100%, $E$14) + CHOOSE(CONTROL!$C$33, 0.0021, 0)</f>
        <v>24.9313</v>
      </c>
      <c r="E87" s="4">
        <f>107.888591985099 * CHOOSE(CONTROL!$C$14, $C$14, 100%, $E$14) + CHOOSE(CONTROL!$C$33, 0.0021, 0)</f>
        <v>107.890691985099</v>
      </c>
    </row>
    <row r="88" spans="1:5" ht="15">
      <c r="A88" s="11">
        <v>43770</v>
      </c>
      <c r="B88" s="4">
        <f>16.528 * CHOOSE(CONTROL!$C$14, $C$14, 100%, $E$14) + CHOOSE(CONTROL!$C$33, 0.0272, 0)</f>
        <v>16.555199999999999</v>
      </c>
      <c r="C88" s="4">
        <f>16.1647 * CHOOSE(CONTROL!$C$14, $C$14, 100%, $E$14) + CHOOSE(CONTROL!$C$33, 0.0272, 0)</f>
        <v>16.1919</v>
      </c>
      <c r="D88" s="4">
        <f>24.8184 * CHOOSE(CONTROL!$C$14, $C$14, 100%, $E$14) + CHOOSE(CONTROL!$C$33, 0.0021, 0)</f>
        <v>24.820499999999999</v>
      </c>
      <c r="E88" s="4">
        <f>105.50046439806 * CHOOSE(CONTROL!$C$14, $C$14, 100%, $E$14) + CHOOSE(CONTROL!$C$33, 0.0021, 0)</f>
        <v>105.50256439806</v>
      </c>
    </row>
    <row r="89" spans="1:5" ht="15">
      <c r="A89" s="11">
        <v>43800</v>
      </c>
      <c r="B89" s="4">
        <f>16.2812 * CHOOSE(CONTROL!$C$14, $C$14, 100%, $E$14) + CHOOSE(CONTROL!$C$33, 0.0272, 0)</f>
        <v>16.308399999999999</v>
      </c>
      <c r="C89" s="4">
        <f>15.918 * CHOOSE(CONTROL!$C$14, $C$14, 100%, $E$14) + CHOOSE(CONTROL!$C$33, 0.0272, 0)</f>
        <v>15.9452</v>
      </c>
      <c r="D89" s="4">
        <f>24.0023 * CHOOSE(CONTROL!$C$14, $C$14, 100%, $E$14) + CHOOSE(CONTROL!$C$33, 0.0021, 0)</f>
        <v>24.0044</v>
      </c>
      <c r="E89" s="4">
        <f>103.848187088313 * CHOOSE(CONTROL!$C$14, $C$14, 100%, $E$14) + CHOOSE(CONTROL!$C$33, 0.0021, 0)</f>
        <v>103.850287088313</v>
      </c>
    </row>
    <row r="90" spans="1:5" ht="15">
      <c r="A90" s="11">
        <v>43831</v>
      </c>
      <c r="B90" s="4">
        <f>15.9483 * CHOOSE(CONTROL!$C$14, $C$14, 100%, $E$14) + CHOOSE(CONTROL!$C$33, 0.0272, 0)</f>
        <v>15.9755</v>
      </c>
      <c r="C90" s="4">
        <f>15.585 * CHOOSE(CONTROL!$C$14, $C$14, 100%, $E$14) + CHOOSE(CONTROL!$C$33, 0.0272, 0)</f>
        <v>15.612200000000001</v>
      </c>
      <c r="D90" s="4">
        <f>23.4038 * CHOOSE(CONTROL!$C$14, $C$14, 100%, $E$14) + CHOOSE(CONTROL!$C$33, 0.0021, 0)</f>
        <v>23.405899999999999</v>
      </c>
      <c r="E90" s="4">
        <f>100.362539633166 * CHOOSE(CONTROL!$C$14, $C$14, 100%, $E$14) + CHOOSE(CONTROL!$C$33, 0.0021, 0)</f>
        <v>100.36463963316599</v>
      </c>
    </row>
    <row r="91" spans="1:5" ht="15">
      <c r="A91" s="11">
        <v>43862</v>
      </c>
      <c r="B91" s="4">
        <f>16.3086 * CHOOSE(CONTROL!$C$14, $C$14, 100%, $E$14) + CHOOSE(CONTROL!$C$33, 0.0272, 0)</f>
        <v>16.335799999999999</v>
      </c>
      <c r="C91" s="4">
        <f>15.9453 * CHOOSE(CONTROL!$C$14, $C$14, 100%, $E$14) + CHOOSE(CONTROL!$C$33, 0.0272, 0)</f>
        <v>15.9725</v>
      </c>
      <c r="D91" s="4">
        <f>24.1645 * CHOOSE(CONTROL!$C$14, $C$14, 100%, $E$14) + CHOOSE(CONTROL!$C$33, 0.0021, 0)</f>
        <v>24.166599999999999</v>
      </c>
      <c r="E91" s="4">
        <f>102.745541843737 * CHOOSE(CONTROL!$C$14, $C$14, 100%, $E$14) + CHOOSE(CONTROL!$C$33, 0.0021, 0)</f>
        <v>102.747641843737</v>
      </c>
    </row>
    <row r="92" spans="1:5" ht="15">
      <c r="A92" s="11">
        <v>43891</v>
      </c>
      <c r="B92" s="4">
        <f>17.2548 * CHOOSE(CONTROL!$C$14, $C$14, 100%, $E$14) + CHOOSE(CONTROL!$C$33, 0.0272, 0)</f>
        <v>17.282</v>
      </c>
      <c r="C92" s="4">
        <f>16.8915 * CHOOSE(CONTROL!$C$14, $C$14, 100%, $E$14) + CHOOSE(CONTROL!$C$33, 0.0272, 0)</f>
        <v>16.918700000000001</v>
      </c>
      <c r="D92" s="4">
        <f>25.3552 * CHOOSE(CONTROL!$C$14, $C$14, 100%, $E$14) + CHOOSE(CONTROL!$C$33, 0.0021, 0)</f>
        <v>25.357299999999999</v>
      </c>
      <c r="E92" s="4">
        <f>109.003432289126 * CHOOSE(CONTROL!$C$14, $C$14, 100%, $E$14) + CHOOSE(CONTROL!$C$33, 0.0021, 0)</f>
        <v>109.00553228912599</v>
      </c>
    </row>
    <row r="93" spans="1:5" ht="15">
      <c r="A93" s="11">
        <v>43922</v>
      </c>
      <c r="B93" s="4">
        <f>17.927 * CHOOSE(CONTROL!$C$14, $C$14, 100%, $E$14) + CHOOSE(CONTROL!$C$33, 0.0272, 0)</f>
        <v>17.9542</v>
      </c>
      <c r="C93" s="4">
        <f>17.5638 * CHOOSE(CONTROL!$C$14, $C$14, 100%, $E$14) + CHOOSE(CONTROL!$C$33, 0.0272, 0)</f>
        <v>17.591000000000001</v>
      </c>
      <c r="D93" s="4">
        <f>26.0411 * CHOOSE(CONTROL!$C$14, $C$14, 100%, $E$14) + CHOOSE(CONTROL!$C$33, 0.0021, 0)</f>
        <v>26.043199999999999</v>
      </c>
      <c r="E93" s="4">
        <f>113.44974684793 * CHOOSE(CONTROL!$C$14, $C$14, 100%, $E$14) + CHOOSE(CONTROL!$C$33, 0.0021, 0)</f>
        <v>113.45184684793</v>
      </c>
    </row>
    <row r="94" spans="1:5" ht="15">
      <c r="A94" s="11">
        <v>43952</v>
      </c>
      <c r="B94" s="4">
        <f>18.3378 * CHOOSE(CONTROL!$C$14, $C$14, 100%, $E$14) + CHOOSE(CONTROL!$C$33, 0.0304, 0)</f>
        <v>18.368200000000002</v>
      </c>
      <c r="C94" s="4">
        <f>17.9745 * CHOOSE(CONTROL!$C$14, $C$14, 100%, $E$14) + CHOOSE(CONTROL!$C$33, 0.0304, 0)</f>
        <v>18.004899999999999</v>
      </c>
      <c r="D94" s="4">
        <f>25.7701 * CHOOSE(CONTROL!$C$14, $C$14, 100%, $E$14) + CHOOSE(CONTROL!$C$33, 0.0021, 0)</f>
        <v>25.772199999999998</v>
      </c>
      <c r="E94" s="4">
        <f>116.166338480072 * CHOOSE(CONTROL!$C$14, $C$14, 100%, $E$14) + CHOOSE(CONTROL!$C$33, 0.0021, 0)</f>
        <v>116.168438480072</v>
      </c>
    </row>
    <row r="95" spans="1:5" ht="15">
      <c r="A95" s="11">
        <v>43983</v>
      </c>
      <c r="B95" s="4">
        <f>18.3934 * CHOOSE(CONTROL!$C$14, $C$14, 100%, $E$14) + CHOOSE(CONTROL!$C$33, 0.0304, 0)</f>
        <v>18.4238</v>
      </c>
      <c r="C95" s="4">
        <f>18.0301 * CHOOSE(CONTROL!$C$14, $C$14, 100%, $E$14) + CHOOSE(CONTROL!$C$33, 0.0304, 0)</f>
        <v>18.060500000000001</v>
      </c>
      <c r="D95" s="4">
        <f>25.9908 * CHOOSE(CONTROL!$C$14, $C$14, 100%, $E$14) + CHOOSE(CONTROL!$C$33, 0.0021, 0)</f>
        <v>25.992899999999999</v>
      </c>
      <c r="E95" s="4">
        <f>116.533904601987 * CHOOSE(CONTROL!$C$14, $C$14, 100%, $E$14) + CHOOSE(CONTROL!$C$33, 0.0021, 0)</f>
        <v>116.536004601987</v>
      </c>
    </row>
    <row r="96" spans="1:5" ht="15">
      <c r="A96" s="11">
        <v>44013</v>
      </c>
      <c r="B96" s="4">
        <f>18.3878 * CHOOSE(CONTROL!$C$14, $C$14, 100%, $E$14) + CHOOSE(CONTROL!$C$33, 0.0304, 0)</f>
        <v>18.418199999999999</v>
      </c>
      <c r="C96" s="4">
        <f>18.0245 * CHOOSE(CONTROL!$C$14, $C$14, 100%, $E$14) + CHOOSE(CONTROL!$C$33, 0.0304, 0)</f>
        <v>18.0549</v>
      </c>
      <c r="D96" s="4">
        <f>26.3891 * CHOOSE(CONTROL!$C$14, $C$14, 100%, $E$14) + CHOOSE(CONTROL!$C$33, 0.0021, 0)</f>
        <v>26.391199999999998</v>
      </c>
      <c r="E96" s="4">
        <f>116.496839110702 * CHOOSE(CONTROL!$C$14, $C$14, 100%, $E$14) + CHOOSE(CONTROL!$C$33, 0.0021, 0)</f>
        <v>116.498939110702</v>
      </c>
    </row>
    <row r="97" spans="1:5" ht="15">
      <c r="A97" s="11">
        <v>44044</v>
      </c>
      <c r="B97" s="4">
        <f>18.8095 * CHOOSE(CONTROL!$C$14, $C$14, 100%, $E$14) + CHOOSE(CONTROL!$C$33, 0.0304, 0)</f>
        <v>18.8399</v>
      </c>
      <c r="C97" s="4">
        <f>18.4462 * CHOOSE(CONTROL!$C$14, $C$14, 100%, $E$14) + CHOOSE(CONTROL!$C$33, 0.0304, 0)</f>
        <v>18.476600000000001</v>
      </c>
      <c r="D97" s="4">
        <f>26.1261 * CHOOSE(CONTROL!$C$14, $C$14, 100%, $E$14) + CHOOSE(CONTROL!$C$33, 0.0021, 0)</f>
        <v>26.1282</v>
      </c>
      <c r="E97" s="4">
        <f>119.286017329945 * CHOOSE(CONTROL!$C$14, $C$14, 100%, $E$14) + CHOOSE(CONTROL!$C$33, 0.0021, 0)</f>
        <v>119.288117329945</v>
      </c>
    </row>
    <row r="98" spans="1:5" ht="15">
      <c r="A98" s="11">
        <v>44075</v>
      </c>
      <c r="B98" s="4">
        <f>18.0907 * CHOOSE(CONTROL!$C$14, $C$14, 100%, $E$14) + CHOOSE(CONTROL!$C$33, 0.0304, 0)</f>
        <v>18.121099999999998</v>
      </c>
      <c r="C98" s="4">
        <f>17.7275 * CHOOSE(CONTROL!$C$14, $C$14, 100%, $E$14) + CHOOSE(CONTROL!$C$33, 0.0304, 0)</f>
        <v>17.757899999999999</v>
      </c>
      <c r="D98" s="4">
        <f>26.0018 * CHOOSE(CONTROL!$C$14, $C$14, 100%, $E$14) + CHOOSE(CONTROL!$C$33, 0.0021, 0)</f>
        <v>26.003899999999998</v>
      </c>
      <c r="E98" s="4">
        <f>114.532368072564 * CHOOSE(CONTROL!$C$14, $C$14, 100%, $E$14) + CHOOSE(CONTROL!$C$33, 0.0021, 0)</f>
        <v>114.534468072564</v>
      </c>
    </row>
    <row r="99" spans="1:5" ht="15">
      <c r="A99" s="11">
        <v>44105</v>
      </c>
      <c r="B99" s="4">
        <f>17.5154 * CHOOSE(CONTROL!$C$14, $C$14, 100%, $E$14) + CHOOSE(CONTROL!$C$33, 0.0272, 0)</f>
        <v>17.5426</v>
      </c>
      <c r="C99" s="4">
        <f>17.1521 * CHOOSE(CONTROL!$C$14, $C$14, 100%, $E$14) + CHOOSE(CONTROL!$C$33, 0.0272, 0)</f>
        <v>17.179300000000001</v>
      </c>
      <c r="D99" s="4">
        <f>25.669 * CHOOSE(CONTROL!$C$14, $C$14, 100%, $E$14) + CHOOSE(CONTROL!$C$33, 0.0021, 0)</f>
        <v>25.671099999999999</v>
      </c>
      <c r="E99" s="4">
        <f>110.726977633907 * CHOOSE(CONTROL!$C$14, $C$14, 100%, $E$14) + CHOOSE(CONTROL!$C$33, 0.0021, 0)</f>
        <v>110.729077633907</v>
      </c>
    </row>
    <row r="100" spans="1:5" ht="15">
      <c r="A100" s="11">
        <v>44136</v>
      </c>
      <c r="B100" s="4">
        <f>17.1448 * CHOOSE(CONTROL!$C$14, $C$14, 100%, $E$14) + CHOOSE(CONTROL!$C$33, 0.0272, 0)</f>
        <v>17.172000000000001</v>
      </c>
      <c r="C100" s="4">
        <f>16.7815 * CHOOSE(CONTROL!$C$14, $C$14, 100%, $E$14) + CHOOSE(CONTROL!$C$33, 0.0272, 0)</f>
        <v>16.808700000000002</v>
      </c>
      <c r="D100" s="4">
        <f>25.5546 * CHOOSE(CONTROL!$C$14, $C$14, 100%, $E$14) + CHOOSE(CONTROL!$C$33, 0.0021, 0)</f>
        <v>25.556699999999999</v>
      </c>
      <c r="E100" s="4">
        <f>108.276022022646 * CHOOSE(CONTROL!$C$14, $C$14, 100%, $E$14) + CHOOSE(CONTROL!$C$33, 0.0021, 0)</f>
        <v>108.278122022646</v>
      </c>
    </row>
    <row r="101" spans="1:5" ht="15">
      <c r="A101" s="11">
        <v>44166</v>
      </c>
      <c r="B101" s="4">
        <f>16.8884 * CHOOSE(CONTROL!$C$14, $C$14, 100%, $E$14) + CHOOSE(CONTROL!$C$33, 0.0272, 0)</f>
        <v>16.915600000000001</v>
      </c>
      <c r="C101" s="4">
        <f>16.5251 * CHOOSE(CONTROL!$C$14, $C$14, 100%, $E$14) + CHOOSE(CONTROL!$C$33, 0.0272, 0)</f>
        <v>16.552299999999999</v>
      </c>
      <c r="D101" s="4">
        <f>24.7124 * CHOOSE(CONTROL!$C$14, $C$14, 100%, $E$14) + CHOOSE(CONTROL!$C$33, 0.0021, 0)</f>
        <v>24.714499999999997</v>
      </c>
      <c r="E101" s="4">
        <f>106.580275796328 * CHOOSE(CONTROL!$C$14, $C$14, 100%, $E$14) + CHOOSE(CONTROL!$C$33, 0.0021, 0)</f>
        <v>106.58237579632799</v>
      </c>
    </row>
    <row r="102" spans="1:5" ht="15">
      <c r="A102" s="11">
        <v>44197</v>
      </c>
      <c r="B102" s="4">
        <f>16.3648 * CHOOSE(CONTROL!$C$14, $C$14, 100%, $E$14) + CHOOSE(CONTROL!$C$33, 0.0272, 0)</f>
        <v>16.391999999999999</v>
      </c>
      <c r="C102" s="4">
        <f>16.0015 * CHOOSE(CONTROL!$C$14, $C$14, 100%, $E$14) + CHOOSE(CONTROL!$C$33, 0.0272, 0)</f>
        <v>16.028700000000001</v>
      </c>
      <c r="D102" s="4">
        <f>23.9337 * CHOOSE(CONTROL!$C$14, $C$14, 100%, $E$14) + CHOOSE(CONTROL!$C$33, 0.0021, 0)</f>
        <v>23.9358</v>
      </c>
      <c r="E102" s="4">
        <f>102.050597055839 * CHOOSE(CONTROL!$C$14, $C$14, 100%, $E$14) + CHOOSE(CONTROL!$C$33, 0.0021, 0)</f>
        <v>102.052697055839</v>
      </c>
    </row>
    <row r="103" spans="1:5" ht="15">
      <c r="A103" s="11">
        <v>44228</v>
      </c>
      <c r="B103" s="4">
        <f>16.735 * CHOOSE(CONTROL!$C$14, $C$14, 100%, $E$14) + CHOOSE(CONTROL!$C$33, 0.0272, 0)</f>
        <v>16.7622</v>
      </c>
      <c r="C103" s="4">
        <f>16.3717 * CHOOSE(CONTROL!$C$14, $C$14, 100%, $E$14) + CHOOSE(CONTROL!$C$33, 0.0272, 0)</f>
        <v>16.398900000000001</v>
      </c>
      <c r="D103" s="4">
        <f>24.7131 * CHOOSE(CONTROL!$C$14, $C$14, 100%, $E$14) + CHOOSE(CONTROL!$C$33, 0.0021, 0)</f>
        <v>24.715199999999999</v>
      </c>
      <c r="E103" s="4">
        <f>104.473680402106 * CHOOSE(CONTROL!$C$14, $C$14, 100%, $E$14) + CHOOSE(CONTROL!$C$33, 0.0021, 0)</f>
        <v>104.475780402106</v>
      </c>
    </row>
    <row r="104" spans="1:5" ht="15">
      <c r="A104" s="11">
        <v>44256</v>
      </c>
      <c r="B104" s="4">
        <f>17.7072 * CHOOSE(CONTROL!$C$14, $C$14, 100%, $E$14) + CHOOSE(CONTROL!$C$33, 0.0272, 0)</f>
        <v>17.734400000000001</v>
      </c>
      <c r="C104" s="4">
        <f>17.3439 * CHOOSE(CONTROL!$C$14, $C$14, 100%, $E$14) + CHOOSE(CONTROL!$C$33, 0.0272, 0)</f>
        <v>17.371100000000002</v>
      </c>
      <c r="D104" s="4">
        <f>25.9331 * CHOOSE(CONTROL!$C$14, $C$14, 100%, $E$14) + CHOOSE(CONTROL!$C$33, 0.0021, 0)</f>
        <v>25.935199999999998</v>
      </c>
      <c r="E104" s="4">
        <f>110.836826039873 * CHOOSE(CONTROL!$C$14, $C$14, 100%, $E$14) + CHOOSE(CONTROL!$C$33, 0.0021, 0)</f>
        <v>110.838926039873</v>
      </c>
    </row>
    <row r="105" spans="1:5" ht="15">
      <c r="A105" s="11">
        <v>44287</v>
      </c>
      <c r="B105" s="4">
        <f>18.3979 * CHOOSE(CONTROL!$C$14, $C$14, 100%, $E$14) + CHOOSE(CONTROL!$C$33, 0.0272, 0)</f>
        <v>18.4251</v>
      </c>
      <c r="C105" s="4">
        <f>18.0346 * CHOOSE(CONTROL!$C$14, $C$14, 100%, $E$14) + CHOOSE(CONTROL!$C$33, 0.0272, 0)</f>
        <v>18.061800000000002</v>
      </c>
      <c r="D105" s="4">
        <f>26.6359 * CHOOSE(CONTROL!$C$14, $C$14, 100%, $E$14) + CHOOSE(CONTROL!$C$33, 0.0021, 0)</f>
        <v>26.637999999999998</v>
      </c>
      <c r="E105" s="4">
        <f>115.357925815571 * CHOOSE(CONTROL!$C$14, $C$14, 100%, $E$14) + CHOOSE(CONTROL!$C$33, 0.0021, 0)</f>
        <v>115.36002581557099</v>
      </c>
    </row>
    <row r="106" spans="1:5" ht="15">
      <c r="A106" s="11">
        <v>44317</v>
      </c>
      <c r="B106" s="4">
        <f>18.8199 * CHOOSE(CONTROL!$C$14, $C$14, 100%, $E$14) + CHOOSE(CONTROL!$C$33, 0.0304, 0)</f>
        <v>18.850300000000001</v>
      </c>
      <c r="C106" s="4">
        <f>18.4567 * CHOOSE(CONTROL!$C$14, $C$14, 100%, $E$14) + CHOOSE(CONTROL!$C$33, 0.0304, 0)</f>
        <v>18.487100000000002</v>
      </c>
      <c r="D106" s="4">
        <f>26.3582 * CHOOSE(CONTROL!$C$14, $C$14, 100%, $E$14) + CHOOSE(CONTROL!$C$33, 0.0021, 0)</f>
        <v>26.360299999999999</v>
      </c>
      <c r="E106" s="4">
        <f>118.120209422884 * CHOOSE(CONTROL!$C$14, $C$14, 100%, $E$14) + CHOOSE(CONTROL!$C$33, 0.0021, 0)</f>
        <v>118.122309422884</v>
      </c>
    </row>
    <row r="107" spans="1:5" ht="15">
      <c r="A107" s="11">
        <v>44348</v>
      </c>
      <c r="B107" s="4">
        <f>18.877 * CHOOSE(CONTROL!$C$14, $C$14, 100%, $E$14) + CHOOSE(CONTROL!$C$33, 0.0304, 0)</f>
        <v>18.907399999999999</v>
      </c>
      <c r="C107" s="4">
        <f>18.5138 * CHOOSE(CONTROL!$C$14, $C$14, 100%, $E$14) + CHOOSE(CONTROL!$C$33, 0.0304, 0)</f>
        <v>18.5442</v>
      </c>
      <c r="D107" s="4">
        <f>26.5843 * CHOOSE(CONTROL!$C$14, $C$14, 100%, $E$14) + CHOOSE(CONTROL!$C$33, 0.0021, 0)</f>
        <v>26.586399999999998</v>
      </c>
      <c r="E107" s="4">
        <f>118.493957858666 * CHOOSE(CONTROL!$C$14, $C$14, 100%, $E$14) + CHOOSE(CONTROL!$C$33, 0.0021, 0)</f>
        <v>118.49605785866599</v>
      </c>
    </row>
    <row r="108" spans="1:5" ht="15">
      <c r="A108" s="11">
        <v>44378</v>
      </c>
      <c r="B108" s="4">
        <f>18.8713 * CHOOSE(CONTROL!$C$14, $C$14, 100%, $E$14) + CHOOSE(CONTROL!$C$33, 0.0304, 0)</f>
        <v>18.901700000000002</v>
      </c>
      <c r="C108" s="4">
        <f>18.508 * CHOOSE(CONTROL!$C$14, $C$14, 100%, $E$14) + CHOOSE(CONTROL!$C$33, 0.0304, 0)</f>
        <v>18.538399999999999</v>
      </c>
      <c r="D108" s="4">
        <f>26.9924 * CHOOSE(CONTROL!$C$14, $C$14, 100%, $E$14) + CHOOSE(CONTROL!$C$33, 0.0021, 0)</f>
        <v>26.994499999999999</v>
      </c>
      <c r="E108" s="4">
        <f>118.456268940772 * CHOOSE(CONTROL!$C$14, $C$14, 100%, $E$14) + CHOOSE(CONTROL!$C$33, 0.0021, 0)</f>
        <v>118.458368940772</v>
      </c>
    </row>
    <row r="109" spans="1:5" ht="15">
      <c r="A109" s="11">
        <v>44409</v>
      </c>
      <c r="B109" s="4">
        <f>19.3046 * CHOOSE(CONTROL!$C$14, $C$14, 100%, $E$14) + CHOOSE(CONTROL!$C$33, 0.0304, 0)</f>
        <v>19.335000000000001</v>
      </c>
      <c r="C109" s="4">
        <f>18.9413 * CHOOSE(CONTROL!$C$14, $C$14, 100%, $E$14) + CHOOSE(CONTROL!$C$33, 0.0304, 0)</f>
        <v>18.971699999999998</v>
      </c>
      <c r="D109" s="4">
        <f>26.7229 * CHOOSE(CONTROL!$C$14, $C$14, 100%, $E$14) + CHOOSE(CONTROL!$C$33, 0.0021, 0)</f>
        <v>26.724999999999998</v>
      </c>
      <c r="E109" s="4">
        <f>121.292360012294 * CHOOSE(CONTROL!$C$14, $C$14, 100%, $E$14) + CHOOSE(CONTROL!$C$33, 0.0021, 0)</f>
        <v>121.294460012294</v>
      </c>
    </row>
    <row r="110" spans="1:5" ht="15">
      <c r="A110" s="11">
        <v>44440</v>
      </c>
      <c r="B110" s="4">
        <f>18.5661 * CHOOSE(CONTROL!$C$14, $C$14, 100%, $E$14) + CHOOSE(CONTROL!$C$33, 0.0304, 0)</f>
        <v>18.596499999999999</v>
      </c>
      <c r="C110" s="4">
        <f>18.2028 * CHOOSE(CONTROL!$C$14, $C$14, 100%, $E$14) + CHOOSE(CONTROL!$C$33, 0.0304, 0)</f>
        <v>18.2332</v>
      </c>
      <c r="D110" s="4">
        <f>26.5956 * CHOOSE(CONTROL!$C$14, $C$14, 100%, $E$14) + CHOOSE(CONTROL!$C$33, 0.0021, 0)</f>
        <v>26.5977</v>
      </c>
      <c r="E110" s="4">
        <f>116.458756292391 * CHOOSE(CONTROL!$C$14, $C$14, 100%, $E$14) + CHOOSE(CONTROL!$C$33, 0.0021, 0)</f>
        <v>116.460856292391</v>
      </c>
    </row>
    <row r="111" spans="1:5" ht="15">
      <c r="A111" s="11">
        <v>44470</v>
      </c>
      <c r="B111" s="4">
        <f>17.9749 * CHOOSE(CONTROL!$C$14, $C$14, 100%, $E$14) + CHOOSE(CONTROL!$C$33, 0.0272, 0)</f>
        <v>18.002100000000002</v>
      </c>
      <c r="C111" s="4">
        <f>17.6117 * CHOOSE(CONTROL!$C$14, $C$14, 100%, $E$14) + CHOOSE(CONTROL!$C$33, 0.0272, 0)</f>
        <v>17.6389</v>
      </c>
      <c r="D111" s="4">
        <f>26.2546 * CHOOSE(CONTROL!$C$14, $C$14, 100%, $E$14) + CHOOSE(CONTROL!$C$33, 0.0021, 0)</f>
        <v>26.256699999999999</v>
      </c>
      <c r="E111" s="4">
        <f>112.589360721943 * CHOOSE(CONTROL!$C$14, $C$14, 100%, $E$14) + CHOOSE(CONTROL!$C$33, 0.0021, 0)</f>
        <v>112.59146072194299</v>
      </c>
    </row>
    <row r="112" spans="1:5" ht="15">
      <c r="A112" s="11">
        <v>44501</v>
      </c>
      <c r="B112" s="4">
        <f>17.5942 * CHOOSE(CONTROL!$C$14, $C$14, 100%, $E$14) + CHOOSE(CONTROL!$C$33, 0.0272, 0)</f>
        <v>17.621400000000001</v>
      </c>
      <c r="C112" s="4">
        <f>17.2309 * CHOOSE(CONTROL!$C$14, $C$14, 100%, $E$14) + CHOOSE(CONTROL!$C$33, 0.0272, 0)</f>
        <v>17.258099999999999</v>
      </c>
      <c r="D112" s="4">
        <f>26.1374 * CHOOSE(CONTROL!$C$14, $C$14, 100%, $E$14) + CHOOSE(CONTROL!$C$33, 0.0021, 0)</f>
        <v>26.139499999999998</v>
      </c>
      <c r="E112" s="4">
        <f>110.097181026203 * CHOOSE(CONTROL!$C$14, $C$14, 100%, $E$14) + CHOOSE(CONTROL!$C$33, 0.0021, 0)</f>
        <v>110.099281026203</v>
      </c>
    </row>
    <row r="113" spans="1:5" ht="15">
      <c r="A113" s="11">
        <v>44531</v>
      </c>
      <c r="B113" s="4">
        <f>17.3307 * CHOOSE(CONTROL!$C$14, $C$14, 100%, $E$14) + CHOOSE(CONTROL!$C$33, 0.0272, 0)</f>
        <v>17.357900000000001</v>
      </c>
      <c r="C113" s="4">
        <f>16.9675 * CHOOSE(CONTROL!$C$14, $C$14, 100%, $E$14) + CHOOSE(CONTROL!$C$33, 0.0272, 0)</f>
        <v>16.994700000000002</v>
      </c>
      <c r="D113" s="4">
        <f>25.2745 * CHOOSE(CONTROL!$C$14, $C$14, 100%, $E$14) + CHOOSE(CONTROL!$C$33, 0.0021, 0)</f>
        <v>25.276599999999998</v>
      </c>
      <c r="E113" s="4">
        <f>108.372913032554 * CHOOSE(CONTROL!$C$14, $C$14, 100%, $E$14) + CHOOSE(CONTROL!$C$33, 0.0021, 0)</f>
        <v>108.37501303255399</v>
      </c>
    </row>
    <row r="114" spans="1:5" ht="15">
      <c r="A114" s="11">
        <v>44562</v>
      </c>
      <c r="B114" s="4">
        <f>16.4161 * CHOOSE(CONTROL!$C$14, $C$14, 100%, $E$14) + CHOOSE(CONTROL!$C$33, 0.0272, 0)</f>
        <v>16.443300000000001</v>
      </c>
      <c r="C114" s="4">
        <f>16.0529 * CHOOSE(CONTROL!$C$14, $C$14, 100%, $E$14) + CHOOSE(CONTROL!$C$33, 0.0272, 0)</f>
        <v>16.080100000000002</v>
      </c>
      <c r="D114" s="4">
        <f>24.4888 * CHOOSE(CONTROL!$C$14, $C$14, 100%, $E$14) + CHOOSE(CONTROL!$C$33, 0.0021, 0)</f>
        <v>24.4909</v>
      </c>
      <c r="E114" s="4">
        <f>103.251758676261 * CHOOSE(CONTROL!$C$14, $C$14, 100%, $E$14) + CHOOSE(CONTROL!$C$33, 0.0021, 0)</f>
        <v>103.253858676261</v>
      </c>
    </row>
    <row r="115" spans="1:5" ht="15">
      <c r="A115" s="11">
        <v>44593</v>
      </c>
      <c r="B115" s="4">
        <f>16.7876 * CHOOSE(CONTROL!$C$14, $C$14, 100%, $E$14) + CHOOSE(CONTROL!$C$33, 0.0272, 0)</f>
        <v>16.814800000000002</v>
      </c>
      <c r="C115" s="4">
        <f>16.4243 * CHOOSE(CONTROL!$C$14, $C$14, 100%, $E$14) + CHOOSE(CONTROL!$C$33, 0.0272, 0)</f>
        <v>16.451499999999999</v>
      </c>
      <c r="D115" s="4">
        <f>25.2877 * CHOOSE(CONTROL!$C$14, $C$14, 100%, $E$14) + CHOOSE(CONTROL!$C$33, 0.0021, 0)</f>
        <v>25.2898</v>
      </c>
      <c r="E115" s="4">
        <f>105.703362333066 * CHOOSE(CONTROL!$C$14, $C$14, 100%, $E$14) + CHOOSE(CONTROL!$C$33, 0.0021, 0)</f>
        <v>105.705462333066</v>
      </c>
    </row>
    <row r="116" spans="1:5" ht="15">
      <c r="A116" s="11">
        <v>44621</v>
      </c>
      <c r="B116" s="4">
        <f>17.7629 * CHOOSE(CONTROL!$C$14, $C$14, 100%, $E$14) + CHOOSE(CONTROL!$C$33, 0.0272, 0)</f>
        <v>17.790099999999999</v>
      </c>
      <c r="C116" s="4">
        <f>17.3997 * CHOOSE(CONTROL!$C$14, $C$14, 100%, $E$14) + CHOOSE(CONTROL!$C$33, 0.0272, 0)</f>
        <v>17.4269</v>
      </c>
      <c r="D116" s="4">
        <f>26.5384 * CHOOSE(CONTROL!$C$14, $C$14, 100%, $E$14) + CHOOSE(CONTROL!$C$33, 0.0021, 0)</f>
        <v>26.540499999999998</v>
      </c>
      <c r="E116" s="4">
        <f>112.141403821967 * CHOOSE(CONTROL!$C$14, $C$14, 100%, $E$14) + CHOOSE(CONTROL!$C$33, 0.0021, 0)</f>
        <v>112.143503821967</v>
      </c>
    </row>
    <row r="117" spans="1:5" ht="15">
      <c r="A117" s="11">
        <v>44652</v>
      </c>
      <c r="B117" s="4">
        <f>18.4559 * CHOOSE(CONTROL!$C$14, $C$14, 100%, $E$14) + CHOOSE(CONTROL!$C$33, 0.0272, 0)</f>
        <v>18.4831</v>
      </c>
      <c r="C117" s="4">
        <f>18.0927 * CHOOSE(CONTROL!$C$14, $C$14, 100%, $E$14) + CHOOSE(CONTROL!$C$33, 0.0272, 0)</f>
        <v>18.119900000000001</v>
      </c>
      <c r="D117" s="4">
        <f>27.2589 * CHOOSE(CONTROL!$C$14, $C$14, 100%, $E$14) + CHOOSE(CONTROL!$C$33, 0.0021, 0)</f>
        <v>27.260999999999999</v>
      </c>
      <c r="E117" s="4">
        <f>116.715718098015 * CHOOSE(CONTROL!$C$14, $C$14, 100%, $E$14) + CHOOSE(CONTROL!$C$33, 0.0021, 0)</f>
        <v>116.717818098015</v>
      </c>
    </row>
    <row r="118" spans="1:5" ht="15">
      <c r="A118" s="11">
        <v>44682</v>
      </c>
      <c r="B118" s="4">
        <f>18.8794 * CHOOSE(CONTROL!$C$14, $C$14, 100%, $E$14) + CHOOSE(CONTROL!$C$33, 0.0304, 0)</f>
        <v>18.909800000000001</v>
      </c>
      <c r="C118" s="4">
        <f>18.5161 * CHOOSE(CONTROL!$C$14, $C$14, 100%, $E$14) + CHOOSE(CONTROL!$C$33, 0.0304, 0)</f>
        <v>18.546500000000002</v>
      </c>
      <c r="D118" s="4">
        <f>26.9742 * CHOOSE(CONTROL!$C$14, $C$14, 100%, $E$14) + CHOOSE(CONTROL!$C$33, 0.0021, 0)</f>
        <v>26.976299999999998</v>
      </c>
      <c r="E118" s="4">
        <f>119.510514489667 * CHOOSE(CONTROL!$C$14, $C$14, 100%, $E$14) + CHOOSE(CONTROL!$C$33, 0.0021, 0)</f>
        <v>119.512614489667</v>
      </c>
    </row>
    <row r="119" spans="1:5" ht="15">
      <c r="A119" s="11">
        <v>44713</v>
      </c>
      <c r="B119" s="4">
        <f>18.9367 * CHOOSE(CONTROL!$C$14, $C$14, 100%, $E$14) + CHOOSE(CONTROL!$C$33, 0.0304, 0)</f>
        <v>18.967099999999999</v>
      </c>
      <c r="C119" s="4">
        <f>18.5734 * CHOOSE(CONTROL!$C$14, $C$14, 100%, $E$14) + CHOOSE(CONTROL!$C$33, 0.0304, 0)</f>
        <v>18.6038</v>
      </c>
      <c r="D119" s="4">
        <f>27.206 * CHOOSE(CONTROL!$C$14, $C$14, 100%, $E$14) + CHOOSE(CONTROL!$C$33, 0.0021, 0)</f>
        <v>27.208099999999998</v>
      </c>
      <c r="E119" s="4">
        <f>119.888662040101 * CHOOSE(CONTROL!$C$14, $C$14, 100%, $E$14) + CHOOSE(CONTROL!$C$33, 0.0021, 0)</f>
        <v>119.890762040101</v>
      </c>
    </row>
    <row r="120" spans="1:5" ht="15">
      <c r="A120" s="11">
        <v>44743</v>
      </c>
      <c r="B120" s="4">
        <f>18.9309 * CHOOSE(CONTROL!$C$14, $C$14, 100%, $E$14) + CHOOSE(CONTROL!$C$33, 0.0304, 0)</f>
        <v>18.961300000000001</v>
      </c>
      <c r="C120" s="4">
        <f>18.5676 * CHOOSE(CONTROL!$C$14, $C$14, 100%, $E$14) + CHOOSE(CONTROL!$C$33, 0.0304, 0)</f>
        <v>18.597999999999999</v>
      </c>
      <c r="D120" s="4">
        <f>27.6244 * CHOOSE(CONTROL!$C$14, $C$14, 100%, $E$14) + CHOOSE(CONTROL!$C$33, 0.0021, 0)</f>
        <v>27.6265</v>
      </c>
      <c r="E120" s="4">
        <f>119.850529514007 * CHOOSE(CONTROL!$C$14, $C$14, 100%, $E$14) + CHOOSE(CONTROL!$C$33, 0.0021, 0)</f>
        <v>119.85262951400699</v>
      </c>
    </row>
    <row r="121" spans="1:5" ht="15">
      <c r="A121" s="11">
        <v>44774</v>
      </c>
      <c r="B121" s="4">
        <f>19.3656 * CHOOSE(CONTROL!$C$14, $C$14, 100%, $E$14) + CHOOSE(CONTROL!$C$33, 0.0304, 0)</f>
        <v>19.396000000000001</v>
      </c>
      <c r="C121" s="4">
        <f>19.0023 * CHOOSE(CONTROL!$C$14, $C$14, 100%, $E$14) + CHOOSE(CONTROL!$C$33, 0.0304, 0)</f>
        <v>19.032700000000002</v>
      </c>
      <c r="D121" s="4">
        <f>27.3481 * CHOOSE(CONTROL!$C$14, $C$14, 100%, $E$14) + CHOOSE(CONTROL!$C$33, 0.0021, 0)</f>
        <v>27.350199999999997</v>
      </c>
      <c r="E121" s="4">
        <f>122.720002102594 * CHOOSE(CONTROL!$C$14, $C$14, 100%, $E$14) + CHOOSE(CONTROL!$C$33, 0.0021, 0)</f>
        <v>122.72210210259399</v>
      </c>
    </row>
    <row r="122" spans="1:5" ht="15">
      <c r="A122" s="11">
        <v>44805</v>
      </c>
      <c r="B122" s="4">
        <f>18.6247 * CHOOSE(CONTROL!$C$14, $C$14, 100%, $E$14) + CHOOSE(CONTROL!$C$33, 0.0304, 0)</f>
        <v>18.655100000000001</v>
      </c>
      <c r="C122" s="4">
        <f>18.2614 * CHOOSE(CONTROL!$C$14, $C$14, 100%, $E$14) + CHOOSE(CONTROL!$C$33, 0.0304, 0)</f>
        <v>18.291799999999999</v>
      </c>
      <c r="D122" s="4">
        <f>27.2176 * CHOOSE(CONTROL!$C$14, $C$14, 100%, $E$14) + CHOOSE(CONTROL!$C$33, 0.0021, 0)</f>
        <v>27.2197</v>
      </c>
      <c r="E122" s="4">
        <f>117.829505631015 * CHOOSE(CONTROL!$C$14, $C$14, 100%, $E$14) + CHOOSE(CONTROL!$C$33, 0.0021, 0)</f>
        <v>117.83160563101499</v>
      </c>
    </row>
    <row r="123" spans="1:5" ht="15">
      <c r="A123" s="11">
        <v>44835</v>
      </c>
      <c r="B123" s="4">
        <f>18.0316 * CHOOSE(CONTROL!$C$14, $C$14, 100%, $E$14) + CHOOSE(CONTROL!$C$33, 0.0272, 0)</f>
        <v>18.058800000000002</v>
      </c>
      <c r="C123" s="4">
        <f>17.6683 * CHOOSE(CONTROL!$C$14, $C$14, 100%, $E$14) + CHOOSE(CONTROL!$C$33, 0.0272, 0)</f>
        <v>17.695499999999999</v>
      </c>
      <c r="D123" s="4">
        <f>26.8681 * CHOOSE(CONTROL!$C$14, $C$14, 100%, $E$14) + CHOOSE(CONTROL!$C$33, 0.0021, 0)</f>
        <v>26.870199999999997</v>
      </c>
      <c r="E123" s="4">
        <f>113.914566285346 * CHOOSE(CONTROL!$C$14, $C$14, 100%, $E$14) + CHOOSE(CONTROL!$C$33, 0.0021, 0)</f>
        <v>113.916666285346</v>
      </c>
    </row>
    <row r="124" spans="1:5" ht="15">
      <c r="A124" s="11">
        <v>44866</v>
      </c>
      <c r="B124" s="4">
        <f>17.6496 * CHOOSE(CONTROL!$C$14, $C$14, 100%, $E$14) + CHOOSE(CONTROL!$C$33, 0.0272, 0)</f>
        <v>17.6768</v>
      </c>
      <c r="C124" s="4">
        <f>17.2863 * CHOOSE(CONTROL!$C$14, $C$14, 100%, $E$14) + CHOOSE(CONTROL!$C$33, 0.0272, 0)</f>
        <v>17.313500000000001</v>
      </c>
      <c r="D124" s="4">
        <f>26.7479 * CHOOSE(CONTROL!$C$14, $C$14, 100%, $E$14) + CHOOSE(CONTROL!$C$33, 0.0021, 0)</f>
        <v>26.75</v>
      </c>
      <c r="E124" s="4">
        <f>111.393052997369 * CHOOSE(CONTROL!$C$14, $C$14, 100%, $E$14) + CHOOSE(CONTROL!$C$33, 0.0021, 0)</f>
        <v>111.395152997369</v>
      </c>
    </row>
    <row r="125" spans="1:5" ht="15">
      <c r="A125" s="11">
        <v>44896</v>
      </c>
      <c r="B125" s="4">
        <f>17.3853 * CHOOSE(CONTROL!$C$14, $C$14, 100%, $E$14) + CHOOSE(CONTROL!$C$33, 0.0272, 0)</f>
        <v>17.412500000000001</v>
      </c>
      <c r="C125" s="4">
        <f>17.022 * CHOOSE(CONTROL!$C$14, $C$14, 100%, $E$14) + CHOOSE(CONTROL!$C$33, 0.0272, 0)</f>
        <v>17.049199999999999</v>
      </c>
      <c r="D125" s="4">
        <f>25.8633 * CHOOSE(CONTROL!$C$14, $C$14, 100%, $E$14) + CHOOSE(CONTROL!$C$33, 0.0021, 0)</f>
        <v>25.865399999999998</v>
      </c>
      <c r="E125" s="4">
        <f>109.64848992856 * CHOOSE(CONTROL!$C$14, $C$14, 100%, $E$14) + CHOOSE(CONTROL!$C$33, 0.0021, 0)</f>
        <v>109.65058992856</v>
      </c>
    </row>
    <row r="126" spans="1:5" ht="15">
      <c r="A126" s="11">
        <v>44927</v>
      </c>
      <c r="B126" s="4">
        <f>17.1019 * CHOOSE(CONTROL!$C$14, $C$14, 100%, $E$14) + CHOOSE(CONTROL!$C$33, 0.0272, 0)</f>
        <v>17.129100000000001</v>
      </c>
      <c r="C126" s="4">
        <f>16.7387 * CHOOSE(CONTROL!$C$14, $C$14, 100%, $E$14) + CHOOSE(CONTROL!$C$33, 0.0272, 0)</f>
        <v>16.765900000000002</v>
      </c>
      <c r="D126" s="4">
        <f>25.4826 * CHOOSE(CONTROL!$C$14, $C$14, 100%, $E$14) + CHOOSE(CONTROL!$C$33, 0.0021, 0)</f>
        <v>25.4847</v>
      </c>
      <c r="E126" s="4">
        <f>107.51145128233 * CHOOSE(CONTROL!$C$14, $C$14, 100%, $E$14) + CHOOSE(CONTROL!$C$33, 0.0021, 0)</f>
        <v>107.51355128233</v>
      </c>
    </row>
    <row r="127" spans="1:5" ht="15">
      <c r="A127" s="11">
        <v>44958</v>
      </c>
      <c r="B127" s="4">
        <f>17.4896 * CHOOSE(CONTROL!$C$14, $C$14, 100%, $E$14) + CHOOSE(CONTROL!$C$33, 0.0272, 0)</f>
        <v>17.5168</v>
      </c>
      <c r="C127" s="4">
        <f>17.1264 * CHOOSE(CONTROL!$C$14, $C$14, 100%, $E$14) + CHOOSE(CONTROL!$C$33, 0.0272, 0)</f>
        <v>17.153600000000001</v>
      </c>
      <c r="D127" s="4">
        <f>26.3166 * CHOOSE(CONTROL!$C$14, $C$14, 100%, $E$14) + CHOOSE(CONTROL!$C$33, 0.0021, 0)</f>
        <v>26.3187</v>
      </c>
      <c r="E127" s="4">
        <f>110.064196828666 * CHOOSE(CONTROL!$C$14, $C$14, 100%, $E$14) + CHOOSE(CONTROL!$C$33, 0.0021, 0)</f>
        <v>110.066296828666</v>
      </c>
    </row>
    <row r="128" spans="1:5" ht="15">
      <c r="A128" s="11">
        <v>44986</v>
      </c>
      <c r="B128" s="4">
        <f>18.5078 * CHOOSE(CONTROL!$C$14, $C$14, 100%, $E$14) + CHOOSE(CONTROL!$C$33, 0.0272, 0)</f>
        <v>18.535</v>
      </c>
      <c r="C128" s="4">
        <f>18.1445 * CHOOSE(CONTROL!$C$14, $C$14, 100%, $E$14) + CHOOSE(CONTROL!$C$33, 0.0272, 0)</f>
        <v>18.171700000000001</v>
      </c>
      <c r="D128" s="4">
        <f>27.6222 * CHOOSE(CONTROL!$C$14, $C$14, 100%, $E$14) + CHOOSE(CONTROL!$C$33, 0.0021, 0)</f>
        <v>27.624299999999998</v>
      </c>
      <c r="E128" s="4">
        <f>116.767842294481 * CHOOSE(CONTROL!$C$14, $C$14, 100%, $E$14) + CHOOSE(CONTROL!$C$33, 0.0021, 0)</f>
        <v>116.769942294481</v>
      </c>
    </row>
    <row r="129" spans="1:5" ht="15">
      <c r="A129" s="11">
        <v>45017</v>
      </c>
      <c r="B129" s="4">
        <f>19.2312 * CHOOSE(CONTROL!$C$14, $C$14, 100%, $E$14) + CHOOSE(CONTROL!$C$33, 0.0272, 0)</f>
        <v>19.258400000000002</v>
      </c>
      <c r="C129" s="4">
        <f>18.8679 * CHOOSE(CONTROL!$C$14, $C$14, 100%, $E$14) + CHOOSE(CONTROL!$C$33, 0.0272, 0)</f>
        <v>18.895099999999999</v>
      </c>
      <c r="D129" s="4">
        <f>28.3743 * CHOOSE(CONTROL!$C$14, $C$14, 100%, $E$14) + CHOOSE(CONTROL!$C$33, 0.0021, 0)</f>
        <v>28.3764</v>
      </c>
      <c r="E129" s="4">
        <f>121.530871735765 * CHOOSE(CONTROL!$C$14, $C$14, 100%, $E$14) + CHOOSE(CONTROL!$C$33, 0.0021, 0)</f>
        <v>121.532971735765</v>
      </c>
    </row>
    <row r="130" spans="1:5" ht="15">
      <c r="A130" s="11">
        <v>45047</v>
      </c>
      <c r="B130" s="4">
        <f>19.6731 * CHOOSE(CONTROL!$C$14, $C$14, 100%, $E$14) + CHOOSE(CONTROL!$C$33, 0.0304, 0)</f>
        <v>19.703500000000002</v>
      </c>
      <c r="C130" s="4">
        <f>19.3099 * CHOOSE(CONTROL!$C$14, $C$14, 100%, $E$14) + CHOOSE(CONTROL!$C$33, 0.0304, 0)</f>
        <v>19.340299999999999</v>
      </c>
      <c r="D130" s="4">
        <f>28.0771 * CHOOSE(CONTROL!$C$14, $C$14, 100%, $E$14) + CHOOSE(CONTROL!$C$33, 0.0021, 0)</f>
        <v>28.0792</v>
      </c>
      <c r="E130" s="4">
        <f>124.440968570506 * CHOOSE(CONTROL!$C$14, $C$14, 100%, $E$14) + CHOOSE(CONTROL!$C$33, 0.0021, 0)</f>
        <v>124.443068570506</v>
      </c>
    </row>
    <row r="131" spans="1:5" ht="15">
      <c r="A131" s="11">
        <v>45078</v>
      </c>
      <c r="B131" s="4">
        <f>19.7329 * CHOOSE(CONTROL!$C$14, $C$14, 100%, $E$14) + CHOOSE(CONTROL!$C$33, 0.0304, 0)</f>
        <v>19.763300000000001</v>
      </c>
      <c r="C131" s="4">
        <f>19.3697 * CHOOSE(CONTROL!$C$14, $C$14, 100%, $E$14) + CHOOSE(CONTROL!$C$33, 0.0304, 0)</f>
        <v>19.400100000000002</v>
      </c>
      <c r="D131" s="4">
        <f>28.3191 * CHOOSE(CONTROL!$C$14, $C$14, 100%, $E$14) + CHOOSE(CONTROL!$C$33, 0.0021, 0)</f>
        <v>28.321199999999997</v>
      </c>
      <c r="E131" s="4">
        <f>124.834716749396 * CHOOSE(CONTROL!$C$14, $C$14, 100%, $E$14) + CHOOSE(CONTROL!$C$33, 0.0021, 0)</f>
        <v>124.83681674939599</v>
      </c>
    </row>
    <row r="132" spans="1:5" ht="15">
      <c r="A132" s="11">
        <v>45108</v>
      </c>
      <c r="B132" s="4">
        <f>19.7269 * CHOOSE(CONTROL!$C$14, $C$14, 100%, $E$14) + CHOOSE(CONTROL!$C$33, 0.0304, 0)</f>
        <v>19.757300000000001</v>
      </c>
      <c r="C132" s="4">
        <f>19.3636 * CHOOSE(CONTROL!$C$14, $C$14, 100%, $E$14) + CHOOSE(CONTROL!$C$33, 0.0304, 0)</f>
        <v>19.394000000000002</v>
      </c>
      <c r="D132" s="4">
        <f>28.7558 * CHOOSE(CONTROL!$C$14, $C$14, 100%, $E$14) + CHOOSE(CONTROL!$C$33, 0.0021, 0)</f>
        <v>28.757899999999999</v>
      </c>
      <c r="E132" s="4">
        <f>124.795011050685 * CHOOSE(CONTROL!$C$14, $C$14, 100%, $E$14) + CHOOSE(CONTROL!$C$33, 0.0021, 0)</f>
        <v>124.797111050685</v>
      </c>
    </row>
    <row r="133" spans="1:5" ht="15">
      <c r="A133" s="11">
        <v>45139</v>
      </c>
      <c r="B133" s="4">
        <f>20.1807 * CHOOSE(CONTROL!$C$14, $C$14, 100%, $E$14) + CHOOSE(CONTROL!$C$33, 0.0304, 0)</f>
        <v>20.211100000000002</v>
      </c>
      <c r="C133" s="4">
        <f>19.8174 * CHOOSE(CONTROL!$C$14, $C$14, 100%, $E$14) + CHOOSE(CONTROL!$C$33, 0.0304, 0)</f>
        <v>19.847799999999999</v>
      </c>
      <c r="D133" s="4">
        <f>28.4674 * CHOOSE(CONTROL!$C$14, $C$14, 100%, $E$14) + CHOOSE(CONTROL!$C$33, 0.0021, 0)</f>
        <v>28.4695</v>
      </c>
      <c r="E133" s="4">
        <f>127.782864878735 * CHOOSE(CONTROL!$C$14, $C$14, 100%, $E$14) + CHOOSE(CONTROL!$C$33, 0.0021, 0)</f>
        <v>127.784964878735</v>
      </c>
    </row>
    <row r="134" spans="1:5" ht="15">
      <c r="A134" s="11">
        <v>45170</v>
      </c>
      <c r="B134" s="4">
        <f>19.4073 * CHOOSE(CONTROL!$C$14, $C$14, 100%, $E$14) + CHOOSE(CONTROL!$C$33, 0.0304, 0)</f>
        <v>19.4377</v>
      </c>
      <c r="C134" s="4">
        <f>19.044 * CHOOSE(CONTROL!$C$14, $C$14, 100%, $E$14) + CHOOSE(CONTROL!$C$33, 0.0304, 0)</f>
        <v>19.074400000000001</v>
      </c>
      <c r="D134" s="4">
        <f>28.3311 * CHOOSE(CONTROL!$C$14, $C$14, 100%, $E$14) + CHOOSE(CONTROL!$C$33, 0.0021, 0)</f>
        <v>28.333199999999998</v>
      </c>
      <c r="E134" s="4">
        <f>122.690609018968 * CHOOSE(CONTROL!$C$14, $C$14, 100%, $E$14) + CHOOSE(CONTROL!$C$33, 0.0021, 0)</f>
        <v>122.692709018968</v>
      </c>
    </row>
    <row r="135" spans="1:5" ht="15">
      <c r="A135" s="11">
        <v>45200</v>
      </c>
      <c r="B135" s="4">
        <f>18.7882 * CHOOSE(CONTROL!$C$14, $C$14, 100%, $E$14) + CHOOSE(CONTROL!$C$33, 0.0272, 0)</f>
        <v>18.8154</v>
      </c>
      <c r="C135" s="4">
        <f>18.4249 * CHOOSE(CONTROL!$C$14, $C$14, 100%, $E$14) + CHOOSE(CONTROL!$C$33, 0.0272, 0)</f>
        <v>18.452100000000002</v>
      </c>
      <c r="D135" s="4">
        <f>27.9663 * CHOOSE(CONTROL!$C$14, $C$14, 100%, $E$14) + CHOOSE(CONTROL!$C$33, 0.0021, 0)</f>
        <v>27.968399999999999</v>
      </c>
      <c r="E135" s="4">
        <f>118.614157284573 * CHOOSE(CONTROL!$C$14, $C$14, 100%, $E$14) + CHOOSE(CONTROL!$C$33, 0.0021, 0)</f>
        <v>118.616257284573</v>
      </c>
    </row>
    <row r="136" spans="1:5" ht="15">
      <c r="A136" s="11">
        <v>45231</v>
      </c>
      <c r="B136" s="4">
        <f>18.3894 * CHOOSE(CONTROL!$C$14, $C$14, 100%, $E$14) + CHOOSE(CONTROL!$C$33, 0.0272, 0)</f>
        <v>18.416599999999999</v>
      </c>
      <c r="C136" s="4">
        <f>18.0261 * CHOOSE(CONTROL!$C$14, $C$14, 100%, $E$14) + CHOOSE(CONTROL!$C$33, 0.0272, 0)</f>
        <v>18.0533</v>
      </c>
      <c r="D136" s="4">
        <f>27.8409 * CHOOSE(CONTROL!$C$14, $C$14, 100%, $E$14) + CHOOSE(CONTROL!$C$33, 0.0021, 0)</f>
        <v>27.843</v>
      </c>
      <c r="E136" s="4">
        <f>115.988617957265 * CHOOSE(CONTROL!$C$14, $C$14, 100%, $E$14) + CHOOSE(CONTROL!$C$33, 0.0021, 0)</f>
        <v>115.99071795726501</v>
      </c>
    </row>
    <row r="137" spans="1:5" ht="15">
      <c r="A137" s="11">
        <v>45261</v>
      </c>
      <c r="B137" s="4">
        <f>18.1135 * CHOOSE(CONTROL!$C$14, $C$14, 100%, $E$14) + CHOOSE(CONTROL!$C$33, 0.0272, 0)</f>
        <v>18.140699999999999</v>
      </c>
      <c r="C137" s="4">
        <f>17.7503 * CHOOSE(CONTROL!$C$14, $C$14, 100%, $E$14) + CHOOSE(CONTROL!$C$33, 0.0272, 0)</f>
        <v>17.7775</v>
      </c>
      <c r="D137" s="4">
        <f>26.9174 * CHOOSE(CONTROL!$C$14, $C$14, 100%, $E$14) + CHOOSE(CONTROL!$C$33, 0.0021, 0)</f>
        <v>26.919499999999999</v>
      </c>
      <c r="E137" s="4">
        <f>114.172082241208 * CHOOSE(CONTROL!$C$14, $C$14, 100%, $E$14) + CHOOSE(CONTROL!$C$33, 0.0021, 0)</f>
        <v>114.174182241208</v>
      </c>
    </row>
    <row r="138" spans="1:5" ht="15">
      <c r="A138" s="11">
        <v>45292</v>
      </c>
      <c r="B138" s="4">
        <f>17.8561 * CHOOSE(CONTROL!$C$14, $C$14, 100%, $E$14) + CHOOSE(CONTROL!$C$33, 0.0272, 0)</f>
        <v>17.883300000000002</v>
      </c>
      <c r="C138" s="4">
        <f>17.4928 * CHOOSE(CONTROL!$C$14, $C$14, 100%, $E$14) + CHOOSE(CONTROL!$C$33, 0.0272, 0)</f>
        <v>17.52</v>
      </c>
      <c r="D138" s="4">
        <f>26.4269 * CHOOSE(CONTROL!$C$14, $C$14, 100%, $E$14) + CHOOSE(CONTROL!$C$33, 0.0021, 0)</f>
        <v>26.428999999999998</v>
      </c>
      <c r="E138" s="4">
        <f>111.946592218064 * CHOOSE(CONTROL!$C$14, $C$14, 100%, $E$14) + CHOOSE(CONTROL!$C$33, 0.0021, 0)</f>
        <v>111.948692218064</v>
      </c>
    </row>
    <row r="139" spans="1:5" ht="15">
      <c r="A139" s="11">
        <v>45323</v>
      </c>
      <c r="B139" s="4">
        <f>18.2617 * CHOOSE(CONTROL!$C$14, $C$14, 100%, $E$14) + CHOOSE(CONTROL!$C$33, 0.0272, 0)</f>
        <v>18.288900000000002</v>
      </c>
      <c r="C139" s="4">
        <f>17.8984 * CHOOSE(CONTROL!$C$14, $C$14, 100%, $E$14) + CHOOSE(CONTROL!$C$33, 0.0272, 0)</f>
        <v>17.925599999999999</v>
      </c>
      <c r="D139" s="4">
        <f>27.2942 * CHOOSE(CONTROL!$C$14, $C$14, 100%, $E$14) + CHOOSE(CONTROL!$C$33, 0.0021, 0)</f>
        <v>27.296299999999999</v>
      </c>
      <c r="E139" s="4">
        <f>114.604645488703 * CHOOSE(CONTROL!$C$14, $C$14, 100%, $E$14) + CHOOSE(CONTROL!$C$33, 0.0021, 0)</f>
        <v>114.606745488703</v>
      </c>
    </row>
    <row r="140" spans="1:5" ht="15">
      <c r="A140" s="11">
        <v>45352</v>
      </c>
      <c r="B140" s="4">
        <f>19.3268 * CHOOSE(CONTROL!$C$14, $C$14, 100%, $E$14) + CHOOSE(CONTROL!$C$33, 0.0272, 0)</f>
        <v>19.353999999999999</v>
      </c>
      <c r="C140" s="4">
        <f>18.9635 * CHOOSE(CONTROL!$C$14, $C$14, 100%, $E$14) + CHOOSE(CONTROL!$C$33, 0.0272, 0)</f>
        <v>18.9907</v>
      </c>
      <c r="D140" s="4">
        <f>28.652 * CHOOSE(CONTROL!$C$14, $C$14, 100%, $E$14) + CHOOSE(CONTROL!$C$33, 0.0021, 0)</f>
        <v>28.6541</v>
      </c>
      <c r="E140" s="4">
        <f>121.584834634931 * CHOOSE(CONTROL!$C$14, $C$14, 100%, $E$14) + CHOOSE(CONTROL!$C$33, 0.0021, 0)</f>
        <v>121.586934634931</v>
      </c>
    </row>
    <row r="141" spans="1:5" ht="15">
      <c r="A141" s="11">
        <v>45383</v>
      </c>
      <c r="B141" s="4">
        <f>20.0836 * CHOOSE(CONTROL!$C$14, $C$14, 100%, $E$14) + CHOOSE(CONTROL!$C$33, 0.0272, 0)</f>
        <v>20.110800000000001</v>
      </c>
      <c r="C141" s="4">
        <f>19.7203 * CHOOSE(CONTROL!$C$14, $C$14, 100%, $E$14) + CHOOSE(CONTROL!$C$33, 0.0272, 0)</f>
        <v>19.747500000000002</v>
      </c>
      <c r="D141" s="4">
        <f>29.4341 * CHOOSE(CONTROL!$C$14, $C$14, 100%, $E$14) + CHOOSE(CONTROL!$C$33, 0.0021, 0)</f>
        <v>29.436199999999999</v>
      </c>
      <c r="E141" s="4">
        <f>126.544352046577 * CHOOSE(CONTROL!$C$14, $C$14, 100%, $E$14) + CHOOSE(CONTROL!$C$33, 0.0021, 0)</f>
        <v>126.546452046577</v>
      </c>
    </row>
    <row r="142" spans="1:5" ht="15">
      <c r="A142" s="11">
        <v>45413</v>
      </c>
      <c r="B142" s="4">
        <f>20.546 * CHOOSE(CONTROL!$C$14, $C$14, 100%, $E$14) + CHOOSE(CONTROL!$C$33, 0.0304, 0)</f>
        <v>20.5764</v>
      </c>
      <c r="C142" s="4">
        <f>20.1827 * CHOOSE(CONTROL!$C$14, $C$14, 100%, $E$14) + CHOOSE(CONTROL!$C$33, 0.0304, 0)</f>
        <v>20.213100000000001</v>
      </c>
      <c r="D142" s="4">
        <f>29.125 * CHOOSE(CONTROL!$C$14, $C$14, 100%, $E$14) + CHOOSE(CONTROL!$C$33, 0.0021, 0)</f>
        <v>29.127099999999999</v>
      </c>
      <c r="E142" s="4">
        <f>129.574498322049 * CHOOSE(CONTROL!$C$14, $C$14, 100%, $E$14) + CHOOSE(CONTROL!$C$33, 0.0021, 0)</f>
        <v>129.57659832204902</v>
      </c>
    </row>
    <row r="143" spans="1:5" ht="15">
      <c r="A143" s="11">
        <v>45444</v>
      </c>
      <c r="B143" s="4">
        <f>20.6086 * CHOOSE(CONTROL!$C$14, $C$14, 100%, $E$14) + CHOOSE(CONTROL!$C$33, 0.0304, 0)</f>
        <v>20.638999999999999</v>
      </c>
      <c r="C143" s="4">
        <f>20.2453 * CHOOSE(CONTROL!$C$14, $C$14, 100%, $E$14) + CHOOSE(CONTROL!$C$33, 0.0304, 0)</f>
        <v>20.275700000000001</v>
      </c>
      <c r="D143" s="4">
        <f>29.3767 * CHOOSE(CONTROL!$C$14, $C$14, 100%, $E$14) + CHOOSE(CONTROL!$C$33, 0.0021, 0)</f>
        <v>29.378799999999998</v>
      </c>
      <c r="E143" s="4">
        <f>129.984489688486 * CHOOSE(CONTROL!$C$14, $C$14, 100%, $E$14) + CHOOSE(CONTROL!$C$33, 0.0021, 0)</f>
        <v>129.98658968848602</v>
      </c>
    </row>
    <row r="144" spans="1:5" ht="15">
      <c r="A144" s="11">
        <v>45474</v>
      </c>
      <c r="B144" s="4">
        <f>20.6023 * CHOOSE(CONTROL!$C$14, $C$14, 100%, $E$14) + CHOOSE(CONTROL!$C$33, 0.0304, 0)</f>
        <v>20.6327</v>
      </c>
      <c r="C144" s="4">
        <f>20.239 * CHOOSE(CONTROL!$C$14, $C$14, 100%, $E$14) + CHOOSE(CONTROL!$C$33, 0.0304, 0)</f>
        <v>20.269400000000001</v>
      </c>
      <c r="D144" s="4">
        <f>29.8309 * CHOOSE(CONTROL!$C$14, $C$14, 100%, $E$14) + CHOOSE(CONTROL!$C$33, 0.0021, 0)</f>
        <v>29.832999999999998</v>
      </c>
      <c r="E144" s="4">
        <f>129.943146021282 * CHOOSE(CONTROL!$C$14, $C$14, 100%, $E$14) + CHOOSE(CONTROL!$C$33, 0.0021, 0)</f>
        <v>129.945246021282</v>
      </c>
    </row>
    <row r="145" spans="1:5" ht="15">
      <c r="A145" s="11">
        <v>45505</v>
      </c>
      <c r="B145" s="4">
        <f>21.077 * CHOOSE(CONTROL!$C$14, $C$14, 100%, $E$14) + CHOOSE(CONTROL!$C$33, 0.0304, 0)</f>
        <v>21.107400000000002</v>
      </c>
      <c r="C145" s="4">
        <f>20.7137 * CHOOSE(CONTROL!$C$14, $C$14, 100%, $E$14) + CHOOSE(CONTROL!$C$33, 0.0304, 0)</f>
        <v>20.7441</v>
      </c>
      <c r="D145" s="4">
        <f>29.531 * CHOOSE(CONTROL!$C$14, $C$14, 100%, $E$14) + CHOOSE(CONTROL!$C$33, 0.0021, 0)</f>
        <v>29.533099999999997</v>
      </c>
      <c r="E145" s="4">
        <f>133.054256978362 * CHOOSE(CONTROL!$C$14, $C$14, 100%, $E$14) + CHOOSE(CONTROL!$C$33, 0.0021, 0)</f>
        <v>133.056356978362</v>
      </c>
    </row>
    <row r="146" spans="1:5" ht="15">
      <c r="A146" s="11">
        <v>45536</v>
      </c>
      <c r="B146" s="4">
        <f>20.2679 * CHOOSE(CONTROL!$C$14, $C$14, 100%, $E$14) + CHOOSE(CONTROL!$C$33, 0.0304, 0)</f>
        <v>20.298300000000001</v>
      </c>
      <c r="C146" s="4">
        <f>19.9046 * CHOOSE(CONTROL!$C$14, $C$14, 100%, $E$14) + CHOOSE(CONTROL!$C$33, 0.0304, 0)</f>
        <v>19.934999999999999</v>
      </c>
      <c r="D146" s="4">
        <f>29.3893 * CHOOSE(CONTROL!$C$14, $C$14, 100%, $E$14) + CHOOSE(CONTROL!$C$33, 0.0021, 0)</f>
        <v>29.391399999999997</v>
      </c>
      <c r="E146" s="4">
        <f>127.751931659485 * CHOOSE(CONTROL!$C$14, $C$14, 100%, $E$14) + CHOOSE(CONTROL!$C$33, 0.0021, 0)</f>
        <v>127.75403165948499</v>
      </c>
    </row>
    <row r="147" spans="1:5" ht="15">
      <c r="A147" s="11">
        <v>45566</v>
      </c>
      <c r="B147" s="4">
        <f>19.6202 * CHOOSE(CONTROL!$C$14, $C$14, 100%, $E$14) + CHOOSE(CONTROL!$C$33, 0.0272, 0)</f>
        <v>19.647400000000001</v>
      </c>
      <c r="C147" s="4">
        <f>19.2569 * CHOOSE(CONTROL!$C$14, $C$14, 100%, $E$14) + CHOOSE(CONTROL!$C$33, 0.0272, 0)</f>
        <v>19.284100000000002</v>
      </c>
      <c r="D147" s="4">
        <f>29.0098 * CHOOSE(CONTROL!$C$14, $C$14, 100%, $E$14) + CHOOSE(CONTROL!$C$33, 0.0021, 0)</f>
        <v>29.011899999999997</v>
      </c>
      <c r="E147" s="4">
        <f>123.507315159904 * CHOOSE(CONTROL!$C$14, $C$14, 100%, $E$14) + CHOOSE(CONTROL!$C$33, 0.0021, 0)</f>
        <v>123.50941515990399</v>
      </c>
    </row>
    <row r="148" spans="1:5" ht="15">
      <c r="A148" s="11">
        <v>45597</v>
      </c>
      <c r="B148" s="4">
        <f>19.203 * CHOOSE(CONTROL!$C$14, $C$14, 100%, $E$14) + CHOOSE(CONTROL!$C$33, 0.0272, 0)</f>
        <v>19.2302</v>
      </c>
      <c r="C148" s="4">
        <f>18.8397 * CHOOSE(CONTROL!$C$14, $C$14, 100%, $E$14) + CHOOSE(CONTROL!$C$33, 0.0272, 0)</f>
        <v>18.866900000000001</v>
      </c>
      <c r="D148" s="4">
        <f>28.8794 * CHOOSE(CONTROL!$C$14, $C$14, 100%, $E$14) + CHOOSE(CONTROL!$C$33, 0.0021, 0)</f>
        <v>28.881499999999999</v>
      </c>
      <c r="E148" s="4">
        <f>120.773465166058 * CHOOSE(CONTROL!$C$14, $C$14, 100%, $E$14) + CHOOSE(CONTROL!$C$33, 0.0021, 0)</f>
        <v>120.775565166058</v>
      </c>
    </row>
    <row r="149" spans="1:5" ht="15">
      <c r="A149" s="11">
        <v>45627</v>
      </c>
      <c r="B149" s="4">
        <f>18.9144 * CHOOSE(CONTROL!$C$14, $C$14, 100%, $E$14) + CHOOSE(CONTROL!$C$33, 0.0272, 0)</f>
        <v>18.941600000000001</v>
      </c>
      <c r="C149" s="4">
        <f>18.5511 * CHOOSE(CONTROL!$C$14, $C$14, 100%, $E$14) + CHOOSE(CONTROL!$C$33, 0.0272, 0)</f>
        <v>18.578300000000002</v>
      </c>
      <c r="D149" s="4">
        <f>27.919 * CHOOSE(CONTROL!$C$14, $C$14, 100%, $E$14) + CHOOSE(CONTROL!$C$33, 0.0021, 0)</f>
        <v>27.921099999999999</v>
      </c>
      <c r="E149" s="4">
        <f>118.881992391488 * CHOOSE(CONTROL!$C$14, $C$14, 100%, $E$14) + CHOOSE(CONTROL!$C$33, 0.0021, 0)</f>
        <v>118.884092391488</v>
      </c>
    </row>
    <row r="150" spans="1:5" ht="15">
      <c r="A150" s="11">
        <v>45658</v>
      </c>
      <c r="B150" s="4">
        <f>18.7271 * CHOOSE(CONTROL!$C$14, $C$14, 100%, $E$14) + CHOOSE(CONTROL!$C$33, 0.0272, 0)</f>
        <v>18.754300000000001</v>
      </c>
      <c r="C150" s="4">
        <f>18.3638 * CHOOSE(CONTROL!$C$14, $C$14, 100%, $E$14) + CHOOSE(CONTROL!$C$33, 0.0272, 0)</f>
        <v>18.391000000000002</v>
      </c>
      <c r="D150" s="4">
        <f>27.326 * CHOOSE(CONTROL!$C$14, $C$14, 100%, $E$14) + CHOOSE(CONTROL!$C$33, 0.0021, 0)</f>
        <v>27.328099999999999</v>
      </c>
      <c r="E150" s="4">
        <f>116.5461483834 * CHOOSE(CONTROL!$C$14, $C$14, 100%, $E$14) + CHOOSE(CONTROL!$C$33, 0.0021, 0)</f>
        <v>116.54824838339999</v>
      </c>
    </row>
    <row r="151" spans="1:5" ht="15">
      <c r="A151" s="11">
        <v>45689</v>
      </c>
      <c r="B151" s="4">
        <f>19.1534 * CHOOSE(CONTROL!$C$14, $C$14, 100%, $E$14) + CHOOSE(CONTROL!$C$33, 0.0272, 0)</f>
        <v>19.180600000000002</v>
      </c>
      <c r="C151" s="4">
        <f>18.7901 * CHOOSE(CONTROL!$C$14, $C$14, 100%, $E$14) + CHOOSE(CONTROL!$C$33, 0.0272, 0)</f>
        <v>18.817299999999999</v>
      </c>
      <c r="D151" s="4">
        <f>28.2251 * CHOOSE(CONTROL!$C$14, $C$14, 100%, $E$14) + CHOOSE(CONTROL!$C$33, 0.0021, 0)</f>
        <v>28.2272</v>
      </c>
      <c r="E151" s="4">
        <f>119.313413243839 * CHOOSE(CONTROL!$C$14, $C$14, 100%, $E$14) + CHOOSE(CONTROL!$C$33, 0.0021, 0)</f>
        <v>119.31551324383899</v>
      </c>
    </row>
    <row r="152" spans="1:5" ht="15">
      <c r="A152" s="11">
        <v>45717</v>
      </c>
      <c r="B152" s="4">
        <f>20.2728 * CHOOSE(CONTROL!$C$14, $C$14, 100%, $E$14) + CHOOSE(CONTROL!$C$33, 0.0272, 0)</f>
        <v>20.3</v>
      </c>
      <c r="C152" s="4">
        <f>19.9095 * CHOOSE(CONTROL!$C$14, $C$14, 100%, $E$14) + CHOOSE(CONTROL!$C$33, 0.0272, 0)</f>
        <v>19.936700000000002</v>
      </c>
      <c r="D152" s="4">
        <f>29.6326 * CHOOSE(CONTROL!$C$14, $C$14, 100%, $E$14) + CHOOSE(CONTROL!$C$33, 0.0021, 0)</f>
        <v>29.634699999999999</v>
      </c>
      <c r="E152" s="4">
        <f>126.580397828736 * CHOOSE(CONTROL!$C$14, $C$14, 100%, $E$14) + CHOOSE(CONTROL!$C$33, 0.0021, 0)</f>
        <v>126.582497828736</v>
      </c>
    </row>
    <row r="153" spans="1:5" ht="15">
      <c r="A153" s="11">
        <v>45748</v>
      </c>
      <c r="B153" s="4">
        <f>21.0682 * CHOOSE(CONTROL!$C$14, $C$14, 100%, $E$14) + CHOOSE(CONTROL!$C$33, 0.0272, 0)</f>
        <v>21.095400000000001</v>
      </c>
      <c r="C153" s="4">
        <f>20.7049 * CHOOSE(CONTROL!$C$14, $C$14, 100%, $E$14) + CHOOSE(CONTROL!$C$33, 0.0272, 0)</f>
        <v>20.732099999999999</v>
      </c>
      <c r="D153" s="4">
        <f>30.4433 * CHOOSE(CONTROL!$C$14, $C$14, 100%, $E$14) + CHOOSE(CONTROL!$C$33, 0.0021, 0)</f>
        <v>30.445399999999999</v>
      </c>
      <c r="E153" s="4">
        <f>131.743687221608 * CHOOSE(CONTROL!$C$14, $C$14, 100%, $E$14) + CHOOSE(CONTROL!$C$33, 0.0021, 0)</f>
        <v>131.74578722160803</v>
      </c>
    </row>
    <row r="154" spans="1:5" ht="15">
      <c r="A154" s="11">
        <v>45778</v>
      </c>
      <c r="B154" s="4">
        <f>21.5542 * CHOOSE(CONTROL!$C$14, $C$14, 100%, $E$14) + CHOOSE(CONTROL!$C$33, 0.0304, 0)</f>
        <v>21.584600000000002</v>
      </c>
      <c r="C154" s="4">
        <f>21.1909 * CHOOSE(CONTROL!$C$14, $C$14, 100%, $E$14) + CHOOSE(CONTROL!$C$33, 0.0304, 0)</f>
        <v>21.221299999999999</v>
      </c>
      <c r="D154" s="4">
        <f>30.1229 * CHOOSE(CONTROL!$C$14, $C$14, 100%, $E$14) + CHOOSE(CONTROL!$C$33, 0.0021, 0)</f>
        <v>30.125</v>
      </c>
      <c r="E154" s="4">
        <f>134.898333293877 * CHOOSE(CONTROL!$C$14, $C$14, 100%, $E$14) + CHOOSE(CONTROL!$C$33, 0.0021, 0)</f>
        <v>134.900433293877</v>
      </c>
    </row>
    <row r="155" spans="1:5" ht="15">
      <c r="A155" s="11">
        <v>45809</v>
      </c>
      <c r="B155" s="4">
        <f>21.6199 * CHOOSE(CONTROL!$C$14, $C$14, 100%, $E$14) + CHOOSE(CONTROL!$C$33, 0.0304, 0)</f>
        <v>21.650300000000001</v>
      </c>
      <c r="C155" s="4">
        <f>21.2566 * CHOOSE(CONTROL!$C$14, $C$14, 100%, $E$14) + CHOOSE(CONTROL!$C$33, 0.0304, 0)</f>
        <v>21.286999999999999</v>
      </c>
      <c r="D155" s="4">
        <f>30.3838 * CHOOSE(CONTROL!$C$14, $C$14, 100%, $E$14) + CHOOSE(CONTROL!$C$33, 0.0021, 0)</f>
        <v>30.385899999999999</v>
      </c>
      <c r="E155" s="4">
        <f>135.325169999505 * CHOOSE(CONTROL!$C$14, $C$14, 100%, $E$14) + CHOOSE(CONTROL!$C$33, 0.0021, 0)</f>
        <v>135.32726999950501</v>
      </c>
    </row>
    <row r="156" spans="1:5" ht="15">
      <c r="A156" s="11">
        <v>45839</v>
      </c>
      <c r="B156" s="4">
        <f>21.6133 * CHOOSE(CONTROL!$C$14, $C$14, 100%, $E$14) + CHOOSE(CONTROL!$C$33, 0.0304, 0)</f>
        <v>21.643699999999999</v>
      </c>
      <c r="C156" s="4">
        <f>21.25 * CHOOSE(CONTROL!$C$14, $C$14, 100%, $E$14) + CHOOSE(CONTROL!$C$33, 0.0304, 0)</f>
        <v>21.2804</v>
      </c>
      <c r="D156" s="4">
        <f>30.8546 * CHOOSE(CONTROL!$C$14, $C$14, 100%, $E$14) + CHOOSE(CONTROL!$C$33, 0.0021, 0)</f>
        <v>30.8567</v>
      </c>
      <c r="E156" s="4">
        <f>135.282127642635 * CHOOSE(CONTROL!$C$14, $C$14, 100%, $E$14) + CHOOSE(CONTROL!$C$33, 0.0021, 0)</f>
        <v>135.28422764263502</v>
      </c>
    </row>
    <row r="157" spans="1:5" ht="15">
      <c r="A157" s="11">
        <v>45870</v>
      </c>
      <c r="B157" s="4">
        <f>22.1122 * CHOOSE(CONTROL!$C$14, $C$14, 100%, $E$14) + CHOOSE(CONTROL!$C$33, 0.0304, 0)</f>
        <v>22.142600000000002</v>
      </c>
      <c r="C157" s="4">
        <f>21.749 * CHOOSE(CONTROL!$C$14, $C$14, 100%, $E$14) + CHOOSE(CONTROL!$C$33, 0.0304, 0)</f>
        <v>21.779399999999999</v>
      </c>
      <c r="D157" s="4">
        <f>30.5437 * CHOOSE(CONTROL!$C$14, $C$14, 100%, $E$14) + CHOOSE(CONTROL!$C$33, 0.0021, 0)</f>
        <v>30.5458</v>
      </c>
      <c r="E157" s="4">
        <f>138.521064997108 * CHOOSE(CONTROL!$C$14, $C$14, 100%, $E$14) + CHOOSE(CONTROL!$C$33, 0.0021, 0)</f>
        <v>138.52316499710801</v>
      </c>
    </row>
    <row r="158" spans="1:5" ht="15">
      <c r="A158" s="11">
        <v>45901</v>
      </c>
      <c r="B158" s="4">
        <f>21.2619 * CHOOSE(CONTROL!$C$14, $C$14, 100%, $E$14) + CHOOSE(CONTROL!$C$33, 0.0304, 0)</f>
        <v>21.292300000000001</v>
      </c>
      <c r="C158" s="4">
        <f>20.8986 * CHOOSE(CONTROL!$C$14, $C$14, 100%, $E$14) + CHOOSE(CONTROL!$C$33, 0.0304, 0)</f>
        <v>20.928999999999998</v>
      </c>
      <c r="D158" s="4">
        <f>30.3968 * CHOOSE(CONTROL!$C$14, $C$14, 100%, $E$14) + CHOOSE(CONTROL!$C$33, 0.0021, 0)</f>
        <v>30.398899999999998</v>
      </c>
      <c r="E158" s="4">
        <f>133.000882728521 * CHOOSE(CONTROL!$C$14, $C$14, 100%, $E$14) + CHOOSE(CONTROL!$C$33, 0.0021, 0)</f>
        <v>133.002982728521</v>
      </c>
    </row>
    <row r="159" spans="1:5" ht="15">
      <c r="A159" s="11">
        <v>45931</v>
      </c>
      <c r="B159" s="4">
        <f>20.5811 * CHOOSE(CONTROL!$C$14, $C$14, 100%, $E$14) + CHOOSE(CONTROL!$C$33, 0.0272, 0)</f>
        <v>20.6083</v>
      </c>
      <c r="C159" s="4">
        <f>20.2179 * CHOOSE(CONTROL!$C$14, $C$14, 100%, $E$14) + CHOOSE(CONTROL!$C$33, 0.0272, 0)</f>
        <v>20.245100000000001</v>
      </c>
      <c r="D159" s="4">
        <f>30.0035 * CHOOSE(CONTROL!$C$14, $C$14, 100%, $E$14) + CHOOSE(CONTROL!$C$33, 0.0021, 0)</f>
        <v>30.005599999999998</v>
      </c>
      <c r="E159" s="4">
        <f>128.581867423194 * CHOOSE(CONTROL!$C$14, $C$14, 100%, $E$14) + CHOOSE(CONTROL!$C$33, 0.0021, 0)</f>
        <v>128.58396742319403</v>
      </c>
    </row>
    <row r="160" spans="1:5" ht="15">
      <c r="A160" s="11">
        <v>45962</v>
      </c>
      <c r="B160" s="4">
        <f>20.1427 * CHOOSE(CONTROL!$C$14, $C$14, 100%, $E$14) + CHOOSE(CONTROL!$C$33, 0.0272, 0)</f>
        <v>20.169900000000002</v>
      </c>
      <c r="C160" s="4">
        <f>19.7794 * CHOOSE(CONTROL!$C$14, $C$14, 100%, $E$14) + CHOOSE(CONTROL!$C$33, 0.0272, 0)</f>
        <v>19.8066</v>
      </c>
      <c r="D160" s="4">
        <f>29.8683 * CHOOSE(CONTROL!$C$14, $C$14, 100%, $E$14) + CHOOSE(CONTROL!$C$33, 0.0021, 0)</f>
        <v>29.8704</v>
      </c>
      <c r="E160" s="4">
        <f>125.73569157516 * CHOOSE(CONTROL!$C$14, $C$14, 100%, $E$14) + CHOOSE(CONTROL!$C$33, 0.0021, 0)</f>
        <v>125.73779157516</v>
      </c>
    </row>
    <row r="161" spans="1:5" ht="15">
      <c r="A161" s="11">
        <v>45992</v>
      </c>
      <c r="B161" s="4">
        <f>19.8393 * CHOOSE(CONTROL!$C$14, $C$14, 100%, $E$14) + CHOOSE(CONTROL!$C$33, 0.0272, 0)</f>
        <v>19.866500000000002</v>
      </c>
      <c r="C161" s="4">
        <f>19.4761 * CHOOSE(CONTROL!$C$14, $C$14, 100%, $E$14) + CHOOSE(CONTROL!$C$33, 0.0272, 0)</f>
        <v>19.503299999999999</v>
      </c>
      <c r="D161" s="4">
        <f>28.8728 * CHOOSE(CONTROL!$C$14, $C$14, 100%, $E$14) + CHOOSE(CONTROL!$C$33, 0.0021, 0)</f>
        <v>28.8749</v>
      </c>
      <c r="E161" s="4">
        <f>123.766503748355 * CHOOSE(CONTROL!$C$14, $C$14, 100%, $E$14) + CHOOSE(CONTROL!$C$33, 0.0021, 0)</f>
        <v>123.76860374835501</v>
      </c>
    </row>
    <row r="162" spans="1:5" ht="15">
      <c r="A162" s="11">
        <v>46023</v>
      </c>
      <c r="B162" s="4">
        <f>19.4585 * CHOOSE(CONTROL!$C$14, $C$14, 100%, $E$14) + CHOOSE(CONTROL!$C$33, 0.0272, 0)</f>
        <v>19.485700000000001</v>
      </c>
      <c r="C162" s="4">
        <f>19.0952 * CHOOSE(CONTROL!$C$14, $C$14, 100%, $E$14) + CHOOSE(CONTROL!$C$33, 0.0272, 0)</f>
        <v>19.122399999999999</v>
      </c>
      <c r="D162" s="4">
        <f>28.335 * CHOOSE(CONTROL!$C$14, $C$14, 100%, $E$14) + CHOOSE(CONTROL!$C$33, 0.0021, 0)</f>
        <v>28.3371</v>
      </c>
      <c r="E162" s="4">
        <f>121.353494599936 * CHOOSE(CONTROL!$C$14, $C$14, 100%, $E$14) + CHOOSE(CONTROL!$C$33, 0.0021, 0)</f>
        <v>121.355594599936</v>
      </c>
    </row>
    <row r="163" spans="1:5" ht="15">
      <c r="A163" s="11">
        <v>46054</v>
      </c>
      <c r="B163" s="4">
        <f>19.9021 * CHOOSE(CONTROL!$C$14, $C$14, 100%, $E$14) + CHOOSE(CONTROL!$C$33, 0.0272, 0)</f>
        <v>19.929300000000001</v>
      </c>
      <c r="C163" s="4">
        <f>19.5388 * CHOOSE(CONTROL!$C$14, $C$14, 100%, $E$14) + CHOOSE(CONTROL!$C$33, 0.0272, 0)</f>
        <v>19.565999999999999</v>
      </c>
      <c r="D163" s="4">
        <f>29.2696 * CHOOSE(CONTROL!$C$14, $C$14, 100%, $E$14) + CHOOSE(CONTROL!$C$33, 0.0021, 0)</f>
        <v>29.271699999999999</v>
      </c>
      <c r="E163" s="4">
        <f>124.234904804871 * CHOOSE(CONTROL!$C$14, $C$14, 100%, $E$14) + CHOOSE(CONTROL!$C$33, 0.0021, 0)</f>
        <v>124.23700480487099</v>
      </c>
    </row>
    <row r="164" spans="1:5" ht="15">
      <c r="A164" s="11">
        <v>46082</v>
      </c>
      <c r="B164" s="4">
        <f>21.0672 * CHOOSE(CONTROL!$C$14, $C$14, 100%, $E$14) + CHOOSE(CONTROL!$C$33, 0.0272, 0)</f>
        <v>21.0944</v>
      </c>
      <c r="C164" s="4">
        <f>20.7039 * CHOOSE(CONTROL!$C$14, $C$14, 100%, $E$14) + CHOOSE(CONTROL!$C$33, 0.0272, 0)</f>
        <v>20.731100000000001</v>
      </c>
      <c r="D164" s="4">
        <f>30.7328 * CHOOSE(CONTROL!$C$14, $C$14, 100%, $E$14) + CHOOSE(CONTROL!$C$33, 0.0021, 0)</f>
        <v>30.7349</v>
      </c>
      <c r="E164" s="4">
        <f>131.801641130469 * CHOOSE(CONTROL!$C$14, $C$14, 100%, $E$14) + CHOOSE(CONTROL!$C$33, 0.0021, 0)</f>
        <v>131.80374113046901</v>
      </c>
    </row>
    <row r="165" spans="1:5" ht="15">
      <c r="A165" s="11">
        <v>46113</v>
      </c>
      <c r="B165" s="4">
        <f>21.895 * CHOOSE(CONTROL!$C$14, $C$14, 100%, $E$14) + CHOOSE(CONTROL!$C$33, 0.0272, 0)</f>
        <v>21.9222</v>
      </c>
      <c r="C165" s="4">
        <f>21.5317 * CHOOSE(CONTROL!$C$14, $C$14, 100%, $E$14) + CHOOSE(CONTROL!$C$33, 0.0272, 0)</f>
        <v>21.558900000000001</v>
      </c>
      <c r="D165" s="4">
        <f>31.5757 * CHOOSE(CONTROL!$C$14, $C$14, 100%, $E$14) + CHOOSE(CONTROL!$C$33, 0.0021, 0)</f>
        <v>31.5778</v>
      </c>
      <c r="E165" s="4">
        <f>137.177908129826 * CHOOSE(CONTROL!$C$14, $C$14, 100%, $E$14) + CHOOSE(CONTROL!$C$33, 0.0021, 0)</f>
        <v>137.18000812982601</v>
      </c>
    </row>
    <row r="166" spans="1:5" ht="15">
      <c r="A166" s="11">
        <v>46143</v>
      </c>
      <c r="B166" s="4">
        <f>22.4007 * CHOOSE(CONTROL!$C$14, $C$14, 100%, $E$14) + CHOOSE(CONTROL!$C$33, 0.0304, 0)</f>
        <v>22.431100000000001</v>
      </c>
      <c r="C166" s="4">
        <f>22.0375 * CHOOSE(CONTROL!$C$14, $C$14, 100%, $E$14) + CHOOSE(CONTROL!$C$33, 0.0304, 0)</f>
        <v>22.067900000000002</v>
      </c>
      <c r="D166" s="4">
        <f>31.2426 * CHOOSE(CONTROL!$C$14, $C$14, 100%, $E$14) + CHOOSE(CONTROL!$C$33, 0.0021, 0)</f>
        <v>31.244699999999998</v>
      </c>
      <c r="E166" s="4">
        <f>140.462678415296 * CHOOSE(CONTROL!$C$14, $C$14, 100%, $E$14) + CHOOSE(CONTROL!$C$33, 0.0021, 0)</f>
        <v>140.46477841529602</v>
      </c>
    </row>
    <row r="167" spans="1:5" ht="15">
      <c r="A167" s="11">
        <v>46174</v>
      </c>
      <c r="B167" s="4">
        <f>22.4692 * CHOOSE(CONTROL!$C$14, $C$14, 100%, $E$14) + CHOOSE(CONTROL!$C$33, 0.0304, 0)</f>
        <v>22.499600000000001</v>
      </c>
      <c r="C167" s="4">
        <f>22.1059 * CHOOSE(CONTROL!$C$14, $C$14, 100%, $E$14) + CHOOSE(CONTROL!$C$33, 0.0304, 0)</f>
        <v>22.136299999999999</v>
      </c>
      <c r="D167" s="4">
        <f>31.5139 * CHOOSE(CONTROL!$C$14, $C$14, 100%, $E$14) + CHOOSE(CONTROL!$C$33, 0.0021, 0)</f>
        <v>31.515999999999998</v>
      </c>
      <c r="E167" s="4">
        <f>140.907121466997 * CHOOSE(CONTROL!$C$14, $C$14, 100%, $E$14) + CHOOSE(CONTROL!$C$33, 0.0021, 0)</f>
        <v>140.90922146699702</v>
      </c>
    </row>
    <row r="168" spans="1:5" ht="15">
      <c r="A168" s="11">
        <v>46204</v>
      </c>
      <c r="B168" s="4">
        <f>22.4623 * CHOOSE(CONTROL!$C$14, $C$14, 100%, $E$14) + CHOOSE(CONTROL!$C$33, 0.0304, 0)</f>
        <v>22.492699999999999</v>
      </c>
      <c r="C168" s="4">
        <f>22.099 * CHOOSE(CONTROL!$C$14, $C$14, 100%, $E$14) + CHOOSE(CONTROL!$C$33, 0.0304, 0)</f>
        <v>22.1294</v>
      </c>
      <c r="D168" s="4">
        <f>32.0033 * CHOOSE(CONTROL!$C$14, $C$14, 100%, $E$14) + CHOOSE(CONTROL!$C$33, 0.0021, 0)</f>
        <v>32.005400000000002</v>
      </c>
      <c r="E168" s="4">
        <f>140.862303680271 * CHOOSE(CONTROL!$C$14, $C$14, 100%, $E$14) + CHOOSE(CONTROL!$C$33, 0.0021, 0)</f>
        <v>140.86440368027101</v>
      </c>
    </row>
    <row r="169" spans="1:5" ht="15">
      <c r="A169" s="11">
        <v>46235</v>
      </c>
      <c r="B169" s="4">
        <f>22.9816 * CHOOSE(CONTROL!$C$14, $C$14, 100%, $E$14) + CHOOSE(CONTROL!$C$33, 0.0304, 0)</f>
        <v>23.012</v>
      </c>
      <c r="C169" s="4">
        <f>22.6183 * CHOOSE(CONTROL!$C$14, $C$14, 100%, $E$14) + CHOOSE(CONTROL!$C$33, 0.0304, 0)</f>
        <v>22.648700000000002</v>
      </c>
      <c r="D169" s="4">
        <f>31.6801 * CHOOSE(CONTROL!$C$14, $C$14, 100%, $E$14) + CHOOSE(CONTROL!$C$33, 0.0021, 0)</f>
        <v>31.682199999999998</v>
      </c>
      <c r="E169" s="4">
        <f>144.234842131413 * CHOOSE(CONTROL!$C$14, $C$14, 100%, $E$14) + CHOOSE(CONTROL!$C$33, 0.0021, 0)</f>
        <v>144.236942131413</v>
      </c>
    </row>
    <row r="170" spans="1:5" ht="15">
      <c r="A170" s="11">
        <v>46266</v>
      </c>
      <c r="B170" s="4">
        <f>22.0965 * CHOOSE(CONTROL!$C$14, $C$14, 100%, $E$14) + CHOOSE(CONTROL!$C$33, 0.0304, 0)</f>
        <v>22.126899999999999</v>
      </c>
      <c r="C170" s="4">
        <f>21.7333 * CHOOSE(CONTROL!$C$14, $C$14, 100%, $E$14) + CHOOSE(CONTROL!$C$33, 0.0304, 0)</f>
        <v>21.7637</v>
      </c>
      <c r="D170" s="4">
        <f>31.5274 * CHOOSE(CONTROL!$C$14, $C$14, 100%, $E$14) + CHOOSE(CONTROL!$C$33, 0.0021, 0)</f>
        <v>31.529499999999999</v>
      </c>
      <c r="E170" s="4">
        <f>138.486960983785 * CHOOSE(CONTROL!$C$14, $C$14, 100%, $E$14) + CHOOSE(CONTROL!$C$33, 0.0021, 0)</f>
        <v>138.48906098378501</v>
      </c>
    </row>
    <row r="171" spans="1:5" ht="15">
      <c r="A171" s="11">
        <v>46296</v>
      </c>
      <c r="B171" s="4">
        <f>21.3881 * CHOOSE(CONTROL!$C$14, $C$14, 100%, $E$14) + CHOOSE(CONTROL!$C$33, 0.0272, 0)</f>
        <v>21.415300000000002</v>
      </c>
      <c r="C171" s="4">
        <f>21.0248 * CHOOSE(CONTROL!$C$14, $C$14, 100%, $E$14) + CHOOSE(CONTROL!$C$33, 0.0272, 0)</f>
        <v>21.052</v>
      </c>
      <c r="D171" s="4">
        <f>31.1185 * CHOOSE(CONTROL!$C$14, $C$14, 100%, $E$14) + CHOOSE(CONTROL!$C$33, 0.0021, 0)</f>
        <v>31.1206</v>
      </c>
      <c r="E171" s="4">
        <f>133.885668213234 * CHOOSE(CONTROL!$C$14, $C$14, 100%, $E$14) + CHOOSE(CONTROL!$C$33, 0.0021, 0)</f>
        <v>133.88776821323401</v>
      </c>
    </row>
    <row r="172" spans="1:5" ht="15">
      <c r="A172" s="11">
        <v>46327</v>
      </c>
      <c r="B172" s="4">
        <f>20.9318 * CHOOSE(CONTROL!$C$14, $C$14, 100%, $E$14) + CHOOSE(CONTROL!$C$33, 0.0272, 0)</f>
        <v>20.959</v>
      </c>
      <c r="C172" s="4">
        <f>20.5685 * CHOOSE(CONTROL!$C$14, $C$14, 100%, $E$14) + CHOOSE(CONTROL!$C$33, 0.0272, 0)</f>
        <v>20.595700000000001</v>
      </c>
      <c r="D172" s="4">
        <f>30.9779 * CHOOSE(CONTROL!$C$14, $C$14, 100%, $E$14) + CHOOSE(CONTROL!$C$33, 0.0021, 0)</f>
        <v>30.98</v>
      </c>
      <c r="E172" s="4">
        <f>130.922092065968 * CHOOSE(CONTROL!$C$14, $C$14, 100%, $E$14) + CHOOSE(CONTROL!$C$33, 0.0021, 0)</f>
        <v>130.92419206596801</v>
      </c>
    </row>
    <row r="173" spans="1:5" ht="15">
      <c r="A173" s="11">
        <v>46357</v>
      </c>
      <c r="B173" s="4">
        <f>20.6161 * CHOOSE(CONTROL!$C$14, $C$14, 100%, $E$14) + CHOOSE(CONTROL!$C$33, 0.0272, 0)</f>
        <v>20.6433</v>
      </c>
      <c r="C173" s="4">
        <f>20.2528 * CHOOSE(CONTROL!$C$14, $C$14, 100%, $E$14) + CHOOSE(CONTROL!$C$33, 0.0272, 0)</f>
        <v>20.28</v>
      </c>
      <c r="D173" s="4">
        <f>29.9429 * CHOOSE(CONTROL!$C$14, $C$14, 100%, $E$14) + CHOOSE(CONTROL!$C$33, 0.0021, 0)</f>
        <v>29.945</v>
      </c>
      <c r="E173" s="4">
        <f>128.871678323247 * CHOOSE(CONTROL!$C$14, $C$14, 100%, $E$14) + CHOOSE(CONTROL!$C$33, 0.0021, 0)</f>
        <v>128.87377832324702</v>
      </c>
    </row>
    <row r="174" spans="1:5" ht="15">
      <c r="A174" s="11">
        <v>46388</v>
      </c>
      <c r="B174" s="4">
        <f>20.2278 * CHOOSE(CONTROL!$C$14, $C$14, 100%, $E$14) + CHOOSE(CONTROL!$C$33, 0.0272, 0)</f>
        <v>20.254999999999999</v>
      </c>
      <c r="C174" s="4">
        <f>19.8645 * CHOOSE(CONTROL!$C$14, $C$14, 100%, $E$14) + CHOOSE(CONTROL!$C$33, 0.0272, 0)</f>
        <v>19.8917</v>
      </c>
      <c r="D174" s="4">
        <f>29.2998 * CHOOSE(CONTROL!$C$14, $C$14, 100%, $E$14) + CHOOSE(CONTROL!$C$33, 0.0021, 0)</f>
        <v>29.3019</v>
      </c>
      <c r="E174" s="4">
        <f>126.340166571441 * CHOOSE(CONTROL!$C$14, $C$14, 100%, $E$14) + CHOOSE(CONTROL!$C$33, 0.0021, 0)</f>
        <v>126.342266571441</v>
      </c>
    </row>
    <row r="175" spans="1:5" ht="15">
      <c r="A175" s="11">
        <v>46419</v>
      </c>
      <c r="B175" s="4">
        <f>20.6897 * CHOOSE(CONTROL!$C$14, $C$14, 100%, $E$14) + CHOOSE(CONTROL!$C$33, 0.0272, 0)</f>
        <v>20.716899999999999</v>
      </c>
      <c r="C175" s="4">
        <f>20.3264 * CHOOSE(CONTROL!$C$14, $C$14, 100%, $E$14) + CHOOSE(CONTROL!$C$33, 0.0272, 0)</f>
        <v>20.3536</v>
      </c>
      <c r="D175" s="4">
        <f>30.2685 * CHOOSE(CONTROL!$C$14, $C$14, 100%, $E$14) + CHOOSE(CONTROL!$C$33, 0.0021, 0)</f>
        <v>30.270599999999998</v>
      </c>
      <c r="E175" s="4">
        <f>129.339980021002 * CHOOSE(CONTROL!$C$14, $C$14, 100%, $E$14) + CHOOSE(CONTROL!$C$33, 0.0021, 0)</f>
        <v>129.342080021002</v>
      </c>
    </row>
    <row r="176" spans="1:5" ht="15">
      <c r="A176" s="11">
        <v>46447</v>
      </c>
      <c r="B176" s="4">
        <f>21.9027 * CHOOSE(CONTROL!$C$14, $C$14, 100%, $E$14) + CHOOSE(CONTROL!$C$33, 0.0272, 0)</f>
        <v>21.9299</v>
      </c>
      <c r="C176" s="4">
        <f>21.5394 * CHOOSE(CONTROL!$C$14, $C$14, 100%, $E$14) + CHOOSE(CONTROL!$C$33, 0.0272, 0)</f>
        <v>21.566600000000001</v>
      </c>
      <c r="D176" s="4">
        <f>31.785 * CHOOSE(CONTROL!$C$14, $C$14, 100%, $E$14) + CHOOSE(CONTROL!$C$33, 0.0021, 0)</f>
        <v>31.787099999999999</v>
      </c>
      <c r="E176" s="4">
        <f>137.217649559318 * CHOOSE(CONTROL!$C$14, $C$14, 100%, $E$14) + CHOOSE(CONTROL!$C$33, 0.0021, 0)</f>
        <v>137.21974955931802</v>
      </c>
    </row>
    <row r="177" spans="1:5" ht="15">
      <c r="A177" s="11">
        <v>46478</v>
      </c>
      <c r="B177" s="4">
        <f>22.7646 * CHOOSE(CONTROL!$C$14, $C$14, 100%, $E$14) + CHOOSE(CONTROL!$C$33, 0.0272, 0)</f>
        <v>22.791800000000002</v>
      </c>
      <c r="C177" s="4">
        <f>22.4013 * CHOOSE(CONTROL!$C$14, $C$14, 100%, $E$14) + CHOOSE(CONTROL!$C$33, 0.0272, 0)</f>
        <v>22.4285</v>
      </c>
      <c r="D177" s="4">
        <f>32.6586 * CHOOSE(CONTROL!$C$14, $C$14, 100%, $E$14) + CHOOSE(CONTROL!$C$33, 0.0021, 0)</f>
        <v>32.660699999999999</v>
      </c>
      <c r="E177" s="4">
        <f>142.814838750042 * CHOOSE(CONTROL!$C$14, $C$14, 100%, $E$14) + CHOOSE(CONTROL!$C$33, 0.0021, 0)</f>
        <v>142.816938750042</v>
      </c>
    </row>
    <row r="178" spans="1:5" ht="15">
      <c r="A178" s="11">
        <v>46508</v>
      </c>
      <c r="B178" s="4">
        <f>23.2912 * CHOOSE(CONTROL!$C$14, $C$14, 100%, $E$14) + CHOOSE(CONTROL!$C$33, 0.0304, 0)</f>
        <v>23.3216</v>
      </c>
      <c r="C178" s="4">
        <f>22.9279 * CHOOSE(CONTROL!$C$14, $C$14, 100%, $E$14) + CHOOSE(CONTROL!$C$33, 0.0304, 0)</f>
        <v>22.958300000000001</v>
      </c>
      <c r="D178" s="4">
        <f>32.3134 * CHOOSE(CONTROL!$C$14, $C$14, 100%, $E$14) + CHOOSE(CONTROL!$C$33, 0.0021, 0)</f>
        <v>32.3155</v>
      </c>
      <c r="E178" s="4">
        <f>146.234587199671 * CHOOSE(CONTROL!$C$14, $C$14, 100%, $E$14) + CHOOSE(CONTROL!$C$33, 0.0021, 0)</f>
        <v>146.23668719967102</v>
      </c>
    </row>
    <row r="179" spans="1:5" ht="15">
      <c r="A179" s="11">
        <v>46539</v>
      </c>
      <c r="B179" s="4">
        <f>23.3624 * CHOOSE(CONTROL!$C$14, $C$14, 100%, $E$14) + CHOOSE(CONTROL!$C$33, 0.0304, 0)</f>
        <v>23.392800000000001</v>
      </c>
      <c r="C179" s="4">
        <f>22.9991 * CHOOSE(CONTROL!$C$14, $C$14, 100%, $E$14) + CHOOSE(CONTROL!$C$33, 0.0304, 0)</f>
        <v>23.029499999999999</v>
      </c>
      <c r="D179" s="4">
        <f>32.5945 * CHOOSE(CONTROL!$C$14, $C$14, 100%, $E$14) + CHOOSE(CONTROL!$C$33, 0.0021, 0)</f>
        <v>32.596599999999995</v>
      </c>
      <c r="E179" s="4">
        <f>146.697293357154 * CHOOSE(CONTROL!$C$14, $C$14, 100%, $E$14) + CHOOSE(CONTROL!$C$33, 0.0021, 0)</f>
        <v>146.69939335715401</v>
      </c>
    </row>
    <row r="180" spans="1:5" ht="15">
      <c r="A180" s="11">
        <v>46569</v>
      </c>
      <c r="B180" s="4">
        <f>23.3552 * CHOOSE(CONTROL!$C$14, $C$14, 100%, $E$14) + CHOOSE(CONTROL!$C$33, 0.0304, 0)</f>
        <v>23.3856</v>
      </c>
      <c r="C180" s="4">
        <f>22.992 * CHOOSE(CONTROL!$C$14, $C$14, 100%, $E$14) + CHOOSE(CONTROL!$C$33, 0.0304, 0)</f>
        <v>23.022400000000001</v>
      </c>
      <c r="D180" s="4">
        <f>33.1018 * CHOOSE(CONTROL!$C$14, $C$14, 100%, $E$14) + CHOOSE(CONTROL!$C$33, 0.0021, 0)</f>
        <v>33.103899999999996</v>
      </c>
      <c r="E180" s="4">
        <f>146.650633912702 * CHOOSE(CONTROL!$C$14, $C$14, 100%, $E$14) + CHOOSE(CONTROL!$C$33, 0.0021, 0)</f>
        <v>146.65273391270202</v>
      </c>
    </row>
    <row r="181" spans="1:5" ht="15">
      <c r="A181" s="11">
        <v>46600</v>
      </c>
      <c r="B181" s="4">
        <f>23.8959 * CHOOSE(CONTROL!$C$14, $C$14, 100%, $E$14) + CHOOSE(CONTROL!$C$33, 0.0304, 0)</f>
        <v>23.926300000000001</v>
      </c>
      <c r="C181" s="4">
        <f>23.5326 * CHOOSE(CONTROL!$C$14, $C$14, 100%, $E$14) + CHOOSE(CONTROL!$C$33, 0.0304, 0)</f>
        <v>23.562999999999999</v>
      </c>
      <c r="D181" s="4">
        <f>32.7668 * CHOOSE(CONTROL!$C$14, $C$14, 100%, $E$14) + CHOOSE(CONTROL!$C$33, 0.0021, 0)</f>
        <v>32.768900000000002</v>
      </c>
      <c r="E181" s="4">
        <f>150.161757107716 * CHOOSE(CONTROL!$C$14, $C$14, 100%, $E$14) + CHOOSE(CONTROL!$C$33, 0.0021, 0)</f>
        <v>150.16385710771601</v>
      </c>
    </row>
    <row r="182" spans="1:5" ht="15">
      <c r="A182" s="11">
        <v>46631</v>
      </c>
      <c r="B182" s="4">
        <f>22.9744 * CHOOSE(CONTROL!$C$14, $C$14, 100%, $E$14) + CHOOSE(CONTROL!$C$33, 0.0304, 0)</f>
        <v>23.004799999999999</v>
      </c>
      <c r="C182" s="4">
        <f>22.6112 * CHOOSE(CONTROL!$C$14, $C$14, 100%, $E$14) + CHOOSE(CONTROL!$C$33, 0.0304, 0)</f>
        <v>22.6416</v>
      </c>
      <c r="D182" s="4">
        <f>32.6085 * CHOOSE(CONTROL!$C$14, $C$14, 100%, $E$14) + CHOOSE(CONTROL!$C$33, 0.0021, 0)</f>
        <v>32.610599999999998</v>
      </c>
      <c r="E182" s="4">
        <f>144.177683356745 * CHOOSE(CONTROL!$C$14, $C$14, 100%, $E$14) + CHOOSE(CONTROL!$C$33, 0.0021, 0)</f>
        <v>144.17978335674502</v>
      </c>
    </row>
    <row r="183" spans="1:5" ht="15">
      <c r="A183" s="11">
        <v>46661</v>
      </c>
      <c r="B183" s="4">
        <f>22.2368 * CHOOSE(CONTROL!$C$14, $C$14, 100%, $E$14) + CHOOSE(CONTROL!$C$33, 0.0272, 0)</f>
        <v>22.263999999999999</v>
      </c>
      <c r="C183" s="4">
        <f>21.8735 * CHOOSE(CONTROL!$C$14, $C$14, 100%, $E$14) + CHOOSE(CONTROL!$C$33, 0.0272, 0)</f>
        <v>21.900700000000001</v>
      </c>
      <c r="D183" s="4">
        <f>32.1847 * CHOOSE(CONTROL!$C$14, $C$14, 100%, $E$14) + CHOOSE(CONTROL!$C$33, 0.0021, 0)</f>
        <v>32.186799999999998</v>
      </c>
      <c r="E183" s="4">
        <f>139.387313726337 * CHOOSE(CONTROL!$C$14, $C$14, 100%, $E$14) + CHOOSE(CONTROL!$C$33, 0.0021, 0)</f>
        <v>139.38941372633701</v>
      </c>
    </row>
    <row r="184" spans="1:5" ht="15">
      <c r="A184" s="11">
        <v>46692</v>
      </c>
      <c r="B184" s="4">
        <f>21.7617 * CHOOSE(CONTROL!$C$14, $C$14, 100%, $E$14) + CHOOSE(CONTROL!$C$33, 0.0272, 0)</f>
        <v>21.788900000000002</v>
      </c>
      <c r="C184" s="4">
        <f>21.3984 * CHOOSE(CONTROL!$C$14, $C$14, 100%, $E$14) + CHOOSE(CONTROL!$C$33, 0.0272, 0)</f>
        <v>21.425599999999999</v>
      </c>
      <c r="D184" s="4">
        <f>32.039 * CHOOSE(CONTROL!$C$14, $C$14, 100%, $E$14) + CHOOSE(CONTROL!$C$33, 0.0021, 0)</f>
        <v>32.0411</v>
      </c>
      <c r="E184" s="4">
        <f>136.301957961947 * CHOOSE(CONTROL!$C$14, $C$14, 100%, $E$14) + CHOOSE(CONTROL!$C$33, 0.0021, 0)</f>
        <v>136.30405796194702</v>
      </c>
    </row>
    <row r="185" spans="1:5" ht="15">
      <c r="A185" s="11">
        <v>46722</v>
      </c>
      <c r="B185" s="4">
        <f>21.433 * CHOOSE(CONTROL!$C$14, $C$14, 100%, $E$14) + CHOOSE(CONTROL!$C$33, 0.0272, 0)</f>
        <v>21.4602</v>
      </c>
      <c r="C185" s="4">
        <f>21.0697 * CHOOSE(CONTROL!$C$14, $C$14, 100%, $E$14) + CHOOSE(CONTROL!$C$33, 0.0272, 0)</f>
        <v>21.096900000000002</v>
      </c>
      <c r="D185" s="4">
        <f>30.9664 * CHOOSE(CONTROL!$C$14, $C$14, 100%, $E$14) + CHOOSE(CONTROL!$C$33, 0.0021, 0)</f>
        <v>30.968499999999999</v>
      </c>
      <c r="E185" s="4">
        <f>134.167288378267 * CHOOSE(CONTROL!$C$14, $C$14, 100%, $E$14) + CHOOSE(CONTROL!$C$33, 0.0021, 0)</f>
        <v>134.169388378267</v>
      </c>
    </row>
    <row r="186" spans="1:5" ht="15">
      <c r="A186" s="11">
        <v>46753</v>
      </c>
      <c r="B186" s="4">
        <f>21.0009 * CHOOSE(CONTROL!$C$14, $C$14, 100%, $E$14) + CHOOSE(CONTROL!$C$33, 0.0272, 0)</f>
        <v>21.028100000000002</v>
      </c>
      <c r="C186" s="4">
        <f>20.6376 * CHOOSE(CONTROL!$C$14, $C$14, 100%, $E$14) + CHOOSE(CONTROL!$C$33, 0.0272, 0)</f>
        <v>20.6648</v>
      </c>
      <c r="D186" s="4">
        <f>30.261 * CHOOSE(CONTROL!$C$14, $C$14, 100%, $E$14) + CHOOSE(CONTROL!$C$33, 0.0021, 0)</f>
        <v>30.263099999999998</v>
      </c>
      <c r="E186" s="4">
        <f>131.532045939637 * CHOOSE(CONTROL!$C$14, $C$14, 100%, $E$14) + CHOOSE(CONTROL!$C$33, 0.0021, 0)</f>
        <v>131.534145939637</v>
      </c>
    </row>
    <row r="187" spans="1:5" ht="15">
      <c r="A187" s="11">
        <v>46784</v>
      </c>
      <c r="B187" s="4">
        <f>21.4812 * CHOOSE(CONTROL!$C$14, $C$14, 100%, $E$14) + CHOOSE(CONTROL!$C$33, 0.0272, 0)</f>
        <v>21.508400000000002</v>
      </c>
      <c r="C187" s="4">
        <f>21.1179 * CHOOSE(CONTROL!$C$14, $C$14, 100%, $E$14) + CHOOSE(CONTROL!$C$33, 0.0272, 0)</f>
        <v>21.145099999999999</v>
      </c>
      <c r="D187" s="4">
        <f>31.2637 * CHOOSE(CONTROL!$C$14, $C$14, 100%, $E$14) + CHOOSE(CONTROL!$C$33, 0.0021, 0)</f>
        <v>31.265799999999999</v>
      </c>
      <c r="E187" s="4">
        <f>134.655135066125 * CHOOSE(CONTROL!$C$14, $C$14, 100%, $E$14) + CHOOSE(CONTROL!$C$33, 0.0021, 0)</f>
        <v>134.65723506612503</v>
      </c>
    </row>
    <row r="188" spans="1:5" ht="15">
      <c r="A188" s="11">
        <v>46813</v>
      </c>
      <c r="B188" s="4">
        <f>22.7424 * CHOOSE(CONTROL!$C$14, $C$14, 100%, $E$14) + CHOOSE(CONTROL!$C$33, 0.0272, 0)</f>
        <v>22.769600000000001</v>
      </c>
      <c r="C188" s="4">
        <f>22.3792 * CHOOSE(CONTROL!$C$14, $C$14, 100%, $E$14) + CHOOSE(CONTROL!$C$33, 0.0272, 0)</f>
        <v>22.406400000000001</v>
      </c>
      <c r="D188" s="4">
        <f>32.8333 * CHOOSE(CONTROL!$C$14, $C$14, 100%, $E$14) + CHOOSE(CONTROL!$C$33, 0.0021, 0)</f>
        <v>32.8354</v>
      </c>
      <c r="E188" s="4">
        <f>142.85653308332 * CHOOSE(CONTROL!$C$14, $C$14, 100%, $E$14) + CHOOSE(CONTROL!$C$33, 0.0021, 0)</f>
        <v>142.85863308332</v>
      </c>
    </row>
    <row r="189" spans="1:5" ht="15">
      <c r="A189" s="11">
        <v>46844</v>
      </c>
      <c r="B189" s="4">
        <f>23.6386 * CHOOSE(CONTROL!$C$14, $C$14, 100%, $E$14) + CHOOSE(CONTROL!$C$33, 0.0272, 0)</f>
        <v>23.665800000000001</v>
      </c>
      <c r="C189" s="4">
        <f>23.2753 * CHOOSE(CONTROL!$C$14, $C$14, 100%, $E$14) + CHOOSE(CONTROL!$C$33, 0.0272, 0)</f>
        <v>23.302500000000002</v>
      </c>
      <c r="D189" s="4">
        <f>33.7375 * CHOOSE(CONTROL!$C$14, $C$14, 100%, $E$14) + CHOOSE(CONTROL!$C$33, 0.0021, 0)</f>
        <v>33.739599999999996</v>
      </c>
      <c r="E189" s="4">
        <f>148.683735672536 * CHOOSE(CONTROL!$C$14, $C$14, 100%, $E$14) + CHOOSE(CONTROL!$C$33, 0.0021, 0)</f>
        <v>148.685835672536</v>
      </c>
    </row>
    <row r="190" spans="1:5" ht="15">
      <c r="A190" s="11">
        <v>46874</v>
      </c>
      <c r="B190" s="4">
        <f>24.1861 * CHOOSE(CONTROL!$C$14, $C$14, 100%, $E$14) + CHOOSE(CONTROL!$C$33, 0.0304, 0)</f>
        <v>24.2165</v>
      </c>
      <c r="C190" s="4">
        <f>23.8228 * CHOOSE(CONTROL!$C$14, $C$14, 100%, $E$14) + CHOOSE(CONTROL!$C$33, 0.0304, 0)</f>
        <v>23.853200000000001</v>
      </c>
      <c r="D190" s="4">
        <f>33.3802 * CHOOSE(CONTROL!$C$14, $C$14, 100%, $E$14) + CHOOSE(CONTROL!$C$33, 0.0021, 0)</f>
        <v>33.382300000000001</v>
      </c>
      <c r="E190" s="4">
        <f>152.244016795993 * CHOOSE(CONTROL!$C$14, $C$14, 100%, $E$14) + CHOOSE(CONTROL!$C$33, 0.0021, 0)</f>
        <v>152.246116795993</v>
      </c>
    </row>
    <row r="191" spans="1:5" ht="15">
      <c r="A191" s="11">
        <v>46905</v>
      </c>
      <c r="B191" s="4">
        <f>24.2602 * CHOOSE(CONTROL!$C$14, $C$14, 100%, $E$14) + CHOOSE(CONTROL!$C$33, 0.0304, 0)</f>
        <v>24.290600000000001</v>
      </c>
      <c r="C191" s="4">
        <f>23.8969 * CHOOSE(CONTROL!$C$14, $C$14, 100%, $E$14) + CHOOSE(CONTROL!$C$33, 0.0304, 0)</f>
        <v>23.927299999999999</v>
      </c>
      <c r="D191" s="4">
        <f>33.6712 * CHOOSE(CONTROL!$C$14, $C$14, 100%, $E$14) + CHOOSE(CONTROL!$C$33, 0.0021, 0)</f>
        <v>33.673299999999998</v>
      </c>
      <c r="E191" s="4">
        <f>152.725737607467 * CHOOSE(CONTROL!$C$14, $C$14, 100%, $E$14) + CHOOSE(CONTROL!$C$33, 0.0021, 0)</f>
        <v>152.72783760746702</v>
      </c>
    </row>
    <row r="192" spans="1:5" ht="15">
      <c r="A192" s="11">
        <v>46935</v>
      </c>
      <c r="B192" s="4">
        <f>24.2527 * CHOOSE(CONTROL!$C$14, $C$14, 100%, $E$14) + CHOOSE(CONTROL!$C$33, 0.0304, 0)</f>
        <v>24.283100000000001</v>
      </c>
      <c r="C192" s="4">
        <f>23.8894 * CHOOSE(CONTROL!$C$14, $C$14, 100%, $E$14) + CHOOSE(CONTROL!$C$33, 0.0304, 0)</f>
        <v>23.919799999999999</v>
      </c>
      <c r="D192" s="4">
        <f>34.1962 * CHOOSE(CONTROL!$C$14, $C$14, 100%, $E$14) + CHOOSE(CONTROL!$C$33, 0.0021, 0)</f>
        <v>34.198299999999996</v>
      </c>
      <c r="E192" s="4">
        <f>152.677160718915 * CHOOSE(CONTROL!$C$14, $C$14, 100%, $E$14) + CHOOSE(CONTROL!$C$33, 0.0021, 0)</f>
        <v>152.679260718915</v>
      </c>
    </row>
    <row r="193" spans="1:5" ht="15">
      <c r="A193" s="11">
        <v>46966</v>
      </c>
      <c r="B193" s="4">
        <f>24.8148 * CHOOSE(CONTROL!$C$14, $C$14, 100%, $E$14) + CHOOSE(CONTROL!$C$33, 0.0304, 0)</f>
        <v>24.845200000000002</v>
      </c>
      <c r="C193" s="4">
        <f>24.4515 * CHOOSE(CONTROL!$C$14, $C$14, 100%, $E$14) + CHOOSE(CONTROL!$C$33, 0.0304, 0)</f>
        <v>24.4819</v>
      </c>
      <c r="D193" s="4">
        <f>33.8495 * CHOOSE(CONTROL!$C$14, $C$14, 100%, $E$14) + CHOOSE(CONTROL!$C$33, 0.0021, 0)</f>
        <v>33.851599999999998</v>
      </c>
      <c r="E193" s="4">
        <f>156.332571582452 * CHOOSE(CONTROL!$C$14, $C$14, 100%, $E$14) + CHOOSE(CONTROL!$C$33, 0.0021, 0)</f>
        <v>156.33467158245202</v>
      </c>
    </row>
    <row r="194" spans="1:5" ht="15">
      <c r="A194" s="11">
        <v>46997</v>
      </c>
      <c r="B194" s="4">
        <f>23.8568 * CHOOSE(CONTROL!$C$14, $C$14, 100%, $E$14) + CHOOSE(CONTROL!$C$33, 0.0304, 0)</f>
        <v>23.8872</v>
      </c>
      <c r="C194" s="4">
        <f>23.4935 * CHOOSE(CONTROL!$C$14, $C$14, 100%, $E$14) + CHOOSE(CONTROL!$C$33, 0.0304, 0)</f>
        <v>23.523900000000001</v>
      </c>
      <c r="D194" s="4">
        <f>33.6856 * CHOOSE(CONTROL!$C$14, $C$14, 100%, $E$14) + CHOOSE(CONTROL!$C$33, 0.0021, 0)</f>
        <v>33.6877</v>
      </c>
      <c r="E194" s="4">
        <f>150.102585625659 * CHOOSE(CONTROL!$C$14, $C$14, 100%, $E$14) + CHOOSE(CONTROL!$C$33, 0.0021, 0)</f>
        <v>150.10468562565902</v>
      </c>
    </row>
    <row r="195" spans="1:5" ht="15">
      <c r="A195" s="11">
        <v>47027</v>
      </c>
      <c r="B195" s="4">
        <f>23.0898 * CHOOSE(CONTROL!$C$14, $C$14, 100%, $E$14) + CHOOSE(CONTROL!$C$33, 0.0272, 0)</f>
        <v>23.117000000000001</v>
      </c>
      <c r="C195" s="4">
        <f>22.7265 * CHOOSE(CONTROL!$C$14, $C$14, 100%, $E$14) + CHOOSE(CONTROL!$C$33, 0.0272, 0)</f>
        <v>22.753700000000002</v>
      </c>
      <c r="D195" s="4">
        <f>33.247 * CHOOSE(CONTROL!$C$14, $C$14, 100%, $E$14) + CHOOSE(CONTROL!$C$33, 0.0021, 0)</f>
        <v>33.249099999999999</v>
      </c>
      <c r="E195" s="4">
        <f>145.115358400988 * CHOOSE(CONTROL!$C$14, $C$14, 100%, $E$14) + CHOOSE(CONTROL!$C$33, 0.0021, 0)</f>
        <v>145.117458400988</v>
      </c>
    </row>
    <row r="196" spans="1:5" ht="15">
      <c r="A196" s="11">
        <v>47058</v>
      </c>
      <c r="B196" s="4">
        <f>22.5958 * CHOOSE(CONTROL!$C$14, $C$14, 100%, $E$14) + CHOOSE(CONTROL!$C$33, 0.0272, 0)</f>
        <v>22.623000000000001</v>
      </c>
      <c r="C196" s="4">
        <f>22.2325 * CHOOSE(CONTROL!$C$14, $C$14, 100%, $E$14) + CHOOSE(CONTROL!$C$33, 0.0272, 0)</f>
        <v>22.259700000000002</v>
      </c>
      <c r="D196" s="4">
        <f>33.0962 * CHOOSE(CONTROL!$C$14, $C$14, 100%, $E$14) + CHOOSE(CONTROL!$C$33, 0.0021, 0)</f>
        <v>33.098300000000002</v>
      </c>
      <c r="E196" s="4">
        <f>141.903211645487 * CHOOSE(CONTROL!$C$14, $C$14, 100%, $E$14) + CHOOSE(CONTROL!$C$33, 0.0021, 0)</f>
        <v>141.90531164548702</v>
      </c>
    </row>
    <row r="197" spans="1:5" ht="15">
      <c r="A197" s="11">
        <v>47088</v>
      </c>
      <c r="B197" s="4">
        <f>22.2541 * CHOOSE(CONTROL!$C$14, $C$14, 100%, $E$14) + CHOOSE(CONTROL!$C$33, 0.0272, 0)</f>
        <v>22.281300000000002</v>
      </c>
      <c r="C197" s="4">
        <f>21.8908 * CHOOSE(CONTROL!$C$14, $C$14, 100%, $E$14) + CHOOSE(CONTROL!$C$33, 0.0272, 0)</f>
        <v>21.917999999999999</v>
      </c>
      <c r="D197" s="4">
        <f>31.986 * CHOOSE(CONTROL!$C$14, $C$14, 100%, $E$14) + CHOOSE(CONTROL!$C$33, 0.0021, 0)</f>
        <v>31.988099999999999</v>
      </c>
      <c r="E197" s="4">
        <f>139.680818994234 * CHOOSE(CONTROL!$C$14, $C$14, 100%, $E$14) + CHOOSE(CONTROL!$C$33, 0.0021, 0)</f>
        <v>139.682918994234</v>
      </c>
    </row>
    <row r="198" spans="1:5" ht="15">
      <c r="A198" s="11">
        <v>47119</v>
      </c>
      <c r="B198" s="4">
        <f>21.8497 * CHOOSE(CONTROL!$C$14, $C$14, 100%, $E$14) + CHOOSE(CONTROL!$C$33, 0.0272, 0)</f>
        <v>21.876899999999999</v>
      </c>
      <c r="C198" s="4">
        <f>21.4864 * CHOOSE(CONTROL!$C$14, $C$14, 100%, $E$14) + CHOOSE(CONTROL!$C$33, 0.0272, 0)</f>
        <v>21.5136</v>
      </c>
      <c r="D198" s="4">
        <f>31.2594 * CHOOSE(CONTROL!$C$14, $C$14, 100%, $E$14) + CHOOSE(CONTROL!$C$33, 0.0021, 0)</f>
        <v>31.261499999999998</v>
      </c>
      <c r="E198" s="4">
        <f>136.937410973111 * CHOOSE(CONTROL!$C$14, $C$14, 100%, $E$14) + CHOOSE(CONTROL!$C$33, 0.0021, 0)</f>
        <v>136.93951097311103</v>
      </c>
    </row>
    <row r="199" spans="1:5" ht="15">
      <c r="A199" s="11">
        <v>47150</v>
      </c>
      <c r="B199" s="4">
        <f>22.3502 * CHOOSE(CONTROL!$C$14, $C$14, 100%, $E$14) + CHOOSE(CONTROL!$C$33, 0.0272, 0)</f>
        <v>22.377400000000002</v>
      </c>
      <c r="C199" s="4">
        <f>21.9869 * CHOOSE(CONTROL!$C$14, $C$14, 100%, $E$14) + CHOOSE(CONTROL!$C$33, 0.0272, 0)</f>
        <v>22.014099999999999</v>
      </c>
      <c r="D199" s="4">
        <f>32.2973 * CHOOSE(CONTROL!$C$14, $C$14, 100%, $E$14) + CHOOSE(CONTROL!$C$33, 0.0021, 0)</f>
        <v>32.299399999999999</v>
      </c>
      <c r="E199" s="4">
        <f>140.188844767548 * CHOOSE(CONTROL!$C$14, $C$14, 100%, $E$14) + CHOOSE(CONTROL!$C$33, 0.0021, 0)</f>
        <v>140.19094476754802</v>
      </c>
    </row>
    <row r="200" spans="1:5" ht="15">
      <c r="A200" s="11">
        <v>47178</v>
      </c>
      <c r="B200" s="4">
        <f>23.6643 * CHOOSE(CONTROL!$C$14, $C$14, 100%, $E$14) + CHOOSE(CONTROL!$C$33, 0.0272, 0)</f>
        <v>23.691500000000001</v>
      </c>
      <c r="C200" s="4">
        <f>23.301 * CHOOSE(CONTROL!$C$14, $C$14, 100%, $E$14) + CHOOSE(CONTROL!$C$33, 0.0272, 0)</f>
        <v>23.328199999999999</v>
      </c>
      <c r="D200" s="4">
        <f>33.9221 * CHOOSE(CONTROL!$C$14, $C$14, 100%, $E$14) + CHOOSE(CONTROL!$C$33, 0.0021, 0)</f>
        <v>33.924199999999999</v>
      </c>
      <c r="E200" s="4">
        <f>148.727282703426 * CHOOSE(CONTROL!$C$14, $C$14, 100%, $E$14) + CHOOSE(CONTROL!$C$33, 0.0021, 0)</f>
        <v>148.72938270342601</v>
      </c>
    </row>
    <row r="201" spans="1:5" ht="15">
      <c r="A201" s="11">
        <v>47209</v>
      </c>
      <c r="B201" s="4">
        <f>24.5981 * CHOOSE(CONTROL!$C$14, $C$14, 100%, $E$14) + CHOOSE(CONTROL!$C$33, 0.0272, 0)</f>
        <v>24.625299999999999</v>
      </c>
      <c r="C201" s="4">
        <f>24.2348 * CHOOSE(CONTROL!$C$14, $C$14, 100%, $E$14) + CHOOSE(CONTROL!$C$33, 0.0272, 0)</f>
        <v>24.262</v>
      </c>
      <c r="D201" s="4">
        <f>34.858 * CHOOSE(CONTROL!$C$14, $C$14, 100%, $E$14) + CHOOSE(CONTROL!$C$33, 0.0021, 0)</f>
        <v>34.860099999999996</v>
      </c>
      <c r="E201" s="4">
        <f>154.793956646514 * CHOOSE(CONTROL!$C$14, $C$14, 100%, $E$14) + CHOOSE(CONTROL!$C$33, 0.0021, 0)</f>
        <v>154.79605664651402</v>
      </c>
    </row>
    <row r="202" spans="1:5" ht="15">
      <c r="A202" s="11">
        <v>47239</v>
      </c>
      <c r="B202" s="4">
        <f>25.1686 * CHOOSE(CONTROL!$C$14, $C$14, 100%, $E$14) + CHOOSE(CONTROL!$C$33, 0.0304, 0)</f>
        <v>25.199000000000002</v>
      </c>
      <c r="C202" s="4">
        <f>24.8053 * CHOOSE(CONTROL!$C$14, $C$14, 100%, $E$14) + CHOOSE(CONTROL!$C$33, 0.0304, 0)</f>
        <v>24.835699999999999</v>
      </c>
      <c r="D202" s="4">
        <f>34.4882 * CHOOSE(CONTROL!$C$14, $C$14, 100%, $E$14) + CHOOSE(CONTROL!$C$33, 0.0021, 0)</f>
        <v>34.490299999999998</v>
      </c>
      <c r="E202" s="4">
        <f>158.500549027859 * CHOOSE(CONTROL!$C$14, $C$14, 100%, $E$14) + CHOOSE(CONTROL!$C$33, 0.0021, 0)</f>
        <v>158.50264902785901</v>
      </c>
    </row>
    <row r="203" spans="1:5" ht="15">
      <c r="A203" s="11">
        <v>47270</v>
      </c>
      <c r="B203" s="4">
        <f>25.2457 * CHOOSE(CONTROL!$C$14, $C$14, 100%, $E$14) + CHOOSE(CONTROL!$C$33, 0.0304, 0)</f>
        <v>25.2761</v>
      </c>
      <c r="C203" s="4">
        <f>24.8825 * CHOOSE(CONTROL!$C$14, $C$14, 100%, $E$14) + CHOOSE(CONTROL!$C$33, 0.0304, 0)</f>
        <v>24.9129</v>
      </c>
      <c r="D203" s="4">
        <f>34.7894 * CHOOSE(CONTROL!$C$14, $C$14, 100%, $E$14) + CHOOSE(CONTROL!$C$33, 0.0021, 0)</f>
        <v>34.791499999999999</v>
      </c>
      <c r="E203" s="4">
        <f>159.00206635973 * CHOOSE(CONTROL!$C$14, $C$14, 100%, $E$14) + CHOOSE(CONTROL!$C$33, 0.0021, 0)</f>
        <v>159.00416635973002</v>
      </c>
    </row>
    <row r="204" spans="1:5" ht="15">
      <c r="A204" s="11">
        <v>47300</v>
      </c>
      <c r="B204" s="4">
        <f>25.238 * CHOOSE(CONTROL!$C$14, $C$14, 100%, $E$14) + CHOOSE(CONTROL!$C$33, 0.0304, 0)</f>
        <v>25.2684</v>
      </c>
      <c r="C204" s="4">
        <f>24.8747 * CHOOSE(CONTROL!$C$14, $C$14, 100%, $E$14) + CHOOSE(CONTROL!$C$33, 0.0304, 0)</f>
        <v>24.905100000000001</v>
      </c>
      <c r="D204" s="4">
        <f>35.3328 * CHOOSE(CONTROL!$C$14, $C$14, 100%, $E$14) + CHOOSE(CONTROL!$C$33, 0.0021, 0)</f>
        <v>35.334899999999998</v>
      </c>
      <c r="E204" s="4">
        <f>158.951493183407 * CHOOSE(CONTROL!$C$14, $C$14, 100%, $E$14) + CHOOSE(CONTROL!$C$33, 0.0021, 0)</f>
        <v>158.95359318340701</v>
      </c>
    </row>
    <row r="205" spans="1:5" ht="15">
      <c r="A205" s="11">
        <v>47331</v>
      </c>
      <c r="B205" s="4">
        <f>25.8237 * CHOOSE(CONTROL!$C$14, $C$14, 100%, $E$14) + CHOOSE(CONTROL!$C$33, 0.0304, 0)</f>
        <v>25.854099999999999</v>
      </c>
      <c r="C205" s="4">
        <f>25.4604 * CHOOSE(CONTROL!$C$14, $C$14, 100%, $E$14) + CHOOSE(CONTROL!$C$33, 0.0304, 0)</f>
        <v>25.4908</v>
      </c>
      <c r="D205" s="4">
        <f>34.9739 * CHOOSE(CONTROL!$C$14, $C$14, 100%, $E$14) + CHOOSE(CONTROL!$C$33, 0.0021, 0)</f>
        <v>34.975999999999999</v>
      </c>
      <c r="E205" s="4">
        <f>162.757124701718 * CHOOSE(CONTROL!$C$14, $C$14, 100%, $E$14) + CHOOSE(CONTROL!$C$33, 0.0021, 0)</f>
        <v>162.75922470171801</v>
      </c>
    </row>
    <row r="206" spans="1:5" ht="15">
      <c r="A206" s="11">
        <v>47362</v>
      </c>
      <c r="B206" s="4">
        <f>24.8254 * CHOOSE(CONTROL!$C$14, $C$14, 100%, $E$14) + CHOOSE(CONTROL!$C$33, 0.0304, 0)</f>
        <v>24.855799999999999</v>
      </c>
      <c r="C206" s="4">
        <f>24.4621 * CHOOSE(CONTROL!$C$14, $C$14, 100%, $E$14) + CHOOSE(CONTROL!$C$33, 0.0304, 0)</f>
        <v>24.4925</v>
      </c>
      <c r="D206" s="4">
        <f>34.8043 * CHOOSE(CONTROL!$C$14, $C$14, 100%, $E$14) + CHOOSE(CONTROL!$C$33, 0.0021, 0)</f>
        <v>34.806399999999996</v>
      </c>
      <c r="E206" s="4">
        <f>156.271114838284 * CHOOSE(CONTROL!$C$14, $C$14, 100%, $E$14) + CHOOSE(CONTROL!$C$33, 0.0021, 0)</f>
        <v>156.27321483828402</v>
      </c>
    </row>
    <row r="207" spans="1:5" ht="15">
      <c r="A207" s="11">
        <v>47392</v>
      </c>
      <c r="B207" s="4">
        <f>24.0263 * CHOOSE(CONTROL!$C$14, $C$14, 100%, $E$14) + CHOOSE(CONTROL!$C$33, 0.0272, 0)</f>
        <v>24.0535</v>
      </c>
      <c r="C207" s="4">
        <f>23.663 * CHOOSE(CONTROL!$C$14, $C$14, 100%, $E$14) + CHOOSE(CONTROL!$C$33, 0.0272, 0)</f>
        <v>23.690200000000001</v>
      </c>
      <c r="D207" s="4">
        <f>34.3503 * CHOOSE(CONTROL!$C$14, $C$14, 100%, $E$14) + CHOOSE(CONTROL!$C$33, 0.0021, 0)</f>
        <v>34.352399999999996</v>
      </c>
      <c r="E207" s="4">
        <f>151.078935402449 * CHOOSE(CONTROL!$C$14, $C$14, 100%, $E$14) + CHOOSE(CONTROL!$C$33, 0.0021, 0)</f>
        <v>151.081035402449</v>
      </c>
    </row>
    <row r="208" spans="1:5" ht="15">
      <c r="A208" s="11">
        <v>47423</v>
      </c>
      <c r="B208" s="4">
        <f>23.5116 * CHOOSE(CONTROL!$C$14, $C$14, 100%, $E$14) + CHOOSE(CONTROL!$C$33, 0.0272, 0)</f>
        <v>23.538800000000002</v>
      </c>
      <c r="C208" s="4">
        <f>23.1483 * CHOOSE(CONTROL!$C$14, $C$14, 100%, $E$14) + CHOOSE(CONTROL!$C$33, 0.0272, 0)</f>
        <v>23.1755</v>
      </c>
      <c r="D208" s="4">
        <f>34.1942 * CHOOSE(CONTROL!$C$14, $C$14, 100%, $E$14) + CHOOSE(CONTROL!$C$33, 0.0021, 0)</f>
        <v>34.196300000000001</v>
      </c>
      <c r="E208" s="4">
        <f>147.734784118086 * CHOOSE(CONTROL!$C$14, $C$14, 100%, $E$14) + CHOOSE(CONTROL!$C$33, 0.0021, 0)</f>
        <v>147.73688411808601</v>
      </c>
    </row>
    <row r="209" spans="1:5" ht="15">
      <c r="A209" s="11">
        <v>47453</v>
      </c>
      <c r="B209" s="4">
        <f>23.1555 * CHOOSE(CONTROL!$C$14, $C$14, 100%, $E$14) + CHOOSE(CONTROL!$C$33, 0.0272, 0)</f>
        <v>23.182700000000001</v>
      </c>
      <c r="C209" s="4">
        <f>22.7922 * CHOOSE(CONTROL!$C$14, $C$14, 100%, $E$14) + CHOOSE(CONTROL!$C$33, 0.0272, 0)</f>
        <v>22.819400000000002</v>
      </c>
      <c r="D209" s="4">
        <f>33.045 * CHOOSE(CONTROL!$C$14, $C$14, 100%, $E$14) + CHOOSE(CONTROL!$C$33, 0.0021, 0)</f>
        <v>33.0471</v>
      </c>
      <c r="E209" s="4">
        <f>145.421061301306 * CHOOSE(CONTROL!$C$14, $C$14, 100%, $E$14) + CHOOSE(CONTROL!$C$33, 0.0021, 0)</f>
        <v>145.42316130130601</v>
      </c>
    </row>
    <row r="210" spans="1:5" ht="15">
      <c r="A210" s="11">
        <v>47484</v>
      </c>
      <c r="B210" s="4">
        <f>22.7353 * CHOOSE(CONTROL!$C$14, $C$14, 100%, $E$14) + CHOOSE(CONTROL!$C$33, 0.0272, 0)</f>
        <v>22.762499999999999</v>
      </c>
      <c r="C210" s="4">
        <f>22.372 * CHOOSE(CONTROL!$C$14, $C$14, 100%, $E$14) + CHOOSE(CONTROL!$C$33, 0.0272, 0)</f>
        <v>22.3992</v>
      </c>
      <c r="D210" s="4">
        <f>32.2986 * CHOOSE(CONTROL!$C$14, $C$14, 100%, $E$14) + CHOOSE(CONTROL!$C$33, 0.0021, 0)</f>
        <v>32.300699999999999</v>
      </c>
      <c r="E210" s="4">
        <f>142.578038614685 * CHOOSE(CONTROL!$C$14, $C$14, 100%, $E$14) + CHOOSE(CONTROL!$C$33, 0.0021, 0)</f>
        <v>142.58013861468501</v>
      </c>
    </row>
    <row r="211" spans="1:5" ht="15">
      <c r="A211" s="11">
        <v>47515</v>
      </c>
      <c r="B211" s="4">
        <f>23.2568 * CHOOSE(CONTROL!$C$14, $C$14, 100%, $E$14) + CHOOSE(CONTROL!$C$33, 0.0272, 0)</f>
        <v>23.283999999999999</v>
      </c>
      <c r="C211" s="4">
        <f>22.8935 * CHOOSE(CONTROL!$C$14, $C$14, 100%, $E$14) + CHOOSE(CONTROL!$C$33, 0.0272, 0)</f>
        <v>22.9207</v>
      </c>
      <c r="D211" s="4">
        <f>33.3732 * CHOOSE(CONTROL!$C$14, $C$14, 100%, $E$14) + CHOOSE(CONTROL!$C$33, 0.0021, 0)</f>
        <v>33.375299999999996</v>
      </c>
      <c r="E211" s="4">
        <f>145.963403138536 * CHOOSE(CONTROL!$C$14, $C$14, 100%, $E$14) + CHOOSE(CONTROL!$C$33, 0.0021, 0)</f>
        <v>145.96550313853601</v>
      </c>
    </row>
    <row r="212" spans="1:5" ht="15">
      <c r="A212" s="11">
        <v>47543</v>
      </c>
      <c r="B212" s="4">
        <f>24.6262 * CHOOSE(CONTROL!$C$14, $C$14, 100%, $E$14) + CHOOSE(CONTROL!$C$33, 0.0272, 0)</f>
        <v>24.653400000000001</v>
      </c>
      <c r="C212" s="4">
        <f>24.2629 * CHOOSE(CONTROL!$C$14, $C$14, 100%, $E$14) + CHOOSE(CONTROL!$C$33, 0.0272, 0)</f>
        <v>24.290099999999999</v>
      </c>
      <c r="D212" s="4">
        <f>35.0554 * CHOOSE(CONTROL!$C$14, $C$14, 100%, $E$14) + CHOOSE(CONTROL!$C$33, 0.0021, 0)</f>
        <v>35.057499999999997</v>
      </c>
      <c r="E212" s="4">
        <f>154.853550287366 * CHOOSE(CONTROL!$C$14, $C$14, 100%, $E$14) + CHOOSE(CONTROL!$C$33, 0.0021, 0)</f>
        <v>154.85565028736602</v>
      </c>
    </row>
    <row r="213" spans="1:5" ht="15">
      <c r="A213" s="11">
        <v>47574</v>
      </c>
      <c r="B213" s="4">
        <f>25.5991 * CHOOSE(CONTROL!$C$14, $C$14, 100%, $E$14) + CHOOSE(CONTROL!$C$33, 0.0272, 0)</f>
        <v>25.626300000000001</v>
      </c>
      <c r="C213" s="4">
        <f>25.2358 * CHOOSE(CONTROL!$C$14, $C$14, 100%, $E$14) + CHOOSE(CONTROL!$C$33, 0.0272, 0)</f>
        <v>25.263000000000002</v>
      </c>
      <c r="D213" s="4">
        <f>36.0244 * CHOOSE(CONTROL!$C$14, $C$14, 100%, $E$14) + CHOOSE(CONTROL!$C$33, 0.0021, 0)</f>
        <v>36.026499999999999</v>
      </c>
      <c r="E213" s="4">
        <f>161.170118313398 * CHOOSE(CONTROL!$C$14, $C$14, 100%, $E$14) + CHOOSE(CONTROL!$C$33, 0.0021, 0)</f>
        <v>161.17221831339802</v>
      </c>
    </row>
    <row r="214" spans="1:5" ht="15">
      <c r="A214" s="11">
        <v>47604</v>
      </c>
      <c r="B214" s="4">
        <f>26.1936 * CHOOSE(CONTROL!$C$14, $C$14, 100%, $E$14) + CHOOSE(CONTROL!$C$33, 0.0304, 0)</f>
        <v>26.224</v>
      </c>
      <c r="C214" s="4">
        <f>25.8303 * CHOOSE(CONTROL!$C$14, $C$14, 100%, $E$14) + CHOOSE(CONTROL!$C$33, 0.0304, 0)</f>
        <v>25.860700000000001</v>
      </c>
      <c r="D214" s="4">
        <f>35.6415 * CHOOSE(CONTROL!$C$14, $C$14, 100%, $E$14) + CHOOSE(CONTROL!$C$33, 0.0021, 0)</f>
        <v>35.643599999999999</v>
      </c>
      <c r="E214" s="4">
        <f>165.029389990296 * CHOOSE(CONTROL!$C$14, $C$14, 100%, $E$14) + CHOOSE(CONTROL!$C$33, 0.0021, 0)</f>
        <v>165.03148999029602</v>
      </c>
    </row>
    <row r="215" spans="1:5" ht="15">
      <c r="A215" s="11">
        <v>47635</v>
      </c>
      <c r="B215" s="4">
        <f>26.274 * CHOOSE(CONTROL!$C$14, $C$14, 100%, $E$14) + CHOOSE(CONTROL!$C$33, 0.0304, 0)</f>
        <v>26.304400000000001</v>
      </c>
      <c r="C215" s="4">
        <f>25.9107 * CHOOSE(CONTROL!$C$14, $C$14, 100%, $E$14) + CHOOSE(CONTROL!$C$33, 0.0304, 0)</f>
        <v>25.941099999999999</v>
      </c>
      <c r="D215" s="4">
        <f>35.9533 * CHOOSE(CONTROL!$C$14, $C$14, 100%, $E$14) + CHOOSE(CONTROL!$C$33, 0.0021, 0)</f>
        <v>35.955399999999997</v>
      </c>
      <c r="E215" s="4">
        <f>165.551565464487 * CHOOSE(CONTROL!$C$14, $C$14, 100%, $E$14) + CHOOSE(CONTROL!$C$33, 0.0021, 0)</f>
        <v>165.55366546448701</v>
      </c>
    </row>
    <row r="216" spans="1:5" ht="15">
      <c r="A216" s="11">
        <v>47665</v>
      </c>
      <c r="B216" s="4">
        <f>26.2659 * CHOOSE(CONTROL!$C$14, $C$14, 100%, $E$14) + CHOOSE(CONTROL!$C$33, 0.0304, 0)</f>
        <v>26.296299999999999</v>
      </c>
      <c r="C216" s="4">
        <f>25.9026 * CHOOSE(CONTROL!$C$14, $C$14, 100%, $E$14) + CHOOSE(CONTROL!$C$33, 0.0304, 0)</f>
        <v>25.933</v>
      </c>
      <c r="D216" s="4">
        <f>36.516 * CHOOSE(CONTROL!$C$14, $C$14, 100%, $E$14) + CHOOSE(CONTROL!$C$33, 0.0021, 0)</f>
        <v>36.518099999999997</v>
      </c>
      <c r="E216" s="4">
        <f>165.498909114149 * CHOOSE(CONTROL!$C$14, $C$14, 100%, $E$14) + CHOOSE(CONTROL!$C$33, 0.0021, 0)</f>
        <v>165.50100911414901</v>
      </c>
    </row>
    <row r="217" spans="1:5" ht="15">
      <c r="A217" s="11">
        <v>47696</v>
      </c>
      <c r="B217" s="4">
        <f>26.8762 * CHOOSE(CONTROL!$C$14, $C$14, 100%, $E$14) + CHOOSE(CONTROL!$C$33, 0.0304, 0)</f>
        <v>26.906600000000001</v>
      </c>
      <c r="C217" s="4">
        <f>26.513 * CHOOSE(CONTROL!$C$14, $C$14, 100%, $E$14) + CHOOSE(CONTROL!$C$33, 0.0304, 0)</f>
        <v>26.543400000000002</v>
      </c>
      <c r="D217" s="4">
        <f>36.1444 * CHOOSE(CONTROL!$C$14, $C$14, 100%, $E$14) + CHOOSE(CONTROL!$C$33, 0.0021, 0)</f>
        <v>36.146499999999996</v>
      </c>
      <c r="E217" s="4">
        <f>169.461299477127 * CHOOSE(CONTROL!$C$14, $C$14, 100%, $E$14) + CHOOSE(CONTROL!$C$33, 0.0021, 0)</f>
        <v>169.46339947712701</v>
      </c>
    </row>
    <row r="218" spans="1:5" ht="15">
      <c r="A218" s="11">
        <v>47727</v>
      </c>
      <c r="B218" s="4">
        <f>25.836 * CHOOSE(CONTROL!$C$14, $C$14, 100%, $E$14) + CHOOSE(CONTROL!$C$33, 0.0304, 0)</f>
        <v>25.866399999999999</v>
      </c>
      <c r="C218" s="4">
        <f>25.4727 * CHOOSE(CONTROL!$C$14, $C$14, 100%, $E$14) + CHOOSE(CONTROL!$C$33, 0.0304, 0)</f>
        <v>25.5031</v>
      </c>
      <c r="D218" s="4">
        <f>35.9688 * CHOOSE(CONTROL!$C$14, $C$14, 100%, $E$14) + CHOOSE(CONTROL!$C$33, 0.0021, 0)</f>
        <v>35.9709</v>
      </c>
      <c r="E218" s="4">
        <f>162.708122546204 * CHOOSE(CONTROL!$C$14, $C$14, 100%, $E$14) + CHOOSE(CONTROL!$C$33, 0.0021, 0)</f>
        <v>162.71022254620402</v>
      </c>
    </row>
    <row r="219" spans="1:5" ht="15">
      <c r="A219" s="11">
        <v>47757</v>
      </c>
      <c r="B219" s="4">
        <f>25.0033 * CHOOSE(CONTROL!$C$14, $C$14, 100%, $E$14) + CHOOSE(CONTROL!$C$33, 0.0272, 0)</f>
        <v>25.0305</v>
      </c>
      <c r="C219" s="4">
        <f>24.64 * CHOOSE(CONTROL!$C$14, $C$14, 100%, $E$14) + CHOOSE(CONTROL!$C$33, 0.0272, 0)</f>
        <v>24.667200000000001</v>
      </c>
      <c r="D219" s="4">
        <f>35.4987 * CHOOSE(CONTROL!$C$14, $C$14, 100%, $E$14) + CHOOSE(CONTROL!$C$33, 0.0021, 0)</f>
        <v>35.500799999999998</v>
      </c>
      <c r="E219" s="4">
        <f>157.30207057811 * CHOOSE(CONTROL!$C$14, $C$14, 100%, $E$14) + CHOOSE(CONTROL!$C$33, 0.0021, 0)</f>
        <v>157.30417057811002</v>
      </c>
    </row>
    <row r="220" spans="1:5" ht="15">
      <c r="A220" s="11">
        <v>47788</v>
      </c>
      <c r="B220" s="4">
        <f>24.467 * CHOOSE(CONTROL!$C$14, $C$14, 100%, $E$14) + CHOOSE(CONTROL!$C$33, 0.0272, 0)</f>
        <v>24.494199999999999</v>
      </c>
      <c r="C220" s="4">
        <f>24.1037 * CHOOSE(CONTROL!$C$14, $C$14, 100%, $E$14) + CHOOSE(CONTROL!$C$33, 0.0272, 0)</f>
        <v>24.1309</v>
      </c>
      <c r="D220" s="4">
        <f>35.3371 * CHOOSE(CONTROL!$C$14, $C$14, 100%, $E$14) + CHOOSE(CONTROL!$C$33, 0.0021, 0)</f>
        <v>35.339199999999998</v>
      </c>
      <c r="E220" s="4">
        <f>153.820169411972 * CHOOSE(CONTROL!$C$14, $C$14, 100%, $E$14) + CHOOSE(CONTROL!$C$33, 0.0021, 0)</f>
        <v>153.822269411972</v>
      </c>
    </row>
    <row r="221" spans="1:5" ht="15">
      <c r="A221" s="11">
        <v>47818</v>
      </c>
      <c r="B221" s="4">
        <f>24.0959 * CHOOSE(CONTROL!$C$14, $C$14, 100%, $E$14) + CHOOSE(CONTROL!$C$33, 0.0272, 0)</f>
        <v>24.123100000000001</v>
      </c>
      <c r="C221" s="4">
        <f>23.7326 * CHOOSE(CONTROL!$C$14, $C$14, 100%, $E$14) + CHOOSE(CONTROL!$C$33, 0.0272, 0)</f>
        <v>23.759800000000002</v>
      </c>
      <c r="D221" s="4">
        <f>34.1473 * CHOOSE(CONTROL!$C$14, $C$14, 100%, $E$14) + CHOOSE(CONTROL!$C$33, 0.0021, 0)</f>
        <v>34.1494</v>
      </c>
      <c r="E221" s="4">
        <f>151.411141383982 * CHOOSE(CONTROL!$C$14, $C$14, 100%, $E$14) + CHOOSE(CONTROL!$C$33, 0.0021, 0)</f>
        <v>151.41324138398201</v>
      </c>
    </row>
    <row r="222" spans="1:5" ht="15">
      <c r="A222" s="11">
        <v>47849</v>
      </c>
      <c r="B222" s="4">
        <f>23.1233 * CHOOSE(CONTROL!$C$14, $C$14, 100%, $E$14) + CHOOSE(CONTROL!$C$33, 0.0272, 0)</f>
        <v>23.150500000000001</v>
      </c>
      <c r="C222" s="4">
        <f>22.7601 * CHOOSE(CONTROL!$C$14, $C$14, 100%, $E$14) + CHOOSE(CONTROL!$C$33, 0.0272, 0)</f>
        <v>22.787300000000002</v>
      </c>
      <c r="D222" s="4">
        <f>32.7774 * CHOOSE(CONTROL!$C$14, $C$14, 100%, $E$14) + CHOOSE(CONTROL!$C$33, 0.0021, 0)</f>
        <v>32.779499999999999</v>
      </c>
      <c r="E222" s="4">
        <f>145.104252099775 * CHOOSE(CONTROL!$C$14, $C$14, 100%, $E$14) + CHOOSE(CONTROL!$C$33, 0.0021, 0)</f>
        <v>145.10635209977502</v>
      </c>
    </row>
    <row r="223" spans="1:5" ht="15">
      <c r="A223" s="11">
        <v>47880</v>
      </c>
      <c r="B223" s="4">
        <f>23.654 * CHOOSE(CONTROL!$C$14, $C$14, 100%, $E$14) + CHOOSE(CONTROL!$C$33, 0.0272, 0)</f>
        <v>23.6812</v>
      </c>
      <c r="C223" s="4">
        <f>23.2907 * CHOOSE(CONTROL!$C$14, $C$14, 100%, $E$14) + CHOOSE(CONTROL!$C$33, 0.0272, 0)</f>
        <v>23.317900000000002</v>
      </c>
      <c r="D223" s="4">
        <f>33.8689 * CHOOSE(CONTROL!$C$14, $C$14, 100%, $E$14) + CHOOSE(CONTROL!$C$33, 0.0021, 0)</f>
        <v>33.870999999999995</v>
      </c>
      <c r="E223" s="4">
        <f>148.54959888734 * CHOOSE(CONTROL!$C$14, $C$14, 100%, $E$14) + CHOOSE(CONTROL!$C$33, 0.0021, 0)</f>
        <v>148.55169888734002</v>
      </c>
    </row>
    <row r="224" spans="1:5" ht="15">
      <c r="A224" s="11">
        <v>47908</v>
      </c>
      <c r="B224" s="4">
        <f>25.0476 * CHOOSE(CONTROL!$C$14, $C$14, 100%, $E$14) + CHOOSE(CONTROL!$C$33, 0.0272, 0)</f>
        <v>25.0748</v>
      </c>
      <c r="C224" s="4">
        <f>24.6843 * CHOOSE(CONTROL!$C$14, $C$14, 100%, $E$14) + CHOOSE(CONTROL!$C$33, 0.0272, 0)</f>
        <v>24.711500000000001</v>
      </c>
      <c r="D224" s="4">
        <f>35.5775 * CHOOSE(CONTROL!$C$14, $C$14, 100%, $E$14) + CHOOSE(CONTROL!$C$33, 0.0021, 0)</f>
        <v>35.579599999999999</v>
      </c>
      <c r="E224" s="4">
        <f>157.597262648336 * CHOOSE(CONTROL!$C$14, $C$14, 100%, $E$14) + CHOOSE(CONTROL!$C$33, 0.0021, 0)</f>
        <v>157.59936264833601</v>
      </c>
    </row>
    <row r="225" spans="1:5" ht="15">
      <c r="A225" s="11">
        <v>47939</v>
      </c>
      <c r="B225" s="4">
        <f>26.0377 * CHOOSE(CONTROL!$C$14, $C$14, 100%, $E$14) + CHOOSE(CONTROL!$C$33, 0.0272, 0)</f>
        <v>26.064900000000002</v>
      </c>
      <c r="C225" s="4">
        <f>25.6745 * CHOOSE(CONTROL!$C$14, $C$14, 100%, $E$14) + CHOOSE(CONTROL!$C$33, 0.0272, 0)</f>
        <v>25.701699999999999</v>
      </c>
      <c r="D225" s="4">
        <f>36.5617 * CHOOSE(CONTROL!$C$14, $C$14, 100%, $E$14) + CHOOSE(CONTROL!$C$33, 0.0021, 0)</f>
        <v>36.563800000000001</v>
      </c>
      <c r="E225" s="4">
        <f>164.025748326496 * CHOOSE(CONTROL!$C$14, $C$14, 100%, $E$14) + CHOOSE(CONTROL!$C$33, 0.0021, 0)</f>
        <v>164.02784832649601</v>
      </c>
    </row>
    <row r="226" spans="1:5" ht="15">
      <c r="A226" s="11">
        <v>47969</v>
      </c>
      <c r="B226" s="4">
        <f>26.6427 * CHOOSE(CONTROL!$C$14, $C$14, 100%, $E$14) + CHOOSE(CONTROL!$C$33, 0.0304, 0)</f>
        <v>26.673100000000002</v>
      </c>
      <c r="C226" s="4">
        <f>26.2794 * CHOOSE(CONTROL!$C$14, $C$14, 100%, $E$14) + CHOOSE(CONTROL!$C$33, 0.0304, 0)</f>
        <v>26.309799999999999</v>
      </c>
      <c r="D226" s="4">
        <f>36.1728 * CHOOSE(CONTROL!$C$14, $C$14, 100%, $E$14) + CHOOSE(CONTROL!$C$33, 0.0021, 0)</f>
        <v>36.174900000000001</v>
      </c>
      <c r="E226" s="4">
        <f>167.953399006553 * CHOOSE(CONTROL!$C$14, $C$14, 100%, $E$14) + CHOOSE(CONTROL!$C$33, 0.0021, 0)</f>
        <v>167.95549900655303</v>
      </c>
    </row>
    <row r="227" spans="1:5" ht="15">
      <c r="A227" s="11">
        <v>48000</v>
      </c>
      <c r="B227" s="4">
        <f>26.7246 * CHOOSE(CONTROL!$C$14, $C$14, 100%, $E$14) + CHOOSE(CONTROL!$C$33, 0.0304, 0)</f>
        <v>26.754999999999999</v>
      </c>
      <c r="C227" s="4">
        <f>26.3613 * CHOOSE(CONTROL!$C$14, $C$14, 100%, $E$14) + CHOOSE(CONTROL!$C$33, 0.0304, 0)</f>
        <v>26.3917</v>
      </c>
      <c r="D227" s="4">
        <f>36.4895 * CHOOSE(CONTROL!$C$14, $C$14, 100%, $E$14) + CHOOSE(CONTROL!$C$33, 0.0021, 0)</f>
        <v>36.491599999999998</v>
      </c>
      <c r="E227" s="4">
        <f>168.48482644365 * CHOOSE(CONTROL!$C$14, $C$14, 100%, $E$14) + CHOOSE(CONTROL!$C$33, 0.0021, 0)</f>
        <v>168.48692644365002</v>
      </c>
    </row>
    <row r="228" spans="1:5" ht="15">
      <c r="A228" s="11">
        <v>48030</v>
      </c>
      <c r="B228" s="4">
        <f>26.7163 * CHOOSE(CONTROL!$C$14, $C$14, 100%, $E$14) + CHOOSE(CONTROL!$C$33, 0.0304, 0)</f>
        <v>26.746700000000001</v>
      </c>
      <c r="C228" s="4">
        <f>26.353 * CHOOSE(CONTROL!$C$14, $C$14, 100%, $E$14) + CHOOSE(CONTROL!$C$33, 0.0304, 0)</f>
        <v>26.383400000000002</v>
      </c>
      <c r="D228" s="4">
        <f>37.0611 * CHOOSE(CONTROL!$C$14, $C$14, 100%, $E$14) + CHOOSE(CONTROL!$C$33, 0.0021, 0)</f>
        <v>37.063200000000002</v>
      </c>
      <c r="E228" s="4">
        <f>168.431237122262 * CHOOSE(CONTROL!$C$14, $C$14, 100%, $E$14) + CHOOSE(CONTROL!$C$33, 0.0021, 0)</f>
        <v>168.433337122262</v>
      </c>
    </row>
    <row r="229" spans="1:5" ht="15">
      <c r="A229" s="11">
        <v>48061</v>
      </c>
      <c r="B229" s="4">
        <f>27.3374 * CHOOSE(CONTROL!$C$14, $C$14, 100%, $E$14) + CHOOSE(CONTROL!$C$33, 0.0304, 0)</f>
        <v>27.367799999999999</v>
      </c>
      <c r="C229" s="4">
        <f>26.9742 * CHOOSE(CONTROL!$C$14, $C$14, 100%, $E$14) + CHOOSE(CONTROL!$C$33, 0.0304, 0)</f>
        <v>27.0046</v>
      </c>
      <c r="D229" s="4">
        <f>36.6836 * CHOOSE(CONTROL!$C$14, $C$14, 100%, $E$14) + CHOOSE(CONTROL!$C$33, 0.0021, 0)</f>
        <v>36.685699999999997</v>
      </c>
      <c r="E229" s="4">
        <f>172.463833556704 * CHOOSE(CONTROL!$C$14, $C$14, 100%, $E$14) + CHOOSE(CONTROL!$C$33, 0.0021, 0)</f>
        <v>172.46593355670402</v>
      </c>
    </row>
    <row r="230" spans="1:5" ht="15">
      <c r="A230" s="11">
        <v>48092</v>
      </c>
      <c r="B230" s="4">
        <f>26.2788 * CHOOSE(CONTROL!$C$14, $C$14, 100%, $E$14) + CHOOSE(CONTROL!$C$33, 0.0304, 0)</f>
        <v>26.309200000000001</v>
      </c>
      <c r="C230" s="4">
        <f>25.9156 * CHOOSE(CONTROL!$C$14, $C$14, 100%, $E$14) + CHOOSE(CONTROL!$C$33, 0.0304, 0)</f>
        <v>25.946000000000002</v>
      </c>
      <c r="D230" s="4">
        <f>36.5053 * CHOOSE(CONTROL!$C$14, $C$14, 100%, $E$14) + CHOOSE(CONTROL!$C$33, 0.0021, 0)</f>
        <v>36.507399999999997</v>
      </c>
      <c r="E230" s="4">
        <f>165.591003088702 * CHOOSE(CONTROL!$C$14, $C$14, 100%, $E$14) + CHOOSE(CONTROL!$C$33, 0.0021, 0)</f>
        <v>165.59310308870201</v>
      </c>
    </row>
    <row r="231" spans="1:5" ht="15">
      <c r="A231" s="11">
        <v>48122</v>
      </c>
      <c r="B231" s="4">
        <f>25.4314 * CHOOSE(CONTROL!$C$14, $C$14, 100%, $E$14) + CHOOSE(CONTROL!$C$33, 0.0272, 0)</f>
        <v>25.458600000000001</v>
      </c>
      <c r="C231" s="4">
        <f>25.0681 * CHOOSE(CONTROL!$C$14, $C$14, 100%, $E$14) + CHOOSE(CONTROL!$C$33, 0.0272, 0)</f>
        <v>25.095300000000002</v>
      </c>
      <c r="D231" s="4">
        <f>36.0278 * CHOOSE(CONTROL!$C$14, $C$14, 100%, $E$14) + CHOOSE(CONTROL!$C$33, 0.0021, 0)</f>
        <v>36.029899999999998</v>
      </c>
      <c r="E231" s="4">
        <f>160.089166092874 * CHOOSE(CONTROL!$C$14, $C$14, 100%, $E$14) + CHOOSE(CONTROL!$C$33, 0.0021, 0)</f>
        <v>160.09126609287401</v>
      </c>
    </row>
    <row r="232" spans="1:5" ht="15">
      <c r="A232" s="11">
        <v>48153</v>
      </c>
      <c r="B232" s="4">
        <f>24.8856 * CHOOSE(CONTROL!$C$14, $C$14, 100%, $E$14) + CHOOSE(CONTROL!$C$33, 0.0272, 0)</f>
        <v>24.912800000000001</v>
      </c>
      <c r="C232" s="4">
        <f>24.5223 * CHOOSE(CONTROL!$C$14, $C$14, 100%, $E$14) + CHOOSE(CONTROL!$C$33, 0.0272, 0)</f>
        <v>24.549500000000002</v>
      </c>
      <c r="D232" s="4">
        <f>35.8637 * CHOOSE(CONTROL!$C$14, $C$14, 100%, $E$14) + CHOOSE(CONTROL!$C$33, 0.0021, 0)</f>
        <v>35.8658</v>
      </c>
      <c r="E232" s="4">
        <f>156.545572216098 * CHOOSE(CONTROL!$C$14, $C$14, 100%, $E$14) + CHOOSE(CONTROL!$C$33, 0.0021, 0)</f>
        <v>156.54767221609802</v>
      </c>
    </row>
    <row r="233" spans="1:5" ht="15">
      <c r="A233" s="11">
        <v>48183</v>
      </c>
      <c r="B233" s="4">
        <f>24.508 * CHOOSE(CONTROL!$C$14, $C$14, 100%, $E$14) + CHOOSE(CONTROL!$C$33, 0.0272, 0)</f>
        <v>24.5352</v>
      </c>
      <c r="C233" s="4">
        <f>24.1447 * CHOOSE(CONTROL!$C$14, $C$14, 100%, $E$14) + CHOOSE(CONTROL!$C$33, 0.0272, 0)</f>
        <v>24.171900000000001</v>
      </c>
      <c r="D233" s="4">
        <f>34.6551 * CHOOSE(CONTROL!$C$14, $C$14, 100%, $E$14) + CHOOSE(CONTROL!$C$33, 0.0021, 0)</f>
        <v>34.657199999999996</v>
      </c>
      <c r="E233" s="4">
        <f>154.0938607626 * CHOOSE(CONTROL!$C$14, $C$14, 100%, $E$14) + CHOOSE(CONTROL!$C$33, 0.0021, 0)</f>
        <v>154.09596076260001</v>
      </c>
    </row>
    <row r="234" spans="1:5" ht="15">
      <c r="A234" s="11">
        <v>48214</v>
      </c>
      <c r="B234" s="4">
        <f>23.5182 * CHOOSE(CONTROL!$C$14, $C$14, 100%, $E$14) + CHOOSE(CONTROL!$C$33, 0.0272, 0)</f>
        <v>23.545400000000001</v>
      </c>
      <c r="C234" s="4">
        <f>23.1549 * CHOOSE(CONTROL!$C$14, $C$14, 100%, $E$14) + CHOOSE(CONTROL!$C$33, 0.0272, 0)</f>
        <v>23.182100000000002</v>
      </c>
      <c r="D234" s="4">
        <f>33.2637 * CHOOSE(CONTROL!$C$14, $C$14, 100%, $E$14) + CHOOSE(CONTROL!$C$33, 0.0021, 0)</f>
        <v>33.265799999999999</v>
      </c>
      <c r="E234" s="4">
        <f>147.675225315284 * CHOOSE(CONTROL!$C$14, $C$14, 100%, $E$14) + CHOOSE(CONTROL!$C$33, 0.0021, 0)</f>
        <v>147.67732531528401</v>
      </c>
    </row>
    <row r="235" spans="1:5" ht="15">
      <c r="A235" s="11">
        <v>48245</v>
      </c>
      <c r="B235" s="4">
        <f>24.0583 * CHOOSE(CONTROL!$C$14, $C$14, 100%, $E$14) + CHOOSE(CONTROL!$C$33, 0.0272, 0)</f>
        <v>24.0855</v>
      </c>
      <c r="C235" s="4">
        <f>23.695 * CHOOSE(CONTROL!$C$14, $C$14, 100%, $E$14) + CHOOSE(CONTROL!$C$33, 0.0272, 0)</f>
        <v>23.722200000000001</v>
      </c>
      <c r="D235" s="4">
        <f>34.3723 * CHOOSE(CONTROL!$C$14, $C$14, 100%, $E$14) + CHOOSE(CONTROL!$C$33, 0.0021, 0)</f>
        <v>34.374400000000001</v>
      </c>
      <c r="E235" s="4">
        <f>151.181617138959 * CHOOSE(CONTROL!$C$14, $C$14, 100%, $E$14) + CHOOSE(CONTROL!$C$33, 0.0021, 0)</f>
        <v>151.18371713895903</v>
      </c>
    </row>
    <row r="236" spans="1:5" ht="15">
      <c r="A236" s="11">
        <v>48274</v>
      </c>
      <c r="B236" s="4">
        <f>25.4765 * CHOOSE(CONTROL!$C$14, $C$14, 100%, $E$14) + CHOOSE(CONTROL!$C$33, 0.0272, 0)</f>
        <v>25.503700000000002</v>
      </c>
      <c r="C236" s="4">
        <f>25.1132 * CHOOSE(CONTROL!$C$14, $C$14, 100%, $E$14) + CHOOSE(CONTROL!$C$33, 0.0272, 0)</f>
        <v>25.1404</v>
      </c>
      <c r="D236" s="4">
        <f>36.1078 * CHOOSE(CONTROL!$C$14, $C$14, 100%, $E$14) + CHOOSE(CONTROL!$C$33, 0.0021, 0)</f>
        <v>36.109899999999996</v>
      </c>
      <c r="E236" s="4">
        <f>160.389588408906 * CHOOSE(CONTROL!$C$14, $C$14, 100%, $E$14) + CHOOSE(CONTROL!$C$33, 0.0021, 0)</f>
        <v>160.39168840890602</v>
      </c>
    </row>
    <row r="237" spans="1:5" ht="15">
      <c r="A237" s="11">
        <v>48305</v>
      </c>
      <c r="B237" s="4">
        <f>26.4841 * CHOOSE(CONTROL!$C$14, $C$14, 100%, $E$14) + CHOOSE(CONTROL!$C$33, 0.0272, 0)</f>
        <v>26.511300000000002</v>
      </c>
      <c r="C237" s="4">
        <f>26.1208 * CHOOSE(CONTROL!$C$14, $C$14, 100%, $E$14) + CHOOSE(CONTROL!$C$33, 0.0272, 0)</f>
        <v>26.148</v>
      </c>
      <c r="D237" s="4">
        <f>37.1075 * CHOOSE(CONTROL!$C$14, $C$14, 100%, $E$14) + CHOOSE(CONTROL!$C$33, 0.0021, 0)</f>
        <v>37.1096</v>
      </c>
      <c r="E237" s="4">
        <f>166.931974708555 * CHOOSE(CONTROL!$C$14, $C$14, 100%, $E$14) + CHOOSE(CONTROL!$C$33, 0.0021, 0)</f>
        <v>166.93407470855502</v>
      </c>
    </row>
    <row r="238" spans="1:5" ht="15">
      <c r="A238" s="11">
        <v>48335</v>
      </c>
      <c r="B238" s="4">
        <f>27.0998 * CHOOSE(CONTROL!$C$14, $C$14, 100%, $E$14) + CHOOSE(CONTROL!$C$33, 0.0304, 0)</f>
        <v>27.130199999999999</v>
      </c>
      <c r="C238" s="4">
        <f>26.7365 * CHOOSE(CONTROL!$C$14, $C$14, 100%, $E$14) + CHOOSE(CONTROL!$C$33, 0.0304, 0)</f>
        <v>26.7669</v>
      </c>
      <c r="D238" s="4">
        <f>36.7125 * CHOOSE(CONTROL!$C$14, $C$14, 100%, $E$14) + CHOOSE(CONTROL!$C$33, 0.0021, 0)</f>
        <v>36.714599999999997</v>
      </c>
      <c r="E238" s="4">
        <f>170.929215938525 * CHOOSE(CONTROL!$C$14, $C$14, 100%, $E$14) + CHOOSE(CONTROL!$C$33, 0.0021, 0)</f>
        <v>170.93131593852502</v>
      </c>
    </row>
    <row r="239" spans="1:5" ht="15">
      <c r="A239" s="11">
        <v>48366</v>
      </c>
      <c r="B239" s="4">
        <f>27.1831 * CHOOSE(CONTROL!$C$14, $C$14, 100%, $E$14) + CHOOSE(CONTROL!$C$33, 0.0304, 0)</f>
        <v>27.2135</v>
      </c>
      <c r="C239" s="4">
        <f>26.8198 * CHOOSE(CONTROL!$C$14, $C$14, 100%, $E$14) + CHOOSE(CONTROL!$C$33, 0.0304, 0)</f>
        <v>26.850200000000001</v>
      </c>
      <c r="D239" s="4">
        <f>37.0342 * CHOOSE(CONTROL!$C$14, $C$14, 100%, $E$14) + CHOOSE(CONTROL!$C$33, 0.0021, 0)</f>
        <v>37.036299999999997</v>
      </c>
      <c r="E239" s="4">
        <f>171.470059265832 * CHOOSE(CONTROL!$C$14, $C$14, 100%, $E$14) + CHOOSE(CONTROL!$C$33, 0.0021, 0)</f>
        <v>171.472159265832</v>
      </c>
    </row>
    <row r="240" spans="1:5" ht="15">
      <c r="A240" s="11">
        <v>48396</v>
      </c>
      <c r="B240" s="4">
        <f>27.1747 * CHOOSE(CONTROL!$C$14, $C$14, 100%, $E$14) + CHOOSE(CONTROL!$C$33, 0.0304, 0)</f>
        <v>27.205100000000002</v>
      </c>
      <c r="C240" s="4">
        <f>26.8114 * CHOOSE(CONTROL!$C$14, $C$14, 100%, $E$14) + CHOOSE(CONTROL!$C$33, 0.0304, 0)</f>
        <v>26.841799999999999</v>
      </c>
      <c r="D240" s="4">
        <f>37.6147 * CHOOSE(CONTROL!$C$14, $C$14, 100%, $E$14) + CHOOSE(CONTROL!$C$33, 0.0021, 0)</f>
        <v>37.616799999999998</v>
      </c>
      <c r="E240" s="4">
        <f>171.41552044291 * CHOOSE(CONTROL!$C$14, $C$14, 100%, $E$14) + CHOOSE(CONTROL!$C$33, 0.0021, 0)</f>
        <v>171.41762044291002</v>
      </c>
    </row>
    <row r="241" spans="1:5" ht="15">
      <c r="A241" s="11">
        <v>48427</v>
      </c>
      <c r="B241" s="4">
        <f>27.8068 * CHOOSE(CONTROL!$C$14, $C$14, 100%, $E$14) + CHOOSE(CONTROL!$C$33, 0.0304, 0)</f>
        <v>27.837199999999999</v>
      </c>
      <c r="C241" s="4">
        <f>27.4435 * CHOOSE(CONTROL!$C$14, $C$14, 100%, $E$14) + CHOOSE(CONTROL!$C$33, 0.0304, 0)</f>
        <v>27.4739</v>
      </c>
      <c r="D241" s="4">
        <f>37.2314 * CHOOSE(CONTROL!$C$14, $C$14, 100%, $E$14) + CHOOSE(CONTROL!$C$33, 0.0021, 0)</f>
        <v>37.233499999999999</v>
      </c>
      <c r="E241" s="4">
        <f>175.519566867768 * CHOOSE(CONTROL!$C$14, $C$14, 100%, $E$14) + CHOOSE(CONTROL!$C$33, 0.0021, 0)</f>
        <v>175.521666867768</v>
      </c>
    </row>
    <row r="242" spans="1:5" ht="15">
      <c r="A242" s="11">
        <v>48458</v>
      </c>
      <c r="B242" s="4">
        <f>26.7295 * CHOOSE(CONTROL!$C$14, $C$14, 100%, $E$14) + CHOOSE(CONTROL!$C$33, 0.0304, 0)</f>
        <v>26.759900000000002</v>
      </c>
      <c r="C242" s="4">
        <f>26.3662 * CHOOSE(CONTROL!$C$14, $C$14, 100%, $E$14) + CHOOSE(CONTROL!$C$33, 0.0304, 0)</f>
        <v>26.396599999999999</v>
      </c>
      <c r="D242" s="4">
        <f>37.0502 * CHOOSE(CONTROL!$C$14, $C$14, 100%, $E$14) + CHOOSE(CONTROL!$C$33, 0.0021, 0)</f>
        <v>37.052299999999995</v>
      </c>
      <c r="E242" s="4">
        <f>168.52496282806 * CHOOSE(CONTROL!$C$14, $C$14, 100%, $E$14) + CHOOSE(CONTROL!$C$33, 0.0021, 0)</f>
        <v>168.52706282806002</v>
      </c>
    </row>
    <row r="243" spans="1:5" ht="15">
      <c r="A243" s="11">
        <v>48488</v>
      </c>
      <c r="B243" s="4">
        <f>25.8671 * CHOOSE(CONTROL!$C$14, $C$14, 100%, $E$14) + CHOOSE(CONTROL!$C$33, 0.0272, 0)</f>
        <v>25.894300000000001</v>
      </c>
      <c r="C243" s="4">
        <f>25.5038 * CHOOSE(CONTROL!$C$14, $C$14, 100%, $E$14) + CHOOSE(CONTROL!$C$33, 0.0272, 0)</f>
        <v>25.530999999999999</v>
      </c>
      <c r="D243" s="4">
        <f>36.5652 * CHOOSE(CONTROL!$C$14, $C$14, 100%, $E$14) + CHOOSE(CONTROL!$C$33, 0.0021, 0)</f>
        <v>36.567299999999996</v>
      </c>
      <c r="E243" s="4">
        <f>162.925643674765 * CHOOSE(CONTROL!$C$14, $C$14, 100%, $E$14) + CHOOSE(CONTROL!$C$33, 0.0021, 0)</f>
        <v>162.92774367476503</v>
      </c>
    </row>
    <row r="244" spans="1:5" ht="15">
      <c r="A244" s="11">
        <v>48519</v>
      </c>
      <c r="B244" s="4">
        <f>25.3116 * CHOOSE(CONTROL!$C$14, $C$14, 100%, $E$14) + CHOOSE(CONTROL!$C$33, 0.0272, 0)</f>
        <v>25.338799999999999</v>
      </c>
      <c r="C244" s="4">
        <f>24.9483 * CHOOSE(CONTROL!$C$14, $C$14, 100%, $E$14) + CHOOSE(CONTROL!$C$33, 0.0272, 0)</f>
        <v>24.9755</v>
      </c>
      <c r="D244" s="4">
        <f>36.3985 * CHOOSE(CONTROL!$C$14, $C$14, 100%, $E$14) + CHOOSE(CONTROL!$C$33, 0.0021, 0)</f>
        <v>36.400599999999997</v>
      </c>
      <c r="E244" s="4">
        <f>159.319264009068 * CHOOSE(CONTROL!$C$14, $C$14, 100%, $E$14) + CHOOSE(CONTROL!$C$33, 0.0021, 0)</f>
        <v>159.32136400906802</v>
      </c>
    </row>
    <row r="245" spans="1:5" ht="15">
      <c r="A245" s="11">
        <v>48549</v>
      </c>
      <c r="B245" s="4">
        <f>24.9273 * CHOOSE(CONTROL!$C$14, $C$14, 100%, $E$14) + CHOOSE(CONTROL!$C$33, 0.0272, 0)</f>
        <v>24.954499999999999</v>
      </c>
      <c r="C245" s="4">
        <f>24.564 * CHOOSE(CONTROL!$C$14, $C$14, 100%, $E$14) + CHOOSE(CONTROL!$C$33, 0.0272, 0)</f>
        <v>24.591200000000001</v>
      </c>
      <c r="D245" s="4">
        <f>35.1709 * CHOOSE(CONTROL!$C$14, $C$14, 100%, $E$14) + CHOOSE(CONTROL!$C$33, 0.0021, 0)</f>
        <v>35.173000000000002</v>
      </c>
      <c r="E245" s="4">
        <f>156.8241128604 * CHOOSE(CONTROL!$C$14, $C$14, 100%, $E$14) + CHOOSE(CONTROL!$C$33, 0.0021, 0)</f>
        <v>156.82621286040001</v>
      </c>
    </row>
    <row r="246" spans="1:5" ht="15">
      <c r="A246" s="11">
        <v>48580</v>
      </c>
      <c r="B246" s="4">
        <f>23.9201 * CHOOSE(CONTROL!$C$14, $C$14, 100%, $E$14) + CHOOSE(CONTROL!$C$33, 0.0272, 0)</f>
        <v>23.947300000000002</v>
      </c>
      <c r="C246" s="4">
        <f>23.5568 * CHOOSE(CONTROL!$C$14, $C$14, 100%, $E$14) + CHOOSE(CONTROL!$C$33, 0.0272, 0)</f>
        <v>23.584</v>
      </c>
      <c r="D246" s="4">
        <f>33.7576 * CHOOSE(CONTROL!$C$14, $C$14, 100%, $E$14) + CHOOSE(CONTROL!$C$33, 0.0021, 0)</f>
        <v>33.759699999999995</v>
      </c>
      <c r="E246" s="4">
        <f>150.291751319077 * CHOOSE(CONTROL!$C$14, $C$14, 100%, $E$14) + CHOOSE(CONTROL!$C$33, 0.0021, 0)</f>
        <v>150.29385131907702</v>
      </c>
    </row>
    <row r="247" spans="1:5" ht="15">
      <c r="A247" s="11">
        <v>48611</v>
      </c>
      <c r="B247" s="4">
        <f>24.4697 * CHOOSE(CONTROL!$C$14, $C$14, 100%, $E$14) + CHOOSE(CONTROL!$C$33, 0.0272, 0)</f>
        <v>24.4969</v>
      </c>
      <c r="C247" s="4">
        <f>24.1064 * CHOOSE(CONTROL!$C$14, $C$14, 100%, $E$14) + CHOOSE(CONTROL!$C$33, 0.0272, 0)</f>
        <v>24.133600000000001</v>
      </c>
      <c r="D247" s="4">
        <f>34.8837 * CHOOSE(CONTROL!$C$14, $C$14, 100%, $E$14) + CHOOSE(CONTROL!$C$33, 0.0021, 0)</f>
        <v>34.885799999999996</v>
      </c>
      <c r="E247" s="4">
        <f>153.860269781573 * CHOOSE(CONTROL!$C$14, $C$14, 100%, $E$14) + CHOOSE(CONTROL!$C$33, 0.0021, 0)</f>
        <v>153.86236978157302</v>
      </c>
    </row>
    <row r="248" spans="1:5" ht="15">
      <c r="A248" s="11">
        <v>48639</v>
      </c>
      <c r="B248" s="4">
        <f>25.9129 * CHOOSE(CONTROL!$C$14, $C$14, 100%, $E$14) + CHOOSE(CONTROL!$C$33, 0.0272, 0)</f>
        <v>25.940100000000001</v>
      </c>
      <c r="C248" s="4">
        <f>25.5497 * CHOOSE(CONTROL!$C$14, $C$14, 100%, $E$14) + CHOOSE(CONTROL!$C$33, 0.0272, 0)</f>
        <v>25.576900000000002</v>
      </c>
      <c r="D248" s="4">
        <f>36.6465 * CHOOSE(CONTROL!$C$14, $C$14, 100%, $E$14) + CHOOSE(CONTROL!$C$33, 0.0021, 0)</f>
        <v>36.648600000000002</v>
      </c>
      <c r="E248" s="4">
        <f>163.231388906677 * CHOOSE(CONTROL!$C$14, $C$14, 100%, $E$14) + CHOOSE(CONTROL!$C$33, 0.0021, 0)</f>
        <v>163.23348890667702</v>
      </c>
    </row>
    <row r="249" spans="1:5" ht="15">
      <c r="A249" s="11">
        <v>48670</v>
      </c>
      <c r="B249" s="4">
        <f>26.9384 * CHOOSE(CONTROL!$C$14, $C$14, 100%, $E$14) + CHOOSE(CONTROL!$C$33, 0.0272, 0)</f>
        <v>26.965600000000002</v>
      </c>
      <c r="C249" s="4">
        <f>26.5751 * CHOOSE(CONTROL!$C$14, $C$14, 100%, $E$14) + CHOOSE(CONTROL!$C$33, 0.0272, 0)</f>
        <v>26.6023</v>
      </c>
      <c r="D249" s="4">
        <f>37.6619 * CHOOSE(CONTROL!$C$14, $C$14, 100%, $E$14) + CHOOSE(CONTROL!$C$33, 0.0021, 0)</f>
        <v>37.664000000000001</v>
      </c>
      <c r="E249" s="4">
        <f>169.889693931647 * CHOOSE(CONTROL!$C$14, $C$14, 100%, $E$14) + CHOOSE(CONTROL!$C$33, 0.0021, 0)</f>
        <v>169.89179393164702</v>
      </c>
    </row>
    <row r="250" spans="1:5" ht="15">
      <c r="A250" s="11">
        <v>48700</v>
      </c>
      <c r="B250" s="4">
        <f>27.5649 * CHOOSE(CONTROL!$C$14, $C$14, 100%, $E$14) + CHOOSE(CONTROL!$C$33, 0.0304, 0)</f>
        <v>27.595300000000002</v>
      </c>
      <c r="C250" s="4">
        <f>27.2016 * CHOOSE(CONTROL!$C$14, $C$14, 100%, $E$14) + CHOOSE(CONTROL!$C$33, 0.0304, 0)</f>
        <v>27.231999999999999</v>
      </c>
      <c r="D250" s="4">
        <f>37.2607 * CHOOSE(CONTROL!$C$14, $C$14, 100%, $E$14) + CHOOSE(CONTROL!$C$33, 0.0021, 0)</f>
        <v>37.262799999999999</v>
      </c>
      <c r="E250" s="4">
        <f>173.957758724603 * CHOOSE(CONTROL!$C$14, $C$14, 100%, $E$14) + CHOOSE(CONTROL!$C$33, 0.0021, 0)</f>
        <v>173.95985872460301</v>
      </c>
    </row>
    <row r="251" spans="1:5" ht="15">
      <c r="A251" s="11">
        <v>48731</v>
      </c>
      <c r="B251" s="4">
        <f>27.6497 * CHOOSE(CONTROL!$C$14, $C$14, 100%, $E$14) + CHOOSE(CONTROL!$C$33, 0.0304, 0)</f>
        <v>27.680099999999999</v>
      </c>
      <c r="C251" s="4">
        <f>27.2864 * CHOOSE(CONTROL!$C$14, $C$14, 100%, $E$14) + CHOOSE(CONTROL!$C$33, 0.0304, 0)</f>
        <v>27.316800000000001</v>
      </c>
      <c r="D251" s="4">
        <f>37.5875 * CHOOSE(CONTROL!$C$14, $C$14, 100%, $E$14) + CHOOSE(CONTROL!$C$33, 0.0021, 0)</f>
        <v>37.589599999999997</v>
      </c>
      <c r="E251" s="4">
        <f>174.508184773906 * CHOOSE(CONTROL!$C$14, $C$14, 100%, $E$14) + CHOOSE(CONTROL!$C$33, 0.0021, 0)</f>
        <v>174.51028477390602</v>
      </c>
    </row>
    <row r="252" spans="1:5" ht="15">
      <c r="A252" s="11">
        <v>48761</v>
      </c>
      <c r="B252" s="4">
        <f>27.6411 * CHOOSE(CONTROL!$C$14, $C$14, 100%, $E$14) + CHOOSE(CONTROL!$C$33, 0.0304, 0)</f>
        <v>27.671500000000002</v>
      </c>
      <c r="C252" s="4">
        <f>27.2779 * CHOOSE(CONTROL!$C$14, $C$14, 100%, $E$14) + CHOOSE(CONTROL!$C$33, 0.0304, 0)</f>
        <v>27.308299999999999</v>
      </c>
      <c r="D252" s="4">
        <f>38.1771 * CHOOSE(CONTROL!$C$14, $C$14, 100%, $E$14) + CHOOSE(CONTROL!$C$33, 0.0021, 0)</f>
        <v>38.179200000000002</v>
      </c>
      <c r="E252" s="4">
        <f>174.452679626077 * CHOOSE(CONTROL!$C$14, $C$14, 100%, $E$14) + CHOOSE(CONTROL!$C$33, 0.0021, 0)</f>
        <v>174.45477962607703</v>
      </c>
    </row>
    <row r="253" spans="1:5" ht="15">
      <c r="A253" s="11">
        <v>48792</v>
      </c>
      <c r="B253" s="4">
        <f>28.2844 * CHOOSE(CONTROL!$C$14, $C$14, 100%, $E$14) + CHOOSE(CONTROL!$C$33, 0.0304, 0)</f>
        <v>28.314800000000002</v>
      </c>
      <c r="C253" s="4">
        <f>27.9211 * CHOOSE(CONTROL!$C$14, $C$14, 100%, $E$14) + CHOOSE(CONTROL!$C$33, 0.0304, 0)</f>
        <v>27.951499999999999</v>
      </c>
      <c r="D253" s="4">
        <f>37.7877 * CHOOSE(CONTROL!$C$14, $C$14, 100%, $E$14) + CHOOSE(CONTROL!$C$33, 0.0021, 0)</f>
        <v>37.7898</v>
      </c>
      <c r="E253" s="4">
        <f>178.629442000198 * CHOOSE(CONTROL!$C$14, $C$14, 100%, $E$14) + CHOOSE(CONTROL!$C$33, 0.0021, 0)</f>
        <v>178.63154200019801</v>
      </c>
    </row>
    <row r="254" spans="1:5" ht="15">
      <c r="A254" s="11">
        <v>48823</v>
      </c>
      <c r="B254" s="4">
        <f>27.1881 * CHOOSE(CONTROL!$C$14, $C$14, 100%, $E$14) + CHOOSE(CONTROL!$C$33, 0.0304, 0)</f>
        <v>27.218499999999999</v>
      </c>
      <c r="C254" s="4">
        <f>26.8248 * CHOOSE(CONTROL!$C$14, $C$14, 100%, $E$14) + CHOOSE(CONTROL!$C$33, 0.0304, 0)</f>
        <v>26.8552</v>
      </c>
      <c r="D254" s="4">
        <f>37.6037 * CHOOSE(CONTROL!$C$14, $C$14, 100%, $E$14) + CHOOSE(CONTROL!$C$33, 0.0021, 0)</f>
        <v>37.605800000000002</v>
      </c>
      <c r="E254" s="4">
        <f>171.510906791148 * CHOOSE(CONTROL!$C$14, $C$14, 100%, $E$14) + CHOOSE(CONTROL!$C$33, 0.0021, 0)</f>
        <v>171.513006791148</v>
      </c>
    </row>
    <row r="255" spans="1:5" ht="15">
      <c r="A255" s="11">
        <v>48853</v>
      </c>
      <c r="B255" s="4">
        <f>26.3104 * CHOOSE(CONTROL!$C$14, $C$14, 100%, $E$14) + CHOOSE(CONTROL!$C$33, 0.0272, 0)</f>
        <v>26.337600000000002</v>
      </c>
      <c r="C255" s="4">
        <f>25.9472 * CHOOSE(CONTROL!$C$14, $C$14, 100%, $E$14) + CHOOSE(CONTROL!$C$33, 0.0272, 0)</f>
        <v>25.974399999999999</v>
      </c>
      <c r="D255" s="4">
        <f>37.1111 * CHOOSE(CONTROL!$C$14, $C$14, 100%, $E$14) + CHOOSE(CONTROL!$C$33, 0.0021, 0)</f>
        <v>37.113199999999999</v>
      </c>
      <c r="E255" s="4">
        <f>165.812378280719 * CHOOSE(CONTROL!$C$14, $C$14, 100%, $E$14) + CHOOSE(CONTROL!$C$33, 0.0021, 0)</f>
        <v>165.81447828071902</v>
      </c>
    </row>
    <row r="256" spans="1:5" ht="15">
      <c r="A256" s="11">
        <v>48884</v>
      </c>
      <c r="B256" s="4">
        <f>25.7452 * CHOOSE(CONTROL!$C$14, $C$14, 100%, $E$14) + CHOOSE(CONTROL!$C$33, 0.0272, 0)</f>
        <v>25.772400000000001</v>
      </c>
      <c r="C256" s="4">
        <f>25.3819 * CHOOSE(CONTROL!$C$14, $C$14, 100%, $E$14) + CHOOSE(CONTROL!$C$33, 0.0272, 0)</f>
        <v>25.409100000000002</v>
      </c>
      <c r="D256" s="4">
        <f>36.9417 * CHOOSE(CONTROL!$C$14, $C$14, 100%, $E$14) + CHOOSE(CONTROL!$C$33, 0.0021, 0)</f>
        <v>36.943799999999996</v>
      </c>
      <c r="E256" s="4">
        <f>162.142100380536 * CHOOSE(CONTROL!$C$14, $C$14, 100%, $E$14) + CHOOSE(CONTROL!$C$33, 0.0021, 0)</f>
        <v>162.14420038053601</v>
      </c>
    </row>
    <row r="257" spans="1:5" ht="15">
      <c r="A257" s="11">
        <v>48914</v>
      </c>
      <c r="B257" s="4">
        <f>25.3541 * CHOOSE(CONTROL!$C$14, $C$14, 100%, $E$14) + CHOOSE(CONTROL!$C$33, 0.0272, 0)</f>
        <v>25.3813</v>
      </c>
      <c r="C257" s="4">
        <f>24.9908 * CHOOSE(CONTROL!$C$14, $C$14, 100%, $E$14) + CHOOSE(CONTROL!$C$33, 0.0272, 0)</f>
        <v>25.018000000000001</v>
      </c>
      <c r="D257" s="4">
        <f>35.6949 * CHOOSE(CONTROL!$C$14, $C$14, 100%, $E$14) + CHOOSE(CONTROL!$C$33, 0.0021, 0)</f>
        <v>35.696999999999996</v>
      </c>
      <c r="E257" s="4">
        <f>159.602739867366 * CHOOSE(CONTROL!$C$14, $C$14, 100%, $E$14) + CHOOSE(CONTROL!$C$33, 0.0021, 0)</f>
        <v>159.60483986736602</v>
      </c>
    </row>
    <row r="258" spans="1:5" ht="15">
      <c r="A258" s="11">
        <v>48945</v>
      </c>
      <c r="B258" s="4">
        <f>24.329 * CHOOSE(CONTROL!$C$14, $C$14, 100%, $E$14) + CHOOSE(CONTROL!$C$33, 0.0272, 0)</f>
        <v>24.356200000000001</v>
      </c>
      <c r="C258" s="4">
        <f>23.9658 * CHOOSE(CONTROL!$C$14, $C$14, 100%, $E$14) + CHOOSE(CONTROL!$C$33, 0.0272, 0)</f>
        <v>23.993000000000002</v>
      </c>
      <c r="D258" s="4">
        <f>34.2593 * CHOOSE(CONTROL!$C$14, $C$14, 100%, $E$14) + CHOOSE(CONTROL!$C$33, 0.0021, 0)</f>
        <v>34.261400000000002</v>
      </c>
      <c r="E258" s="4">
        <f>152.954637220502 * CHOOSE(CONTROL!$C$14, $C$14, 100%, $E$14) + CHOOSE(CONTROL!$C$33, 0.0021, 0)</f>
        <v>152.95673722050202</v>
      </c>
    </row>
    <row r="259" spans="1:5" ht="15">
      <c r="A259" s="11">
        <v>48976</v>
      </c>
      <c r="B259" s="4">
        <f>24.8883 * CHOOSE(CONTROL!$C$14, $C$14, 100%, $E$14) + CHOOSE(CONTROL!$C$33, 0.0272, 0)</f>
        <v>24.915500000000002</v>
      </c>
      <c r="C259" s="4">
        <f>24.5251 * CHOOSE(CONTROL!$C$14, $C$14, 100%, $E$14) + CHOOSE(CONTROL!$C$33, 0.0272, 0)</f>
        <v>24.552299999999999</v>
      </c>
      <c r="D259" s="4">
        <f>35.4031 * CHOOSE(CONTROL!$C$14, $C$14, 100%, $E$14) + CHOOSE(CONTROL!$C$33, 0.0021, 0)</f>
        <v>35.405200000000001</v>
      </c>
      <c r="E259" s="4">
        <f>156.586383088491 * CHOOSE(CONTROL!$C$14, $C$14, 100%, $E$14) + CHOOSE(CONTROL!$C$33, 0.0021, 0)</f>
        <v>156.58848308849102</v>
      </c>
    </row>
    <row r="260" spans="1:5" ht="15">
      <c r="A260" s="11">
        <v>49004</v>
      </c>
      <c r="B260" s="4">
        <f>26.3571 * CHOOSE(CONTROL!$C$14, $C$14, 100%, $E$14) + CHOOSE(CONTROL!$C$33, 0.0272, 0)</f>
        <v>26.3843</v>
      </c>
      <c r="C260" s="4">
        <f>25.9938 * CHOOSE(CONTROL!$C$14, $C$14, 100%, $E$14) + CHOOSE(CONTROL!$C$33, 0.0272, 0)</f>
        <v>26.021000000000001</v>
      </c>
      <c r="D260" s="4">
        <f>37.1936 * CHOOSE(CONTROL!$C$14, $C$14, 100%, $E$14) + CHOOSE(CONTROL!$C$33, 0.0021, 0)</f>
        <v>37.195700000000002</v>
      </c>
      <c r="E260" s="4">
        <f>166.123540740525 * CHOOSE(CONTROL!$C$14, $C$14, 100%, $E$14) + CHOOSE(CONTROL!$C$33, 0.0021, 0)</f>
        <v>166.125640740525</v>
      </c>
    </row>
    <row r="261" spans="1:5" ht="15">
      <c r="A261" s="11">
        <v>49035</v>
      </c>
      <c r="B261" s="4">
        <f>27.4007 * CHOOSE(CONTROL!$C$14, $C$14, 100%, $E$14) + CHOOSE(CONTROL!$C$33, 0.0272, 0)</f>
        <v>27.427900000000001</v>
      </c>
      <c r="C261" s="4">
        <f>27.0374 * CHOOSE(CONTROL!$C$14, $C$14, 100%, $E$14) + CHOOSE(CONTROL!$C$33, 0.0272, 0)</f>
        <v>27.064600000000002</v>
      </c>
      <c r="D261" s="4">
        <f>38.225 * CHOOSE(CONTROL!$C$14, $C$14, 100%, $E$14) + CHOOSE(CONTROL!$C$33, 0.0021, 0)</f>
        <v>38.2271</v>
      </c>
      <c r="E261" s="4">
        <f>172.899818351633 * CHOOSE(CONTROL!$C$14, $C$14, 100%, $E$14) + CHOOSE(CONTROL!$C$33, 0.0021, 0)</f>
        <v>172.90191835163301</v>
      </c>
    </row>
    <row r="262" spans="1:5" ht="15">
      <c r="A262" s="11">
        <v>49065</v>
      </c>
      <c r="B262" s="4">
        <f>28.0383 * CHOOSE(CONTROL!$C$14, $C$14, 100%, $E$14) + CHOOSE(CONTROL!$C$33, 0.0304, 0)</f>
        <v>28.0687</v>
      </c>
      <c r="C262" s="4">
        <f>27.675 * CHOOSE(CONTROL!$C$14, $C$14, 100%, $E$14) + CHOOSE(CONTROL!$C$33, 0.0304, 0)</f>
        <v>27.705400000000001</v>
      </c>
      <c r="D262" s="4">
        <f>37.8175 * CHOOSE(CONTROL!$C$14, $C$14, 100%, $E$14) + CHOOSE(CONTROL!$C$33, 0.0021, 0)</f>
        <v>37.819600000000001</v>
      </c>
      <c r="E262" s="4">
        <f>177.039961567311 * CHOOSE(CONTROL!$C$14, $C$14, 100%, $E$14) + CHOOSE(CONTROL!$C$33, 0.0021, 0)</f>
        <v>177.04206156731101</v>
      </c>
    </row>
    <row r="263" spans="1:5" ht="15">
      <c r="A263" s="11">
        <v>49096</v>
      </c>
      <c r="B263" s="4">
        <f>28.1245 * CHOOSE(CONTROL!$C$14, $C$14, 100%, $E$14) + CHOOSE(CONTROL!$C$33, 0.0304, 0)</f>
        <v>28.154900000000001</v>
      </c>
      <c r="C263" s="4">
        <f>27.7613 * CHOOSE(CONTROL!$C$14, $C$14, 100%, $E$14) + CHOOSE(CONTROL!$C$33, 0.0304, 0)</f>
        <v>27.791699999999999</v>
      </c>
      <c r="D263" s="4">
        <f>38.1494 * CHOOSE(CONTROL!$C$14, $C$14, 100%, $E$14) + CHOOSE(CONTROL!$C$33, 0.0021, 0)</f>
        <v>38.151499999999999</v>
      </c>
      <c r="E263" s="4">
        <f>177.60014012634 * CHOOSE(CONTROL!$C$14, $C$14, 100%, $E$14) + CHOOSE(CONTROL!$C$33, 0.0021, 0)</f>
        <v>177.60224012634001</v>
      </c>
    </row>
    <row r="264" spans="1:5" ht="15">
      <c r="A264" s="11">
        <v>49126</v>
      </c>
      <c r="B264" s="4">
        <f>28.1158 * CHOOSE(CONTROL!$C$14, $C$14, 100%, $E$14) + CHOOSE(CONTROL!$C$33, 0.0304, 0)</f>
        <v>28.1462</v>
      </c>
      <c r="C264" s="4">
        <f>27.7526 * CHOOSE(CONTROL!$C$14, $C$14, 100%, $E$14) + CHOOSE(CONTROL!$C$33, 0.0304, 0)</f>
        <v>27.783000000000001</v>
      </c>
      <c r="D264" s="4">
        <f>38.7483 * CHOOSE(CONTROL!$C$14, $C$14, 100%, $E$14) + CHOOSE(CONTROL!$C$33, 0.0021, 0)</f>
        <v>38.750399999999999</v>
      </c>
      <c r="E264" s="4">
        <f>177.543651532152 * CHOOSE(CONTROL!$C$14, $C$14, 100%, $E$14) + CHOOSE(CONTROL!$C$33, 0.0021, 0)</f>
        <v>177.54575153215202</v>
      </c>
    </row>
    <row r="265" spans="1:5" ht="15">
      <c r="A265" s="11">
        <v>49157</v>
      </c>
      <c r="B265" s="4">
        <f>28.7705 * CHOOSE(CONTROL!$C$14, $C$14, 100%, $E$14) + CHOOSE(CONTROL!$C$33, 0.0304, 0)</f>
        <v>28.800899999999999</v>
      </c>
      <c r="C265" s="4">
        <f>28.4072 * CHOOSE(CONTROL!$C$14, $C$14, 100%, $E$14) + CHOOSE(CONTROL!$C$33, 0.0304, 0)</f>
        <v>28.4376</v>
      </c>
      <c r="D265" s="4">
        <f>38.3528 * CHOOSE(CONTROL!$C$14, $C$14, 100%, $E$14) + CHOOSE(CONTROL!$C$33, 0.0021, 0)</f>
        <v>38.354900000000001</v>
      </c>
      <c r="E265" s="4">
        <f>181.794418244782 * CHOOSE(CONTROL!$C$14, $C$14, 100%, $E$14) + CHOOSE(CONTROL!$C$33, 0.0021, 0)</f>
        <v>181.79651824478202</v>
      </c>
    </row>
    <row r="266" spans="1:5" ht="15">
      <c r="A266" s="11">
        <v>49188</v>
      </c>
      <c r="B266" s="4">
        <f>27.6548 * CHOOSE(CONTROL!$C$14, $C$14, 100%, $E$14) + CHOOSE(CONTROL!$C$33, 0.0304, 0)</f>
        <v>27.685200000000002</v>
      </c>
      <c r="C266" s="4">
        <f>27.2915 * CHOOSE(CONTROL!$C$14, $C$14, 100%, $E$14) + CHOOSE(CONTROL!$C$33, 0.0304, 0)</f>
        <v>27.321899999999999</v>
      </c>
      <c r="D266" s="4">
        <f>38.1659 * CHOOSE(CONTROL!$C$14, $C$14, 100%, $E$14) + CHOOSE(CONTROL!$C$33, 0.0021, 0)</f>
        <v>38.167999999999999</v>
      </c>
      <c r="E266" s="4">
        <f>174.549756040201 * CHOOSE(CONTROL!$C$14, $C$14, 100%, $E$14) + CHOOSE(CONTROL!$C$33, 0.0021, 0)</f>
        <v>174.55185604020102</v>
      </c>
    </row>
    <row r="267" spans="1:5" ht="15">
      <c r="A267" s="11">
        <v>49218</v>
      </c>
      <c r="B267" s="4">
        <f>26.7616 * CHOOSE(CONTROL!$C$14, $C$14, 100%, $E$14) + CHOOSE(CONTROL!$C$33, 0.0272, 0)</f>
        <v>26.788800000000002</v>
      </c>
      <c r="C267" s="4">
        <f>26.3984 * CHOOSE(CONTROL!$C$14, $C$14, 100%, $E$14) + CHOOSE(CONTROL!$C$33, 0.0272, 0)</f>
        <v>26.425599999999999</v>
      </c>
      <c r="D267" s="4">
        <f>37.6656 * CHOOSE(CONTROL!$C$14, $C$14, 100%, $E$14) + CHOOSE(CONTROL!$C$33, 0.0021, 0)</f>
        <v>37.667699999999996</v>
      </c>
      <c r="E267" s="4">
        <f>168.750260370257 * CHOOSE(CONTROL!$C$14, $C$14, 100%, $E$14) + CHOOSE(CONTROL!$C$33, 0.0021, 0)</f>
        <v>168.75236037025701</v>
      </c>
    </row>
    <row r="268" spans="1:5" ht="15">
      <c r="A268" s="11">
        <v>49249</v>
      </c>
      <c r="B268" s="4">
        <f>26.1864 * CHOOSE(CONTROL!$C$14, $C$14, 100%, $E$14) + CHOOSE(CONTROL!$C$33, 0.0272, 0)</f>
        <v>26.2136</v>
      </c>
      <c r="C268" s="4">
        <f>25.8231 * CHOOSE(CONTROL!$C$14, $C$14, 100%, $E$14) + CHOOSE(CONTROL!$C$33, 0.0272, 0)</f>
        <v>25.850300000000001</v>
      </c>
      <c r="D268" s="4">
        <f>37.4935 * CHOOSE(CONTROL!$C$14, $C$14, 100%, $E$14) + CHOOSE(CONTROL!$C$33, 0.0021, 0)</f>
        <v>37.495599999999996</v>
      </c>
      <c r="E268" s="4">
        <f>165.01495207959 * CHOOSE(CONTROL!$C$14, $C$14, 100%, $E$14) + CHOOSE(CONTROL!$C$33, 0.0021, 0)</f>
        <v>165.01705207959</v>
      </c>
    </row>
    <row r="269" spans="1:5" ht="15">
      <c r="A269" s="11">
        <v>49279</v>
      </c>
      <c r="B269" s="4">
        <f>25.7884 * CHOOSE(CONTROL!$C$14, $C$14, 100%, $E$14) + CHOOSE(CONTROL!$C$33, 0.0272, 0)</f>
        <v>25.8156</v>
      </c>
      <c r="C269" s="4">
        <f>25.4251 * CHOOSE(CONTROL!$C$14, $C$14, 100%, $E$14) + CHOOSE(CONTROL!$C$33, 0.0272, 0)</f>
        <v>25.452300000000001</v>
      </c>
      <c r="D269" s="4">
        <f>36.2271 * CHOOSE(CONTROL!$C$14, $C$14, 100%, $E$14) + CHOOSE(CONTROL!$C$33, 0.0021, 0)</f>
        <v>36.229199999999999</v>
      </c>
      <c r="E269" s="4">
        <f>162.4305988955 * CHOOSE(CONTROL!$C$14, $C$14, 100%, $E$14) + CHOOSE(CONTROL!$C$33, 0.0021, 0)</f>
        <v>162.43269889550001</v>
      </c>
    </row>
    <row r="270" spans="1:5" ht="15">
      <c r="A270" s="11">
        <v>49310</v>
      </c>
      <c r="B270" s="4">
        <f>24.7452 * CHOOSE(CONTROL!$C$14, $C$14, 100%, $E$14) + CHOOSE(CONTROL!$C$33, 0.0272, 0)</f>
        <v>24.772400000000001</v>
      </c>
      <c r="C270" s="4">
        <f>24.382 * CHOOSE(CONTROL!$C$14, $C$14, 100%, $E$14) + CHOOSE(CONTROL!$C$33, 0.0272, 0)</f>
        <v>24.409200000000002</v>
      </c>
      <c r="D270" s="4">
        <f>34.7689 * CHOOSE(CONTROL!$C$14, $C$14, 100%, $E$14) + CHOOSE(CONTROL!$C$33, 0.0021, 0)</f>
        <v>34.771000000000001</v>
      </c>
      <c r="E270" s="4">
        <f>155.664704429363 * CHOOSE(CONTROL!$C$14, $C$14, 100%, $E$14) + CHOOSE(CONTROL!$C$33, 0.0021, 0)</f>
        <v>155.66680442936303</v>
      </c>
    </row>
    <row r="271" spans="1:5" ht="15">
      <c r="A271" s="11">
        <v>49341</v>
      </c>
      <c r="B271" s="4">
        <f>25.3144 * CHOOSE(CONTROL!$C$14, $C$14, 100%, $E$14) + CHOOSE(CONTROL!$C$33, 0.0272, 0)</f>
        <v>25.3416</v>
      </c>
      <c r="C271" s="4">
        <f>24.9511 * CHOOSE(CONTROL!$C$14, $C$14, 100%, $E$14) + CHOOSE(CONTROL!$C$33, 0.0272, 0)</f>
        <v>24.978300000000001</v>
      </c>
      <c r="D271" s="4">
        <f>35.9307 * CHOOSE(CONTROL!$C$14, $C$14, 100%, $E$14) + CHOOSE(CONTROL!$C$33, 0.0021, 0)</f>
        <v>35.9328</v>
      </c>
      <c r="E271" s="4">
        <f>159.360797973019 * CHOOSE(CONTROL!$C$14, $C$14, 100%, $E$14) + CHOOSE(CONTROL!$C$33, 0.0021, 0)</f>
        <v>159.36289797301902</v>
      </c>
    </row>
    <row r="272" spans="1:5" ht="15">
      <c r="A272" s="11">
        <v>49369</v>
      </c>
      <c r="B272" s="4">
        <f>26.8091 * CHOOSE(CONTROL!$C$14, $C$14, 100%, $E$14) + CHOOSE(CONTROL!$C$33, 0.0272, 0)</f>
        <v>26.836300000000001</v>
      </c>
      <c r="C272" s="4">
        <f>26.4458 * CHOOSE(CONTROL!$C$14, $C$14, 100%, $E$14) + CHOOSE(CONTROL!$C$33, 0.0272, 0)</f>
        <v>26.472999999999999</v>
      </c>
      <c r="D272" s="4">
        <f>37.7494 * CHOOSE(CONTROL!$C$14, $C$14, 100%, $E$14) + CHOOSE(CONTROL!$C$33, 0.0021, 0)</f>
        <v>37.7515</v>
      </c>
      <c r="E272" s="4">
        <f>169.066936041001 * CHOOSE(CONTROL!$C$14, $C$14, 100%, $E$14) + CHOOSE(CONTROL!$C$33, 0.0021, 0)</f>
        <v>169.069036041001</v>
      </c>
    </row>
    <row r="273" spans="1:5" ht="15">
      <c r="A273" s="11">
        <v>49400</v>
      </c>
      <c r="B273" s="4">
        <f>27.8711 * CHOOSE(CONTROL!$C$14, $C$14, 100%, $E$14) + CHOOSE(CONTROL!$C$33, 0.0272, 0)</f>
        <v>27.898299999999999</v>
      </c>
      <c r="C273" s="4">
        <f>27.5079 * CHOOSE(CONTROL!$C$14, $C$14, 100%, $E$14) + CHOOSE(CONTROL!$C$33, 0.0272, 0)</f>
        <v>27.5351</v>
      </c>
      <c r="D273" s="4">
        <f>38.797 * CHOOSE(CONTROL!$C$14, $C$14, 100%, $E$14) + CHOOSE(CONTROL!$C$33, 0.0021, 0)</f>
        <v>38.799099999999996</v>
      </c>
      <c r="E273" s="4">
        <f>175.963276489599 * CHOOSE(CONTROL!$C$14, $C$14, 100%, $E$14) + CHOOSE(CONTROL!$C$33, 0.0021, 0)</f>
        <v>175.96537648959901</v>
      </c>
    </row>
    <row r="274" spans="1:5" ht="15">
      <c r="A274" s="11">
        <v>49430</v>
      </c>
      <c r="B274" s="4">
        <f>28.52 * CHOOSE(CONTROL!$C$14, $C$14, 100%, $E$14) + CHOOSE(CONTROL!$C$33, 0.0304, 0)</f>
        <v>28.5504</v>
      </c>
      <c r="C274" s="4">
        <f>28.1567 * CHOOSE(CONTROL!$C$14, $C$14, 100%, $E$14) + CHOOSE(CONTROL!$C$33, 0.0304, 0)</f>
        <v>28.187100000000001</v>
      </c>
      <c r="D274" s="4">
        <f>38.383 * CHOOSE(CONTROL!$C$14, $C$14, 100%, $E$14) + CHOOSE(CONTROL!$C$33, 0.0021, 0)</f>
        <v>38.385100000000001</v>
      </c>
      <c r="E274" s="4">
        <f>180.176775221479 * CHOOSE(CONTROL!$C$14, $C$14, 100%, $E$14) + CHOOSE(CONTROL!$C$33, 0.0021, 0)</f>
        <v>180.17887522147902</v>
      </c>
    </row>
    <row r="275" spans="1:5" ht="15">
      <c r="A275" s="12">
        <v>49461</v>
      </c>
      <c r="B275" s="4">
        <f>28.6078 * CHOOSE(CONTROL!$C$14, $C$14, 100%, $E$14) + CHOOSE(CONTROL!$C$33, 0.0304, 0)</f>
        <v>28.638200000000001</v>
      </c>
      <c r="C275" s="4">
        <f>28.2445 * CHOOSE(CONTROL!$C$14, $C$14, 100%, $E$14) + CHOOSE(CONTROL!$C$33, 0.0304, 0)</f>
        <v>28.274899999999999</v>
      </c>
      <c r="D275" s="4">
        <f>38.7202 * CHOOSE(CONTROL!$C$14, $C$14, 100%, $E$14) + CHOOSE(CONTROL!$C$33, 0.0021, 0)</f>
        <v>38.722299999999997</v>
      </c>
      <c r="E275" s="4">
        <f>180.746879086282 * CHOOSE(CONTROL!$C$14, $C$14, 100%, $E$14) + CHOOSE(CONTROL!$C$33, 0.0021, 0)</f>
        <v>180.74897908628202</v>
      </c>
    </row>
    <row r="276" spans="1:5" ht="15">
      <c r="A276" s="12">
        <v>49491</v>
      </c>
      <c r="B276" s="4">
        <f>28.5989 * CHOOSE(CONTROL!$C$14, $C$14, 100%, $E$14) + CHOOSE(CONTROL!$C$33, 0.0304, 0)</f>
        <v>28.629300000000001</v>
      </c>
      <c r="C276" s="4">
        <f>28.2357 * CHOOSE(CONTROL!$C$14, $C$14, 100%, $E$14) + CHOOSE(CONTROL!$C$33, 0.0304, 0)</f>
        <v>28.266100000000002</v>
      </c>
      <c r="D276" s="4">
        <f>39.3285 * CHOOSE(CONTROL!$C$14, $C$14, 100%, $E$14) + CHOOSE(CONTROL!$C$33, 0.0021, 0)</f>
        <v>39.330599999999997</v>
      </c>
      <c r="E276" s="4">
        <f>180.689389620924 * CHOOSE(CONTROL!$C$14, $C$14, 100%, $E$14) + CHOOSE(CONTROL!$C$33, 0.0021, 0)</f>
        <v>180.69148962092402</v>
      </c>
    </row>
    <row r="277" spans="1:5" ht="15">
      <c r="A277" s="12">
        <v>49522</v>
      </c>
      <c r="B277" s="4">
        <f>29.2651 * CHOOSE(CONTROL!$C$14, $C$14, 100%, $E$14) + CHOOSE(CONTROL!$C$33, 0.0304, 0)</f>
        <v>29.295500000000001</v>
      </c>
      <c r="C277" s="4">
        <f>28.9019 * CHOOSE(CONTROL!$C$14, $C$14, 100%, $E$14) + CHOOSE(CONTROL!$C$33, 0.0304, 0)</f>
        <v>28.932300000000001</v>
      </c>
      <c r="D277" s="4">
        <f>38.9268 * CHOOSE(CONTROL!$C$14, $C$14, 100%, $E$14) + CHOOSE(CONTROL!$C$33, 0.0021, 0)</f>
        <v>38.928899999999999</v>
      </c>
      <c r="E277" s="4">
        <f>185.01547188913 * CHOOSE(CONTROL!$C$14, $C$14, 100%, $E$14) + CHOOSE(CONTROL!$C$33, 0.0021, 0)</f>
        <v>185.01757188913001</v>
      </c>
    </row>
    <row r="278" spans="1:5" ht="15">
      <c r="A278" s="12">
        <v>49553</v>
      </c>
      <c r="B278" s="4">
        <f>28.1297 * CHOOSE(CONTROL!$C$14, $C$14, 100%, $E$14) + CHOOSE(CONTROL!$C$33, 0.0304, 0)</f>
        <v>28.1601</v>
      </c>
      <c r="C278" s="4">
        <f>27.7664 * CHOOSE(CONTROL!$C$14, $C$14, 100%, $E$14) + CHOOSE(CONTROL!$C$33, 0.0304, 0)</f>
        <v>27.796800000000001</v>
      </c>
      <c r="D278" s="4">
        <f>38.737 * CHOOSE(CONTROL!$C$14, $C$14, 100%, $E$14) + CHOOSE(CONTROL!$C$33, 0.0021, 0)</f>
        <v>38.739100000000001</v>
      </c>
      <c r="E278" s="4">
        <f>177.642447956937 * CHOOSE(CONTROL!$C$14, $C$14, 100%, $E$14) + CHOOSE(CONTROL!$C$33, 0.0021, 0)</f>
        <v>177.644547956937</v>
      </c>
    </row>
    <row r="279" spans="1:5" ht="15">
      <c r="A279" s="12">
        <v>49583</v>
      </c>
      <c r="B279" s="4">
        <f>27.2208 * CHOOSE(CONTROL!$C$14, $C$14, 100%, $E$14) + CHOOSE(CONTROL!$C$33, 0.0272, 0)</f>
        <v>27.248000000000001</v>
      </c>
      <c r="C279" s="4">
        <f>26.8575 * CHOOSE(CONTROL!$C$14, $C$14, 100%, $E$14) + CHOOSE(CONTROL!$C$33, 0.0272, 0)</f>
        <v>26.884700000000002</v>
      </c>
      <c r="D279" s="4">
        <f>38.2287 * CHOOSE(CONTROL!$C$14, $C$14, 100%, $E$14) + CHOOSE(CONTROL!$C$33, 0.0021, 0)</f>
        <v>38.230800000000002</v>
      </c>
      <c r="E279" s="4">
        <f>171.740196180159 * CHOOSE(CONTROL!$C$14, $C$14, 100%, $E$14) + CHOOSE(CONTROL!$C$33, 0.0021, 0)</f>
        <v>171.742296180159</v>
      </c>
    </row>
    <row r="280" spans="1:5" ht="15">
      <c r="A280" s="12">
        <v>49614</v>
      </c>
      <c r="B280" s="4">
        <f>26.6354 * CHOOSE(CONTROL!$C$14, $C$14, 100%, $E$14) + CHOOSE(CONTROL!$C$33, 0.0272, 0)</f>
        <v>26.662600000000001</v>
      </c>
      <c r="C280" s="4">
        <f>26.2721 * CHOOSE(CONTROL!$C$14, $C$14, 100%, $E$14) + CHOOSE(CONTROL!$C$33, 0.0272, 0)</f>
        <v>26.299299999999999</v>
      </c>
      <c r="D280" s="4">
        <f>38.054 * CHOOSE(CONTROL!$C$14, $C$14, 100%, $E$14) + CHOOSE(CONTROL!$C$33, 0.0021, 0)</f>
        <v>38.056100000000001</v>
      </c>
      <c r="E280" s="4">
        <f>167.938705283346 * CHOOSE(CONTROL!$C$14, $C$14, 100%, $E$14) + CHOOSE(CONTROL!$C$33, 0.0021, 0)</f>
        <v>167.94080528334601</v>
      </c>
    </row>
    <row r="281" spans="1:5" ht="15">
      <c r="A281" s="12">
        <v>49644</v>
      </c>
      <c r="B281" s="4">
        <f>26.2304 * CHOOSE(CONTROL!$C$14, $C$14, 100%, $E$14) + CHOOSE(CONTROL!$C$33, 0.0272, 0)</f>
        <v>26.2576</v>
      </c>
      <c r="C281" s="4">
        <f>25.8671 * CHOOSE(CONTROL!$C$14, $C$14, 100%, $E$14) + CHOOSE(CONTROL!$C$33, 0.0272, 0)</f>
        <v>25.894300000000001</v>
      </c>
      <c r="D281" s="4">
        <f>36.7676 * CHOOSE(CONTROL!$C$14, $C$14, 100%, $E$14) + CHOOSE(CONTROL!$C$33, 0.0021, 0)</f>
        <v>36.7697</v>
      </c>
      <c r="E281" s="4">
        <f>165.308562243206 * CHOOSE(CONTROL!$C$14, $C$14, 100%, $E$14) + CHOOSE(CONTROL!$C$33, 0.0021, 0)</f>
        <v>165.31066224320602</v>
      </c>
    </row>
    <row r="282" spans="1:5" ht="15">
      <c r="A282" s="12">
        <v>49675</v>
      </c>
      <c r="B282" s="4">
        <f>25.1688 * CHOOSE(CONTROL!$C$14, $C$14, 100%, $E$14) + CHOOSE(CONTROL!$C$33, 0.0272, 0)</f>
        <v>25.196000000000002</v>
      </c>
      <c r="C282" s="4">
        <f>24.8055 * CHOOSE(CONTROL!$C$14, $C$14, 100%, $E$14) + CHOOSE(CONTROL!$C$33, 0.0272, 0)</f>
        <v>24.832699999999999</v>
      </c>
      <c r="D282" s="4">
        <f>35.2866 * CHOOSE(CONTROL!$C$14, $C$14, 100%, $E$14) + CHOOSE(CONTROL!$C$33, 0.0021, 0)</f>
        <v>35.288699999999999</v>
      </c>
      <c r="E282" s="4">
        <f>158.422788909292 * CHOOSE(CONTROL!$C$14, $C$14, 100%, $E$14) + CHOOSE(CONTROL!$C$33, 0.0021, 0)</f>
        <v>158.42488890929201</v>
      </c>
    </row>
    <row r="283" spans="1:5" ht="15">
      <c r="A283" s="12">
        <v>49706</v>
      </c>
      <c r="B283" s="4">
        <f>25.748 * CHOOSE(CONTROL!$C$14, $C$14, 100%, $E$14) + CHOOSE(CONTROL!$C$33, 0.0272, 0)</f>
        <v>25.775200000000002</v>
      </c>
      <c r="C283" s="4">
        <f>25.3847 * CHOOSE(CONTROL!$C$14, $C$14, 100%, $E$14) + CHOOSE(CONTROL!$C$33, 0.0272, 0)</f>
        <v>25.411899999999999</v>
      </c>
      <c r="D283" s="4">
        <f>36.4666 * CHOOSE(CONTROL!$C$14, $C$14, 100%, $E$14) + CHOOSE(CONTROL!$C$33, 0.0021, 0)</f>
        <v>36.468699999999998</v>
      </c>
      <c r="E283" s="4">
        <f>162.184370247863 * CHOOSE(CONTROL!$C$14, $C$14, 100%, $E$14) + CHOOSE(CONTROL!$C$33, 0.0021, 0)</f>
        <v>162.18647024786301</v>
      </c>
    </row>
    <row r="284" spans="1:5" ht="15">
      <c r="A284" s="12">
        <v>49735</v>
      </c>
      <c r="B284" s="4">
        <f>27.2691 * CHOOSE(CONTROL!$C$14, $C$14, 100%, $E$14) + CHOOSE(CONTROL!$C$33, 0.0272, 0)</f>
        <v>27.296300000000002</v>
      </c>
      <c r="C284" s="4">
        <f>26.9059 * CHOOSE(CONTROL!$C$14, $C$14, 100%, $E$14) + CHOOSE(CONTROL!$C$33, 0.0272, 0)</f>
        <v>26.9331</v>
      </c>
      <c r="D284" s="4">
        <f>38.3139 * CHOOSE(CONTROL!$C$14, $C$14, 100%, $E$14) + CHOOSE(CONTROL!$C$33, 0.0021, 0)</f>
        <v>38.315999999999995</v>
      </c>
      <c r="E284" s="4">
        <f>172.062482745523 * CHOOSE(CONTROL!$C$14, $C$14, 100%, $E$14) + CHOOSE(CONTROL!$C$33, 0.0021, 0)</f>
        <v>172.06458274552301</v>
      </c>
    </row>
    <row r="285" spans="1:5" ht="15">
      <c r="A285" s="12">
        <v>49766</v>
      </c>
      <c r="B285" s="4">
        <f>28.3499 * CHOOSE(CONTROL!$C$14, $C$14, 100%, $E$14) + CHOOSE(CONTROL!$C$33, 0.0272, 0)</f>
        <v>28.377100000000002</v>
      </c>
      <c r="C285" s="4">
        <f>27.9866 * CHOOSE(CONTROL!$C$14, $C$14, 100%, $E$14) + CHOOSE(CONTROL!$C$33, 0.0272, 0)</f>
        <v>28.0138</v>
      </c>
      <c r="D285" s="4">
        <f>39.378 * CHOOSE(CONTROL!$C$14, $C$14, 100%, $E$14) + CHOOSE(CONTROL!$C$33, 0.0021, 0)</f>
        <v>39.380099999999999</v>
      </c>
      <c r="E285" s="4">
        <f>179.081013318269 * CHOOSE(CONTROL!$C$14, $C$14, 100%, $E$14) + CHOOSE(CONTROL!$C$33, 0.0021, 0)</f>
        <v>179.083113318269</v>
      </c>
    </row>
    <row r="286" spans="1:5" ht="15">
      <c r="A286" s="12">
        <v>49796</v>
      </c>
      <c r="B286" s="4">
        <f>29.0102 * CHOOSE(CONTROL!$C$14, $C$14, 100%, $E$14) + CHOOSE(CONTROL!$C$33, 0.0304, 0)</f>
        <v>29.040600000000001</v>
      </c>
      <c r="C286" s="4">
        <f>28.647 * CHOOSE(CONTROL!$C$14, $C$14, 100%, $E$14) + CHOOSE(CONTROL!$C$33, 0.0304, 0)</f>
        <v>28.677399999999999</v>
      </c>
      <c r="D286" s="4">
        <f>38.9575 * CHOOSE(CONTROL!$C$14, $C$14, 100%, $E$14) + CHOOSE(CONTROL!$C$33, 0.0021, 0)</f>
        <v>38.959600000000002</v>
      </c>
      <c r="E286" s="4">
        <f>183.369167287515 * CHOOSE(CONTROL!$C$14, $C$14, 100%, $E$14) + CHOOSE(CONTROL!$C$33, 0.0021, 0)</f>
        <v>183.37126728751502</v>
      </c>
    </row>
    <row r="287" spans="1:5" ht="15">
      <c r="A287" s="12">
        <v>49827</v>
      </c>
      <c r="B287" s="4">
        <f>29.0996 * CHOOSE(CONTROL!$C$14, $C$14, 100%, $E$14) + CHOOSE(CONTROL!$C$33, 0.0304, 0)</f>
        <v>29.13</v>
      </c>
      <c r="C287" s="4">
        <f>28.7363 * CHOOSE(CONTROL!$C$14, $C$14, 100%, $E$14) + CHOOSE(CONTROL!$C$33, 0.0304, 0)</f>
        <v>28.7667</v>
      </c>
      <c r="D287" s="4">
        <f>39.2999 * CHOOSE(CONTROL!$C$14, $C$14, 100%, $E$14) + CHOOSE(CONTROL!$C$33, 0.0021, 0)</f>
        <v>39.302</v>
      </c>
      <c r="E287" s="4">
        <f>183.949372315758 * CHOOSE(CONTROL!$C$14, $C$14, 100%, $E$14) + CHOOSE(CONTROL!$C$33, 0.0021, 0)</f>
        <v>183.95147231575802</v>
      </c>
    </row>
    <row r="288" spans="1:5" ht="15">
      <c r="A288" s="12">
        <v>49857</v>
      </c>
      <c r="B288" s="4">
        <f>29.0906 * CHOOSE(CONTROL!$C$14, $C$14, 100%, $E$14) + CHOOSE(CONTROL!$C$33, 0.0304, 0)</f>
        <v>29.120999999999999</v>
      </c>
      <c r="C288" s="4">
        <f>28.7273 * CHOOSE(CONTROL!$C$14, $C$14, 100%, $E$14) + CHOOSE(CONTROL!$C$33, 0.0304, 0)</f>
        <v>28.7577</v>
      </c>
      <c r="D288" s="4">
        <f>39.9178 * CHOOSE(CONTROL!$C$14, $C$14, 100%, $E$14) + CHOOSE(CONTROL!$C$33, 0.0021, 0)</f>
        <v>39.919899999999998</v>
      </c>
      <c r="E288" s="4">
        <f>183.890864245683 * CHOOSE(CONTROL!$C$14, $C$14, 100%, $E$14) + CHOOSE(CONTROL!$C$33, 0.0021, 0)</f>
        <v>183.892964245683</v>
      </c>
    </row>
    <row r="289" spans="1:5" ht="15">
      <c r="A289" s="12">
        <v>49888</v>
      </c>
      <c r="B289" s="4">
        <f>29.7685 * CHOOSE(CONTROL!$C$14, $C$14, 100%, $E$14) + CHOOSE(CONTROL!$C$33, 0.0304, 0)</f>
        <v>29.7989</v>
      </c>
      <c r="C289" s="4">
        <f>29.4053 * CHOOSE(CONTROL!$C$14, $C$14, 100%, $E$14) + CHOOSE(CONTROL!$C$33, 0.0304, 0)</f>
        <v>29.435700000000001</v>
      </c>
      <c r="D289" s="4">
        <f>39.5098 * CHOOSE(CONTROL!$C$14, $C$14, 100%, $E$14) + CHOOSE(CONTROL!$C$33, 0.0021, 0)</f>
        <v>39.511899999999997</v>
      </c>
      <c r="E289" s="4">
        <f>188.293596518826 * CHOOSE(CONTROL!$C$14, $C$14, 100%, $E$14) + CHOOSE(CONTROL!$C$33, 0.0021, 0)</f>
        <v>188.29569651882602</v>
      </c>
    </row>
    <row r="290" spans="1:5" ht="15">
      <c r="A290" s="12">
        <v>49919</v>
      </c>
      <c r="B290" s="4">
        <f>28.6131 * CHOOSE(CONTROL!$C$14, $C$14, 100%, $E$14) + CHOOSE(CONTROL!$C$33, 0.0304, 0)</f>
        <v>28.6435</v>
      </c>
      <c r="C290" s="4">
        <f>28.2498 * CHOOSE(CONTROL!$C$14, $C$14, 100%, $E$14) + CHOOSE(CONTROL!$C$33, 0.0304, 0)</f>
        <v>28.280200000000001</v>
      </c>
      <c r="D290" s="4">
        <f>39.317 * CHOOSE(CONTROL!$C$14, $C$14, 100%, $E$14) + CHOOSE(CONTROL!$C$33, 0.0021, 0)</f>
        <v>39.319099999999999</v>
      </c>
      <c r="E290" s="4">
        <f>180.789936531709 * CHOOSE(CONTROL!$C$14, $C$14, 100%, $E$14) + CHOOSE(CONTROL!$C$33, 0.0021, 0)</f>
        <v>180.79203653170902</v>
      </c>
    </row>
    <row r="291" spans="1:5" ht="15">
      <c r="A291" s="12">
        <v>49949</v>
      </c>
      <c r="B291" s="4">
        <f>27.6881 * CHOOSE(CONTROL!$C$14, $C$14, 100%, $E$14) + CHOOSE(CONTROL!$C$33, 0.0272, 0)</f>
        <v>27.715299999999999</v>
      </c>
      <c r="C291" s="4">
        <f>27.3248 * CHOOSE(CONTROL!$C$14, $C$14, 100%, $E$14) + CHOOSE(CONTROL!$C$33, 0.0272, 0)</f>
        <v>27.352</v>
      </c>
      <c r="D291" s="4">
        <f>38.8007 * CHOOSE(CONTROL!$C$14, $C$14, 100%, $E$14) + CHOOSE(CONTROL!$C$33, 0.0021, 0)</f>
        <v>38.802799999999998</v>
      </c>
      <c r="E291" s="4">
        <f>174.78310800401 * CHOOSE(CONTROL!$C$14, $C$14, 100%, $E$14) + CHOOSE(CONTROL!$C$33, 0.0021, 0)</f>
        <v>174.78520800401</v>
      </c>
    </row>
    <row r="292" spans="1:5" ht="15">
      <c r="A292" s="12">
        <v>49980</v>
      </c>
      <c r="B292" s="4">
        <f>27.0923 * CHOOSE(CONTROL!$C$14, $C$14, 100%, $E$14) + CHOOSE(CONTROL!$C$33, 0.0272, 0)</f>
        <v>27.119500000000002</v>
      </c>
      <c r="C292" s="4">
        <f>26.729 * CHOOSE(CONTROL!$C$14, $C$14, 100%, $E$14) + CHOOSE(CONTROL!$C$33, 0.0272, 0)</f>
        <v>26.7562</v>
      </c>
      <c r="D292" s="4">
        <f>38.6233 * CHOOSE(CONTROL!$C$14, $C$14, 100%, $E$14) + CHOOSE(CONTROL!$C$33, 0.0021, 0)</f>
        <v>38.625399999999999</v>
      </c>
      <c r="E292" s="4">
        <f>170.914261870302 * CHOOSE(CONTROL!$C$14, $C$14, 100%, $E$14) + CHOOSE(CONTROL!$C$33, 0.0021, 0)</f>
        <v>170.91636187030201</v>
      </c>
    </row>
    <row r="293" spans="1:5" ht="15">
      <c r="A293" s="12">
        <v>50010</v>
      </c>
      <c r="B293" s="4">
        <f>26.6801 * CHOOSE(CONTROL!$C$14, $C$14, 100%, $E$14) + CHOOSE(CONTROL!$C$33, 0.0272, 0)</f>
        <v>26.7073</v>
      </c>
      <c r="C293" s="4">
        <f>26.3168 * CHOOSE(CONTROL!$C$14, $C$14, 100%, $E$14) + CHOOSE(CONTROL!$C$33, 0.0272, 0)</f>
        <v>26.344000000000001</v>
      </c>
      <c r="D293" s="4">
        <f>37.3166 * CHOOSE(CONTROL!$C$14, $C$14, 100%, $E$14) + CHOOSE(CONTROL!$C$33, 0.0021, 0)</f>
        <v>37.3187</v>
      </c>
      <c r="E293" s="4">
        <f>168.237517664371 * CHOOSE(CONTROL!$C$14, $C$14, 100%, $E$14) + CHOOSE(CONTROL!$C$33, 0.0021, 0)</f>
        <v>168.23961766437102</v>
      </c>
    </row>
    <row r="294" spans="1:5" ht="15">
      <c r="A294" s="12">
        <v>50041</v>
      </c>
      <c r="B294" s="4">
        <f>25.5998 * CHOOSE(CONTROL!$C$14, $C$14, 100%, $E$14) + CHOOSE(CONTROL!$C$33, 0.0272, 0)</f>
        <v>25.626999999999999</v>
      </c>
      <c r="C294" s="4">
        <f>25.2365 * CHOOSE(CONTROL!$C$14, $C$14, 100%, $E$14) + CHOOSE(CONTROL!$C$33, 0.0272, 0)</f>
        <v>25.2637</v>
      </c>
      <c r="D294" s="4">
        <f>35.8123 * CHOOSE(CONTROL!$C$14, $C$14, 100%, $E$14) + CHOOSE(CONTROL!$C$33, 0.0021, 0)</f>
        <v>35.814399999999999</v>
      </c>
      <c r="E294" s="4">
        <f>161.229741435618 * CHOOSE(CONTROL!$C$14, $C$14, 100%, $E$14) + CHOOSE(CONTROL!$C$33, 0.0021, 0)</f>
        <v>161.23184143561801</v>
      </c>
    </row>
    <row r="295" spans="1:5" ht="15">
      <c r="A295" s="12">
        <v>50072</v>
      </c>
      <c r="B295" s="4">
        <f>26.1893 * CHOOSE(CONTROL!$C$14, $C$14, 100%, $E$14) + CHOOSE(CONTROL!$C$33, 0.0272, 0)</f>
        <v>26.2165</v>
      </c>
      <c r="C295" s="4">
        <f>25.826 * CHOOSE(CONTROL!$C$14, $C$14, 100%, $E$14) + CHOOSE(CONTROL!$C$33, 0.0272, 0)</f>
        <v>25.853200000000001</v>
      </c>
      <c r="D295" s="4">
        <f>37.0109 * CHOOSE(CONTROL!$C$14, $C$14, 100%, $E$14) + CHOOSE(CONTROL!$C$33, 0.0021, 0)</f>
        <v>37.012999999999998</v>
      </c>
      <c r="E295" s="4">
        <f>165.05797088911 * CHOOSE(CONTROL!$C$14, $C$14, 100%, $E$14) + CHOOSE(CONTROL!$C$33, 0.0021, 0)</f>
        <v>165.06007088911002</v>
      </c>
    </row>
    <row r="296" spans="1:5" ht="15">
      <c r="A296" s="12">
        <v>50100</v>
      </c>
      <c r="B296" s="4">
        <f>27.7373 * CHOOSE(CONTROL!$C$14, $C$14, 100%, $E$14) + CHOOSE(CONTROL!$C$33, 0.0272, 0)</f>
        <v>27.764500000000002</v>
      </c>
      <c r="C296" s="4">
        <f>27.374 * CHOOSE(CONTROL!$C$14, $C$14, 100%, $E$14) + CHOOSE(CONTROL!$C$33, 0.0272, 0)</f>
        <v>27.401199999999999</v>
      </c>
      <c r="D296" s="4">
        <f>38.8872 * CHOOSE(CONTROL!$C$14, $C$14, 100%, $E$14) + CHOOSE(CONTROL!$C$33, 0.0021, 0)</f>
        <v>38.889299999999999</v>
      </c>
      <c r="E296" s="4">
        <f>175.111104878448 * CHOOSE(CONTROL!$C$14, $C$14, 100%, $E$14) + CHOOSE(CONTROL!$C$33, 0.0021, 0)</f>
        <v>175.11320487844802</v>
      </c>
    </row>
    <row r="297" spans="1:5" ht="15">
      <c r="A297" s="12">
        <v>50131</v>
      </c>
      <c r="B297" s="4">
        <f>28.8371 * CHOOSE(CONTROL!$C$14, $C$14, 100%, $E$14) + CHOOSE(CONTROL!$C$33, 0.0272, 0)</f>
        <v>28.8643</v>
      </c>
      <c r="C297" s="4">
        <f>28.4739 * CHOOSE(CONTROL!$C$14, $C$14, 100%, $E$14) + CHOOSE(CONTROL!$C$33, 0.0272, 0)</f>
        <v>28.501100000000001</v>
      </c>
      <c r="D297" s="4">
        <f>39.9681 * CHOOSE(CONTROL!$C$14, $C$14, 100%, $E$14) + CHOOSE(CONTROL!$C$33, 0.0021, 0)</f>
        <v>39.970199999999998</v>
      </c>
      <c r="E297" s="4">
        <f>182.253990553498 * CHOOSE(CONTROL!$C$14, $C$14, 100%, $E$14) + CHOOSE(CONTROL!$C$33, 0.0021, 0)</f>
        <v>182.25609055349801</v>
      </c>
    </row>
    <row r="298" spans="1:5" ht="15">
      <c r="A298" s="12">
        <v>50161</v>
      </c>
      <c r="B298" s="4">
        <f>29.5091 * CHOOSE(CONTROL!$C$14, $C$14, 100%, $E$14) + CHOOSE(CONTROL!$C$33, 0.0304, 0)</f>
        <v>29.5395</v>
      </c>
      <c r="C298" s="4">
        <f>29.1458 * CHOOSE(CONTROL!$C$14, $C$14, 100%, $E$14) + CHOOSE(CONTROL!$C$33, 0.0304, 0)</f>
        <v>29.176200000000001</v>
      </c>
      <c r="D298" s="4">
        <f>39.541 * CHOOSE(CONTROL!$C$14, $C$14, 100%, $E$14) + CHOOSE(CONTROL!$C$33, 0.0021, 0)</f>
        <v>39.543099999999995</v>
      </c>
      <c r="E298" s="4">
        <f>186.618122509877 * CHOOSE(CONTROL!$C$14, $C$14, 100%, $E$14) + CHOOSE(CONTROL!$C$33, 0.0021, 0)</f>
        <v>186.62022250987701</v>
      </c>
    </row>
    <row r="299" spans="1:5" ht="15">
      <c r="A299" s="12">
        <v>50192</v>
      </c>
      <c r="B299" s="4">
        <f>29.6001 * CHOOSE(CONTROL!$C$14, $C$14, 100%, $E$14) + CHOOSE(CONTROL!$C$33, 0.0304, 0)</f>
        <v>29.630500000000001</v>
      </c>
      <c r="C299" s="4">
        <f>29.2368 * CHOOSE(CONTROL!$C$14, $C$14, 100%, $E$14) + CHOOSE(CONTROL!$C$33, 0.0304, 0)</f>
        <v>29.267199999999999</v>
      </c>
      <c r="D299" s="4">
        <f>39.8888 * CHOOSE(CONTROL!$C$14, $C$14, 100%, $E$14) + CHOOSE(CONTROL!$C$33, 0.0021, 0)</f>
        <v>39.890900000000002</v>
      </c>
      <c r="E299" s="4">
        <f>187.208607675094 * CHOOSE(CONTROL!$C$14, $C$14, 100%, $E$14) + CHOOSE(CONTROL!$C$33, 0.0021, 0)</f>
        <v>187.210707675094</v>
      </c>
    </row>
    <row r="300" spans="1:5" ht="15">
      <c r="A300" s="12">
        <v>50222</v>
      </c>
      <c r="B300" s="4">
        <f>29.5909 * CHOOSE(CONTROL!$C$14, $C$14, 100%, $E$14) + CHOOSE(CONTROL!$C$33, 0.0304, 0)</f>
        <v>29.621300000000002</v>
      </c>
      <c r="C300" s="4">
        <f>29.2276 * CHOOSE(CONTROL!$C$14, $C$14, 100%, $E$14) + CHOOSE(CONTROL!$C$33, 0.0304, 0)</f>
        <v>29.257999999999999</v>
      </c>
      <c r="D300" s="4">
        <f>40.5164 * CHOOSE(CONTROL!$C$14, $C$14, 100%, $E$14) + CHOOSE(CONTROL!$C$33, 0.0021, 0)</f>
        <v>40.518499999999996</v>
      </c>
      <c r="E300" s="4">
        <f>187.149062952551 * CHOOSE(CONTROL!$C$14, $C$14, 100%, $E$14) + CHOOSE(CONTROL!$C$33, 0.0021, 0)</f>
        <v>187.151162952551</v>
      </c>
    </row>
    <row r="301" spans="1:5" ht="15">
      <c r="A301" s="12">
        <v>50253</v>
      </c>
      <c r="B301" s="4">
        <f>30.2808 * CHOOSE(CONTROL!$C$14, $C$14, 100%, $E$14) + CHOOSE(CONTROL!$C$33, 0.0304, 0)</f>
        <v>30.311199999999999</v>
      </c>
      <c r="C301" s="4">
        <f>29.9176 * CHOOSE(CONTROL!$C$14, $C$14, 100%, $E$14) + CHOOSE(CONTROL!$C$33, 0.0304, 0)</f>
        <v>29.948</v>
      </c>
      <c r="D301" s="4">
        <f>40.1019 * CHOOSE(CONTROL!$C$14, $C$14, 100%, $E$14) + CHOOSE(CONTROL!$C$33, 0.0021, 0)</f>
        <v>40.103999999999999</v>
      </c>
      <c r="E301" s="4">
        <f>191.62980332391 * CHOOSE(CONTROL!$C$14, $C$14, 100%, $E$14) + CHOOSE(CONTROL!$C$33, 0.0021, 0)</f>
        <v>191.63190332391002</v>
      </c>
    </row>
    <row r="302" spans="1:5" ht="15">
      <c r="A302" s="12">
        <v>50284</v>
      </c>
      <c r="B302" s="4">
        <f>29.1049 * CHOOSE(CONTROL!$C$14, $C$14, 100%, $E$14) + CHOOSE(CONTROL!$C$33, 0.0304, 0)</f>
        <v>29.135300000000001</v>
      </c>
      <c r="C302" s="4">
        <f>28.7417 * CHOOSE(CONTROL!$C$14, $C$14, 100%, $E$14) + CHOOSE(CONTROL!$C$33, 0.0304, 0)</f>
        <v>28.772100000000002</v>
      </c>
      <c r="D302" s="4">
        <f>39.9061 * CHOOSE(CONTROL!$C$14, $C$14, 100%, $E$14) + CHOOSE(CONTROL!$C$33, 0.0021, 0)</f>
        <v>39.908200000000001</v>
      </c>
      <c r="E302" s="4">
        <f>183.993192657774 * CHOOSE(CONTROL!$C$14, $C$14, 100%, $E$14) + CHOOSE(CONTROL!$C$33, 0.0021, 0)</f>
        <v>183.995292657774</v>
      </c>
    </row>
    <row r="303" spans="1:5" ht="15">
      <c r="A303" s="12">
        <v>50314</v>
      </c>
      <c r="B303" s="4">
        <f>28.1636 * CHOOSE(CONTROL!$C$14, $C$14, 100%, $E$14) + CHOOSE(CONTROL!$C$33, 0.0272, 0)</f>
        <v>28.190799999999999</v>
      </c>
      <c r="C303" s="4">
        <f>27.8003 * CHOOSE(CONTROL!$C$14, $C$14, 100%, $E$14) + CHOOSE(CONTROL!$C$33, 0.0272, 0)</f>
        <v>27.827500000000001</v>
      </c>
      <c r="D303" s="4">
        <f>39.3818 * CHOOSE(CONTROL!$C$14, $C$14, 100%, $E$14) + CHOOSE(CONTROL!$C$33, 0.0021, 0)</f>
        <v>39.383899999999997</v>
      </c>
      <c r="E303" s="4">
        <f>177.879934476696 * CHOOSE(CONTROL!$C$14, $C$14, 100%, $E$14) + CHOOSE(CONTROL!$C$33, 0.0021, 0)</f>
        <v>177.88203447669602</v>
      </c>
    </row>
    <row r="304" spans="1:5" ht="15">
      <c r="A304" s="12">
        <v>50345</v>
      </c>
      <c r="B304" s="4">
        <f>27.5573 * CHOOSE(CONTROL!$C$14, $C$14, 100%, $E$14) + CHOOSE(CONTROL!$C$33, 0.0272, 0)</f>
        <v>27.584500000000002</v>
      </c>
      <c r="C304" s="4">
        <f>27.194 * CHOOSE(CONTROL!$C$14, $C$14, 100%, $E$14) + CHOOSE(CONTROL!$C$33, 0.0272, 0)</f>
        <v>27.2212</v>
      </c>
      <c r="D304" s="4">
        <f>39.2015 * CHOOSE(CONTROL!$C$14, $C$14, 100%, $E$14) + CHOOSE(CONTROL!$C$33, 0.0021, 0)</f>
        <v>39.203600000000002</v>
      </c>
      <c r="E304" s="4">
        <f>173.942539698542 * CHOOSE(CONTROL!$C$14, $C$14, 100%, $E$14) + CHOOSE(CONTROL!$C$33, 0.0021, 0)</f>
        <v>173.94463969854201</v>
      </c>
    </row>
    <row r="305" spans="1:5" ht="15">
      <c r="A305" s="12">
        <v>50375</v>
      </c>
      <c r="B305" s="4">
        <f>27.1379 * CHOOSE(CONTROL!$C$14, $C$14, 100%, $E$14) + CHOOSE(CONTROL!$C$33, 0.0272, 0)</f>
        <v>27.165099999999999</v>
      </c>
      <c r="C305" s="4">
        <f>26.7746 * CHOOSE(CONTROL!$C$14, $C$14, 100%, $E$14) + CHOOSE(CONTROL!$C$33, 0.0272, 0)</f>
        <v>26.8018</v>
      </c>
      <c r="D305" s="4">
        <f>37.8743 * CHOOSE(CONTROL!$C$14, $C$14, 100%, $E$14) + CHOOSE(CONTROL!$C$33, 0.0021, 0)</f>
        <v>37.876399999999997</v>
      </c>
      <c r="E305" s="4">
        <f>171.218368642201 * CHOOSE(CONTROL!$C$14, $C$14, 100%, $E$14) + CHOOSE(CONTROL!$C$33, 0.0021, 0)</f>
        <v>171.22046864220101</v>
      </c>
    </row>
    <row r="306" spans="1:5" ht="15">
      <c r="A306" s="11">
        <v>50436</v>
      </c>
      <c r="B306" s="4">
        <f>26.0384 * CHOOSE(CONTROL!$C$14, $C$14, 100%, $E$14) + CHOOSE(CONTROL!$C$33, 0.0272, 0)</f>
        <v>26.0656</v>
      </c>
      <c r="C306" s="4">
        <f>25.6752 * CHOOSE(CONTROL!$C$14, $C$14, 100%, $E$14) + CHOOSE(CONTROL!$C$33, 0.0272, 0)</f>
        <v>25.702400000000001</v>
      </c>
      <c r="D306" s="4">
        <f>36.3464 * CHOOSE(CONTROL!$C$14, $C$14, 100%, $E$14) + CHOOSE(CONTROL!$C$33, 0.0021, 0)</f>
        <v>36.348500000000001</v>
      </c>
      <c r="E306" s="4">
        <f>164.086427857801 * CHOOSE(CONTROL!$C$14, $C$14, 100%, $E$14) + CHOOSE(CONTROL!$C$33, 0.0021, 0)</f>
        <v>164.08852785780101</v>
      </c>
    </row>
    <row r="307" spans="1:5" ht="15">
      <c r="A307" s="11">
        <v>50464</v>
      </c>
      <c r="B307" s="4">
        <f>26.6383 * CHOOSE(CONTROL!$C$14, $C$14, 100%, $E$14) + CHOOSE(CONTROL!$C$33, 0.0272, 0)</f>
        <v>26.665500000000002</v>
      </c>
      <c r="C307" s="4">
        <f>26.275 * CHOOSE(CONTROL!$C$14, $C$14, 100%, $E$14) + CHOOSE(CONTROL!$C$33, 0.0272, 0)</f>
        <v>26.302199999999999</v>
      </c>
      <c r="D307" s="4">
        <f>37.5638 * CHOOSE(CONTROL!$C$14, $C$14, 100%, $E$14) + CHOOSE(CONTROL!$C$33, 0.0021, 0)</f>
        <v>37.565899999999999</v>
      </c>
      <c r="E307" s="4">
        <f>167.982486304898 * CHOOSE(CONTROL!$C$14, $C$14, 100%, $E$14) + CHOOSE(CONTROL!$C$33, 0.0021, 0)</f>
        <v>167.98458630489802</v>
      </c>
    </row>
    <row r="308" spans="1:5" ht="15">
      <c r="A308" s="11">
        <v>50495</v>
      </c>
      <c r="B308" s="4">
        <f>28.2137 * CHOOSE(CONTROL!$C$14, $C$14, 100%, $E$14) + CHOOSE(CONTROL!$C$33, 0.0272, 0)</f>
        <v>28.2409</v>
      </c>
      <c r="C308" s="4">
        <f>27.8504 * CHOOSE(CONTROL!$C$14, $C$14, 100%, $E$14) + CHOOSE(CONTROL!$C$33, 0.0272, 0)</f>
        <v>27.877600000000001</v>
      </c>
      <c r="D308" s="4">
        <f>39.4696 * CHOOSE(CONTROL!$C$14, $C$14, 100%, $E$14) + CHOOSE(CONTROL!$C$33, 0.0021, 0)</f>
        <v>39.471699999999998</v>
      </c>
      <c r="E308" s="4">
        <f>178.213742836095 * CHOOSE(CONTROL!$C$14, $C$14, 100%, $E$14) + CHOOSE(CONTROL!$C$33, 0.0021, 0)</f>
        <v>178.21584283609502</v>
      </c>
    </row>
    <row r="309" spans="1:5" ht="15">
      <c r="A309" s="11">
        <v>50525</v>
      </c>
      <c r="B309" s="4">
        <f>29.333 * CHOOSE(CONTROL!$C$14, $C$14, 100%, $E$14) + CHOOSE(CONTROL!$C$33, 0.0272, 0)</f>
        <v>29.360199999999999</v>
      </c>
      <c r="C309" s="4">
        <f>28.9697 * CHOOSE(CONTROL!$C$14, $C$14, 100%, $E$14) + CHOOSE(CONTROL!$C$33, 0.0272, 0)</f>
        <v>28.9969</v>
      </c>
      <c r="D309" s="4">
        <f>40.5674 * CHOOSE(CONTROL!$C$14, $C$14, 100%, $E$14) + CHOOSE(CONTROL!$C$33, 0.0021, 0)</f>
        <v>40.569499999999998</v>
      </c>
      <c r="E309" s="4">
        <f>185.483186950931 * CHOOSE(CONTROL!$C$14, $C$14, 100%, $E$14) + CHOOSE(CONTROL!$C$33, 0.0021, 0)</f>
        <v>185.48528695093103</v>
      </c>
    </row>
    <row r="310" spans="1:5" ht="15">
      <c r="A310" s="11">
        <v>50556</v>
      </c>
      <c r="B310" s="4">
        <f>30.0168 * CHOOSE(CONTROL!$C$14, $C$14, 100%, $E$14) + CHOOSE(CONTROL!$C$33, 0.0304, 0)</f>
        <v>30.0472</v>
      </c>
      <c r="C310" s="4">
        <f>29.6536 * CHOOSE(CONTROL!$C$14, $C$14, 100%, $E$14) + CHOOSE(CONTROL!$C$33, 0.0304, 0)</f>
        <v>29.684000000000001</v>
      </c>
      <c r="D310" s="4">
        <f>40.1336 * CHOOSE(CONTROL!$C$14, $C$14, 100%, $E$14) + CHOOSE(CONTROL!$C$33, 0.0021, 0)</f>
        <v>40.1357</v>
      </c>
      <c r="E310" s="4">
        <f>189.924643080836 * CHOOSE(CONTROL!$C$14, $C$14, 100%, $E$14) + CHOOSE(CONTROL!$C$33, 0.0021, 0)</f>
        <v>189.92674308083602</v>
      </c>
    </row>
    <row r="311" spans="1:5" ht="15">
      <c r="A311" s="11">
        <v>50586</v>
      </c>
      <c r="B311" s="4">
        <f>30.1094 * CHOOSE(CONTROL!$C$14, $C$14, 100%, $E$14) + CHOOSE(CONTROL!$C$33, 0.0304, 0)</f>
        <v>30.139800000000001</v>
      </c>
      <c r="C311" s="4">
        <f>29.7461 * CHOOSE(CONTROL!$C$14, $C$14, 100%, $E$14) + CHOOSE(CONTROL!$C$33, 0.0304, 0)</f>
        <v>29.776499999999999</v>
      </c>
      <c r="D311" s="4">
        <f>40.4869 * CHOOSE(CONTROL!$C$14, $C$14, 100%, $E$14) + CHOOSE(CONTROL!$C$33, 0.0021, 0)</f>
        <v>40.488999999999997</v>
      </c>
      <c r="E311" s="4">
        <f>190.525590527634 * CHOOSE(CONTROL!$C$14, $C$14, 100%, $E$14) + CHOOSE(CONTROL!$C$33, 0.0021, 0)</f>
        <v>190.52769052763401</v>
      </c>
    </row>
    <row r="312" spans="1:5" ht="15">
      <c r="A312" s="11">
        <v>50617</v>
      </c>
      <c r="B312" s="4">
        <f>30.1 * CHOOSE(CONTROL!$C$14, $C$14, 100%, $E$14) + CHOOSE(CONTROL!$C$33, 0.0304, 0)</f>
        <v>30.130400000000002</v>
      </c>
      <c r="C312" s="4">
        <f>29.7368 * CHOOSE(CONTROL!$C$14, $C$14, 100%, $E$14) + CHOOSE(CONTROL!$C$33, 0.0304, 0)</f>
        <v>29.767199999999999</v>
      </c>
      <c r="D312" s="4">
        <f>41.1244 * CHOOSE(CONTROL!$C$14, $C$14, 100%, $E$14) + CHOOSE(CONTROL!$C$33, 0.0021, 0)</f>
        <v>41.1265</v>
      </c>
      <c r="E312" s="4">
        <f>190.464990785099 * CHOOSE(CONTROL!$C$14, $C$14, 100%, $E$14) + CHOOSE(CONTROL!$C$33, 0.0021, 0)</f>
        <v>190.467090785099</v>
      </c>
    </row>
    <row r="313" spans="1:5" ht="15">
      <c r="A313" s="11">
        <v>50648</v>
      </c>
      <c r="B313" s="4">
        <f>30.8022 * CHOOSE(CONTROL!$C$14, $C$14, 100%, $E$14) + CHOOSE(CONTROL!$C$33, 0.0304, 0)</f>
        <v>30.832599999999999</v>
      </c>
      <c r="C313" s="4">
        <f>30.4389 * CHOOSE(CONTROL!$C$14, $C$14, 100%, $E$14) + CHOOSE(CONTROL!$C$33, 0.0304, 0)</f>
        <v>30.4693</v>
      </c>
      <c r="D313" s="4">
        <f>40.7034 * CHOOSE(CONTROL!$C$14, $C$14, 100%, $E$14) + CHOOSE(CONTROL!$C$33, 0.0021, 0)</f>
        <v>40.705500000000001</v>
      </c>
      <c r="E313" s="4">
        <f>195.025121410801 * CHOOSE(CONTROL!$C$14, $C$14, 100%, $E$14) + CHOOSE(CONTROL!$C$33, 0.0021, 0)</f>
        <v>195.02722141080102</v>
      </c>
    </row>
    <row r="314" spans="1:5" ht="15">
      <c r="A314" s="11">
        <v>50678</v>
      </c>
      <c r="B314" s="4">
        <f>29.6055 * CHOOSE(CONTROL!$C$14, $C$14, 100%, $E$14) + CHOOSE(CONTROL!$C$33, 0.0304, 0)</f>
        <v>29.635899999999999</v>
      </c>
      <c r="C314" s="4">
        <f>29.2422 * CHOOSE(CONTROL!$C$14, $C$14, 100%, $E$14) + CHOOSE(CONTROL!$C$33, 0.0304, 0)</f>
        <v>29.272600000000001</v>
      </c>
      <c r="D314" s="4">
        <f>40.5045 * CHOOSE(CONTROL!$C$14, $C$14, 100%, $E$14) + CHOOSE(CONTROL!$C$33, 0.0021, 0)</f>
        <v>40.506599999999999</v>
      </c>
      <c r="E314" s="4">
        <f>187.253204430785 * CHOOSE(CONTROL!$C$14, $C$14, 100%, $E$14) + CHOOSE(CONTROL!$C$33, 0.0021, 0)</f>
        <v>187.255304430785</v>
      </c>
    </row>
    <row r="315" spans="1:5" ht="15">
      <c r="A315" s="11">
        <v>50709</v>
      </c>
      <c r="B315" s="4">
        <f>28.6476 * CHOOSE(CONTROL!$C$14, $C$14, 100%, $E$14) + CHOOSE(CONTROL!$C$33, 0.0272, 0)</f>
        <v>28.674800000000001</v>
      </c>
      <c r="C315" s="4">
        <f>28.2843 * CHOOSE(CONTROL!$C$14, $C$14, 100%, $E$14) + CHOOSE(CONTROL!$C$33, 0.0272, 0)</f>
        <v>28.311500000000002</v>
      </c>
      <c r="D315" s="4">
        <f>39.9719 * CHOOSE(CONTROL!$C$14, $C$14, 100%, $E$14) + CHOOSE(CONTROL!$C$33, 0.0021, 0)</f>
        <v>39.973999999999997</v>
      </c>
      <c r="E315" s="4">
        <f>181.031630863937 * CHOOSE(CONTROL!$C$14, $C$14, 100%, $E$14) + CHOOSE(CONTROL!$C$33, 0.0021, 0)</f>
        <v>181.03373086393702</v>
      </c>
    </row>
    <row r="316" spans="1:5" ht="15">
      <c r="A316" s="11">
        <v>50739</v>
      </c>
      <c r="B316" s="4">
        <f>28.0306 * CHOOSE(CONTROL!$C$14, $C$14, 100%, $E$14) + CHOOSE(CONTROL!$C$33, 0.0272, 0)</f>
        <v>28.0578</v>
      </c>
      <c r="C316" s="4">
        <f>27.6673 * CHOOSE(CONTROL!$C$14, $C$14, 100%, $E$14) + CHOOSE(CONTROL!$C$33, 0.0272, 0)</f>
        <v>27.694500000000001</v>
      </c>
      <c r="D316" s="4">
        <f>39.7888 * CHOOSE(CONTROL!$C$14, $C$14, 100%, $E$14) + CHOOSE(CONTROL!$C$33, 0.0021, 0)</f>
        <v>39.790900000000001</v>
      </c>
      <c r="E316" s="4">
        <f>177.024472888861 * CHOOSE(CONTROL!$C$14, $C$14, 100%, $E$14) + CHOOSE(CONTROL!$C$33, 0.0021, 0)</f>
        <v>177.02657288886101</v>
      </c>
    </row>
    <row r="317" spans="1:5" ht="15">
      <c r="A317" s="11">
        <v>50770</v>
      </c>
      <c r="B317" s="4">
        <f>27.6037 * CHOOSE(CONTROL!$C$14, $C$14, 100%, $E$14) + CHOOSE(CONTROL!$C$33, 0.0272, 0)</f>
        <v>27.6309</v>
      </c>
      <c r="C317" s="4">
        <f>27.2404 * CHOOSE(CONTROL!$C$14, $C$14, 100%, $E$14) + CHOOSE(CONTROL!$C$33, 0.0272, 0)</f>
        <v>27.267600000000002</v>
      </c>
      <c r="D317" s="4">
        <f>38.4408 * CHOOSE(CONTROL!$C$14, $C$14, 100%, $E$14) + CHOOSE(CONTROL!$C$33, 0.0021, 0)</f>
        <v>38.442900000000002</v>
      </c>
      <c r="E317" s="4">
        <f>174.252034667919 * CHOOSE(CONTROL!$C$14, $C$14, 100%, $E$14) + CHOOSE(CONTROL!$C$33, 0.0021, 0)</f>
        <v>174.254134667919</v>
      </c>
    </row>
    <row r="318" spans="1:5" ht="15">
      <c r="A318" s="11">
        <v>50801</v>
      </c>
      <c r="B318" s="4">
        <f>26.4848 * CHOOSE(CONTROL!$C$14, $C$14, 100%, $E$14) + CHOOSE(CONTROL!$C$33, 0.0272, 0)</f>
        <v>26.512</v>
      </c>
      <c r="C318" s="4">
        <f>26.1215 * CHOOSE(CONTROL!$C$14, $C$14, 100%, $E$14) + CHOOSE(CONTROL!$C$33, 0.0272, 0)</f>
        <v>26.148700000000002</v>
      </c>
      <c r="D318" s="4">
        <f>36.8888 * CHOOSE(CONTROL!$C$14, $C$14, 100%, $E$14) + CHOOSE(CONTROL!$C$33, 0.0021, 0)</f>
        <v>36.890900000000002</v>
      </c>
      <c r="E318" s="4">
        <f>166.993729366519 * CHOOSE(CONTROL!$C$14, $C$14, 100%, $E$14) + CHOOSE(CONTROL!$C$33, 0.0021, 0)</f>
        <v>166.99582936651902</v>
      </c>
    </row>
    <row r="319" spans="1:5" ht="15">
      <c r="A319" s="11">
        <v>50829</v>
      </c>
      <c r="B319" s="4">
        <f>27.0953 * CHOOSE(CONTROL!$C$14, $C$14, 100%, $E$14) + CHOOSE(CONTROL!$C$33, 0.0272, 0)</f>
        <v>27.122500000000002</v>
      </c>
      <c r="C319" s="4">
        <f>26.732 * CHOOSE(CONTROL!$C$14, $C$14, 100%, $E$14) + CHOOSE(CONTROL!$C$33, 0.0272, 0)</f>
        <v>26.7592</v>
      </c>
      <c r="D319" s="4">
        <f>38.1254 * CHOOSE(CONTROL!$C$14, $C$14, 100%, $E$14) + CHOOSE(CONTROL!$C$33, 0.0021, 0)</f>
        <v>38.127499999999998</v>
      </c>
      <c r="E319" s="4">
        <f>170.958818608845 * CHOOSE(CONTROL!$C$14, $C$14, 100%, $E$14) + CHOOSE(CONTROL!$C$33, 0.0021, 0)</f>
        <v>170.96091860884502</v>
      </c>
    </row>
    <row r="320" spans="1:5" ht="15">
      <c r="A320" s="11">
        <v>50860</v>
      </c>
      <c r="B320" s="4">
        <f>28.6985 * CHOOSE(CONTROL!$C$14, $C$14, 100%, $E$14) + CHOOSE(CONTROL!$C$33, 0.0272, 0)</f>
        <v>28.7257</v>
      </c>
      <c r="C320" s="4">
        <f>28.3352 * CHOOSE(CONTROL!$C$14, $C$14, 100%, $E$14) + CHOOSE(CONTROL!$C$33, 0.0272, 0)</f>
        <v>28.362400000000001</v>
      </c>
      <c r="D320" s="4">
        <f>40.0612 * CHOOSE(CONTROL!$C$14, $C$14, 100%, $E$14) + CHOOSE(CONTROL!$C$33, 0.0021, 0)</f>
        <v>40.063299999999998</v>
      </c>
      <c r="E320" s="4">
        <f>181.371353676832 * CHOOSE(CONTROL!$C$14, $C$14, 100%, $E$14) + CHOOSE(CONTROL!$C$33, 0.0021, 0)</f>
        <v>181.37345367683201</v>
      </c>
    </row>
    <row r="321" spans="1:5" ht="15">
      <c r="A321" s="11">
        <v>50890</v>
      </c>
      <c r="B321" s="4">
        <f>29.8376 * CHOOSE(CONTROL!$C$14, $C$14, 100%, $E$14) + CHOOSE(CONTROL!$C$33, 0.0272, 0)</f>
        <v>29.864799999999999</v>
      </c>
      <c r="C321" s="4">
        <f>29.4743 * CHOOSE(CONTROL!$C$14, $C$14, 100%, $E$14) + CHOOSE(CONTROL!$C$33, 0.0272, 0)</f>
        <v>29.5015</v>
      </c>
      <c r="D321" s="4">
        <f>41.1762 * CHOOSE(CONTROL!$C$14, $C$14, 100%, $E$14) + CHOOSE(CONTROL!$C$33, 0.0021, 0)</f>
        <v>41.1783</v>
      </c>
      <c r="E321" s="4">
        <f>188.769598607912 * CHOOSE(CONTROL!$C$14, $C$14, 100%, $E$14) + CHOOSE(CONTROL!$C$33, 0.0021, 0)</f>
        <v>188.77169860791201</v>
      </c>
    </row>
    <row r="322" spans="1:5" ht="15">
      <c r="A322" s="11">
        <v>50921</v>
      </c>
      <c r="B322" s="4">
        <f>30.5335 * CHOOSE(CONTROL!$C$14, $C$14, 100%, $E$14) + CHOOSE(CONTROL!$C$33, 0.0304, 0)</f>
        <v>30.5639</v>
      </c>
      <c r="C322" s="4">
        <f>30.1702 * CHOOSE(CONTROL!$C$14, $C$14, 100%, $E$14) + CHOOSE(CONTROL!$C$33, 0.0304, 0)</f>
        <v>30.200600000000001</v>
      </c>
      <c r="D322" s="4">
        <f>40.7356 * CHOOSE(CONTROL!$C$14, $C$14, 100%, $E$14) + CHOOSE(CONTROL!$C$33, 0.0021, 0)</f>
        <v>40.737699999999997</v>
      </c>
      <c r="E322" s="4">
        <f>193.289748949617 * CHOOSE(CONTROL!$C$14, $C$14, 100%, $E$14) + CHOOSE(CONTROL!$C$33, 0.0021, 0)</f>
        <v>193.29184894961702</v>
      </c>
    </row>
    <row r="323" spans="1:5" ht="15">
      <c r="A323" s="11">
        <v>50951</v>
      </c>
      <c r="B323" s="4">
        <f>30.6277 * CHOOSE(CONTROL!$C$14, $C$14, 100%, $E$14) + CHOOSE(CONTROL!$C$33, 0.0304, 0)</f>
        <v>30.658100000000001</v>
      </c>
      <c r="C323" s="4">
        <f>30.2644 * CHOOSE(CONTROL!$C$14, $C$14, 100%, $E$14) + CHOOSE(CONTROL!$C$33, 0.0304, 0)</f>
        <v>30.294799999999999</v>
      </c>
      <c r="D323" s="4">
        <f>41.0945 * CHOOSE(CONTROL!$C$14, $C$14, 100%, $E$14) + CHOOSE(CONTROL!$C$33, 0.0021, 0)</f>
        <v>41.096599999999995</v>
      </c>
      <c r="E323" s="4">
        <f>193.901344049859 * CHOOSE(CONTROL!$C$14, $C$14, 100%, $E$14) + CHOOSE(CONTROL!$C$33, 0.0021, 0)</f>
        <v>193.90344404985902</v>
      </c>
    </row>
    <row r="324" spans="1:5" ht="15">
      <c r="A324" s="11">
        <v>50982</v>
      </c>
      <c r="B324" s="4">
        <f>30.6182 * CHOOSE(CONTROL!$C$14, $C$14, 100%, $E$14) + CHOOSE(CONTROL!$C$33, 0.0304, 0)</f>
        <v>30.648600000000002</v>
      </c>
      <c r="C324" s="4">
        <f>30.2549 * CHOOSE(CONTROL!$C$14, $C$14, 100%, $E$14) + CHOOSE(CONTROL!$C$33, 0.0304, 0)</f>
        <v>30.285299999999999</v>
      </c>
      <c r="D324" s="4">
        <f>41.742 * CHOOSE(CONTROL!$C$14, $C$14, 100%, $E$14) + CHOOSE(CONTROL!$C$33, 0.0021, 0)</f>
        <v>41.744099999999996</v>
      </c>
      <c r="E324" s="4">
        <f>193.839670594372 * CHOOSE(CONTROL!$C$14, $C$14, 100%, $E$14) + CHOOSE(CONTROL!$C$33, 0.0021, 0)</f>
        <v>193.84177059437201</v>
      </c>
    </row>
    <row r="325" spans="1:5" ht="15">
      <c r="A325" s="11">
        <v>51013</v>
      </c>
      <c r="B325" s="4">
        <f>31.3327 * CHOOSE(CONTROL!$C$14, $C$14, 100%, $E$14) + CHOOSE(CONTROL!$C$33, 0.0304, 0)</f>
        <v>31.363099999999999</v>
      </c>
      <c r="C325" s="4">
        <f>30.9695 * CHOOSE(CONTROL!$C$14, $C$14, 100%, $E$14) + CHOOSE(CONTROL!$C$33, 0.0304, 0)</f>
        <v>30.9999</v>
      </c>
      <c r="D325" s="4">
        <f>41.3144 * CHOOSE(CONTROL!$C$14, $C$14, 100%, $E$14) + CHOOSE(CONTROL!$C$33, 0.0021, 0)</f>
        <v>41.316499999999998</v>
      </c>
      <c r="E325" s="4">
        <f>198.480598119739 * CHOOSE(CONTROL!$C$14, $C$14, 100%, $E$14) + CHOOSE(CONTROL!$C$33, 0.0021, 0)</f>
        <v>198.48269811973901</v>
      </c>
    </row>
    <row r="326" spans="1:5" ht="15">
      <c r="A326" s="11">
        <v>51043</v>
      </c>
      <c r="B326" s="4">
        <f>30.1149 * CHOOSE(CONTROL!$C$14, $C$14, 100%, $E$14) + CHOOSE(CONTROL!$C$33, 0.0304, 0)</f>
        <v>30.145299999999999</v>
      </c>
      <c r="C326" s="4">
        <f>29.7516 * CHOOSE(CONTROL!$C$14, $C$14, 100%, $E$14) + CHOOSE(CONTROL!$C$33, 0.0304, 0)</f>
        <v>29.782</v>
      </c>
      <c r="D326" s="4">
        <f>41.1123 * CHOOSE(CONTROL!$C$14, $C$14, 100%, $E$14) + CHOOSE(CONTROL!$C$33, 0.0021, 0)</f>
        <v>41.114399999999996</v>
      </c>
      <c r="E326" s="4">
        <f>190.570977453583 * CHOOSE(CONTROL!$C$14, $C$14, 100%, $E$14) + CHOOSE(CONTROL!$C$33, 0.0021, 0)</f>
        <v>190.57307745358301</v>
      </c>
    </row>
    <row r="327" spans="1:5" ht="15">
      <c r="A327" s="11">
        <v>51074</v>
      </c>
      <c r="B327" s="4">
        <f>29.14 * CHOOSE(CONTROL!$C$14, $C$14, 100%, $E$14) + CHOOSE(CONTROL!$C$33, 0.0272, 0)</f>
        <v>29.167200000000001</v>
      </c>
      <c r="C327" s="4">
        <f>28.7768 * CHOOSE(CONTROL!$C$14, $C$14, 100%, $E$14) + CHOOSE(CONTROL!$C$33, 0.0272, 0)</f>
        <v>28.804000000000002</v>
      </c>
      <c r="D327" s="4">
        <f>40.5714 * CHOOSE(CONTROL!$C$14, $C$14, 100%, $E$14) + CHOOSE(CONTROL!$C$33, 0.0021, 0)</f>
        <v>40.573499999999996</v>
      </c>
      <c r="E327" s="4">
        <f>184.239169356959 * CHOOSE(CONTROL!$C$14, $C$14, 100%, $E$14) + CHOOSE(CONTROL!$C$33, 0.0021, 0)</f>
        <v>184.24126935695901</v>
      </c>
    </row>
    <row r="328" spans="1:5" ht="15">
      <c r="A328" s="11">
        <v>51104</v>
      </c>
      <c r="B328" s="4">
        <f>28.5121 * CHOOSE(CONTROL!$C$14, $C$14, 100%, $E$14) + CHOOSE(CONTROL!$C$33, 0.0272, 0)</f>
        <v>28.539300000000001</v>
      </c>
      <c r="C328" s="4">
        <f>28.1489 * CHOOSE(CONTROL!$C$14, $C$14, 100%, $E$14) + CHOOSE(CONTROL!$C$33, 0.0272, 0)</f>
        <v>28.176100000000002</v>
      </c>
      <c r="D328" s="4">
        <f>40.3854 * CHOOSE(CONTROL!$C$14, $C$14, 100%, $E$14) + CHOOSE(CONTROL!$C$33, 0.0021, 0)</f>
        <v>40.387499999999996</v>
      </c>
      <c r="E328" s="4">
        <f>180.161012112908 * CHOOSE(CONTROL!$C$14, $C$14, 100%, $E$14) + CHOOSE(CONTROL!$C$33, 0.0021, 0)</f>
        <v>180.16311211290801</v>
      </c>
    </row>
    <row r="329" spans="1:5" ht="15">
      <c r="A329" s="11">
        <v>51135</v>
      </c>
      <c r="B329" s="4">
        <f>28.0777 * CHOOSE(CONTROL!$C$14, $C$14, 100%, $E$14) + CHOOSE(CONTROL!$C$33, 0.0272, 0)</f>
        <v>28.104900000000001</v>
      </c>
      <c r="C329" s="4">
        <f>27.7144 * CHOOSE(CONTROL!$C$14, $C$14, 100%, $E$14) + CHOOSE(CONTROL!$C$33, 0.0272, 0)</f>
        <v>27.741600000000002</v>
      </c>
      <c r="D329" s="4">
        <f>39.0161 * CHOOSE(CONTROL!$C$14, $C$14, 100%, $E$14) + CHOOSE(CONTROL!$C$33, 0.0021, 0)</f>
        <v>39.0182</v>
      </c>
      <c r="E329" s="4">
        <f>177.339451524396 * CHOOSE(CONTROL!$C$14, $C$14, 100%, $E$14) + CHOOSE(CONTROL!$C$33, 0.0021, 0)</f>
        <v>177.34155152439601</v>
      </c>
    </row>
    <row r="330" spans="1:5" ht="15">
      <c r="A330" s="11">
        <v>51166</v>
      </c>
      <c r="B330" s="4">
        <f>26.9391 * CHOOSE(CONTROL!$C$14, $C$14, 100%, $E$14) + CHOOSE(CONTROL!$C$33, 0.0272, 0)</f>
        <v>26.9663</v>
      </c>
      <c r="C330" s="4">
        <f>26.5758 * CHOOSE(CONTROL!$C$14, $C$14, 100%, $E$14) + CHOOSE(CONTROL!$C$33, 0.0272, 0)</f>
        <v>26.603000000000002</v>
      </c>
      <c r="D330" s="4">
        <f>37.4397 * CHOOSE(CONTROL!$C$14, $C$14, 100%, $E$14) + CHOOSE(CONTROL!$C$33, 0.0021, 0)</f>
        <v>37.441800000000001</v>
      </c>
      <c r="E330" s="4">
        <f>169.952542765483 * CHOOSE(CONTROL!$C$14, $C$14, 100%, $E$14) + CHOOSE(CONTROL!$C$33, 0.0021, 0)</f>
        <v>169.95464276548302</v>
      </c>
    </row>
    <row r="331" spans="1:5" ht="15">
      <c r="A331" s="11">
        <v>51194</v>
      </c>
      <c r="B331" s="4">
        <f>27.5604 * CHOOSE(CONTROL!$C$14, $C$14, 100%, $E$14) + CHOOSE(CONTROL!$C$33, 0.0272, 0)</f>
        <v>27.587600000000002</v>
      </c>
      <c r="C331" s="4">
        <f>27.1971 * CHOOSE(CONTROL!$C$14, $C$14, 100%, $E$14) + CHOOSE(CONTROL!$C$33, 0.0272, 0)</f>
        <v>27.224299999999999</v>
      </c>
      <c r="D331" s="4">
        <f>38.6958 * CHOOSE(CONTROL!$C$14, $C$14, 100%, $E$14) + CHOOSE(CONTROL!$C$33, 0.0021, 0)</f>
        <v>38.697899999999997</v>
      </c>
      <c r="E331" s="4">
        <f>173.987885898316 * CHOOSE(CONTROL!$C$14, $C$14, 100%, $E$14) + CHOOSE(CONTROL!$C$33, 0.0021, 0)</f>
        <v>173.98998589831601</v>
      </c>
    </row>
    <row r="332" spans="1:5" ht="15">
      <c r="A332" s="11">
        <v>51226</v>
      </c>
      <c r="B332" s="4">
        <f>29.1919 * CHOOSE(CONTROL!$C$14, $C$14, 100%, $E$14) + CHOOSE(CONTROL!$C$33, 0.0272, 0)</f>
        <v>29.219100000000001</v>
      </c>
      <c r="C332" s="4">
        <f>28.8286 * CHOOSE(CONTROL!$C$14, $C$14, 100%, $E$14) + CHOOSE(CONTROL!$C$33, 0.0272, 0)</f>
        <v>28.855800000000002</v>
      </c>
      <c r="D332" s="4">
        <f>40.662 * CHOOSE(CONTROL!$C$14, $C$14, 100%, $E$14) + CHOOSE(CONTROL!$C$33, 0.0021, 0)</f>
        <v>40.664099999999998</v>
      </c>
      <c r="E332" s="4">
        <f>184.584911416292 * CHOOSE(CONTROL!$C$14, $C$14, 100%, $E$14) + CHOOSE(CONTROL!$C$33, 0.0021, 0)</f>
        <v>184.587011416292</v>
      </c>
    </row>
    <row r="333" spans="1:5" ht="15">
      <c r="A333" s="11">
        <v>51256</v>
      </c>
      <c r="B333" s="4">
        <f>30.3511 * CHOOSE(CONTROL!$C$14, $C$14, 100%, $E$14) + CHOOSE(CONTROL!$C$33, 0.0272, 0)</f>
        <v>30.378299999999999</v>
      </c>
      <c r="C333" s="4">
        <f>29.9878 * CHOOSE(CONTROL!$C$14, $C$14, 100%, $E$14) + CHOOSE(CONTROL!$C$33, 0.0272, 0)</f>
        <v>30.015000000000001</v>
      </c>
      <c r="D333" s="4">
        <f>41.7946 * CHOOSE(CONTROL!$C$14, $C$14, 100%, $E$14) + CHOOSE(CONTROL!$C$33, 0.0021, 0)</f>
        <v>41.796700000000001</v>
      </c>
      <c r="E333" s="4">
        <f>192.114239270749 * CHOOSE(CONTROL!$C$14, $C$14, 100%, $E$14) + CHOOSE(CONTROL!$C$33, 0.0021, 0)</f>
        <v>192.11633927074902</v>
      </c>
    </row>
    <row r="334" spans="1:5" ht="15">
      <c r="A334" s="11">
        <v>51287</v>
      </c>
      <c r="B334" s="4">
        <f>31.0593 * CHOOSE(CONTROL!$C$14, $C$14, 100%, $E$14) + CHOOSE(CONTROL!$C$33, 0.0304, 0)</f>
        <v>31.089700000000001</v>
      </c>
      <c r="C334" s="4">
        <f>30.6961 * CHOOSE(CONTROL!$C$14, $C$14, 100%, $E$14) + CHOOSE(CONTROL!$C$33, 0.0304, 0)</f>
        <v>30.726500000000001</v>
      </c>
      <c r="D334" s="4">
        <f>41.3471 * CHOOSE(CONTROL!$C$14, $C$14, 100%, $E$14) + CHOOSE(CONTROL!$C$33, 0.0021, 0)</f>
        <v>41.349199999999996</v>
      </c>
      <c r="E334" s="4">
        <f>196.714478137017 * CHOOSE(CONTROL!$C$14, $C$14, 100%, $E$14) + CHOOSE(CONTROL!$C$33, 0.0021, 0)</f>
        <v>196.71657813701702</v>
      </c>
    </row>
    <row r="335" spans="1:5" ht="15">
      <c r="A335" s="11">
        <v>51317</v>
      </c>
      <c r="B335" s="4">
        <f>31.1552 * CHOOSE(CONTROL!$C$14, $C$14, 100%, $E$14) + CHOOSE(CONTROL!$C$33, 0.0304, 0)</f>
        <v>31.185600000000001</v>
      </c>
      <c r="C335" s="4">
        <f>30.7919 * CHOOSE(CONTROL!$C$14, $C$14, 100%, $E$14) + CHOOSE(CONTROL!$C$33, 0.0304, 0)</f>
        <v>30.822299999999998</v>
      </c>
      <c r="D335" s="4">
        <f>41.7116 * CHOOSE(CONTROL!$C$14, $C$14, 100%, $E$14) + CHOOSE(CONTROL!$C$33, 0.0021, 0)</f>
        <v>41.713699999999996</v>
      </c>
      <c r="E335" s="4">
        <f>197.336909547007 * CHOOSE(CONTROL!$C$14, $C$14, 100%, $E$14) + CHOOSE(CONTROL!$C$33, 0.0021, 0)</f>
        <v>197.33900954700701</v>
      </c>
    </row>
    <row r="336" spans="1:5" ht="15">
      <c r="A336" s="11">
        <v>51348</v>
      </c>
      <c r="B336" s="4">
        <f>31.1455 * CHOOSE(CONTROL!$C$14, $C$14, 100%, $E$14) + CHOOSE(CONTROL!$C$33, 0.0304, 0)</f>
        <v>31.175899999999999</v>
      </c>
      <c r="C336" s="4">
        <f>30.7822 * CHOOSE(CONTROL!$C$14, $C$14, 100%, $E$14) + CHOOSE(CONTROL!$C$33, 0.0304, 0)</f>
        <v>30.8126</v>
      </c>
      <c r="D336" s="4">
        <f>42.3692 * CHOOSE(CONTROL!$C$14, $C$14, 100%, $E$14) + CHOOSE(CONTROL!$C$33, 0.0021, 0)</f>
        <v>42.371299999999998</v>
      </c>
      <c r="E336" s="4">
        <f>197.274143354403 * CHOOSE(CONTROL!$C$14, $C$14, 100%, $E$14) + CHOOSE(CONTROL!$C$33, 0.0021, 0)</f>
        <v>197.27624335440302</v>
      </c>
    </row>
    <row r="337" spans="1:5" ht="15">
      <c r="A337" s="11">
        <v>51379</v>
      </c>
      <c r="B337" s="4">
        <f>31.8727 * CHOOSE(CONTROL!$C$14, $C$14, 100%, $E$14) + CHOOSE(CONTROL!$C$33, 0.0304, 0)</f>
        <v>31.903099999999998</v>
      </c>
      <c r="C337" s="4">
        <f>31.5094 * CHOOSE(CONTROL!$C$14, $C$14, 100%, $E$14) + CHOOSE(CONTROL!$C$33, 0.0304, 0)</f>
        <v>31.5398</v>
      </c>
      <c r="D337" s="4">
        <f>41.9349 * CHOOSE(CONTROL!$C$14, $C$14, 100%, $E$14) + CHOOSE(CONTROL!$C$33, 0.0021, 0)</f>
        <v>41.936999999999998</v>
      </c>
      <c r="E337" s="4">
        <f>201.997299347855 * CHOOSE(CONTROL!$C$14, $C$14, 100%, $E$14) + CHOOSE(CONTROL!$C$33, 0.0021, 0)</f>
        <v>201.99939934785502</v>
      </c>
    </row>
    <row r="338" spans="1:5" ht="15">
      <c r="A338" s="11">
        <v>51409</v>
      </c>
      <c r="B338" s="4">
        <f>30.6333 * CHOOSE(CONTROL!$C$14, $C$14, 100%, $E$14) + CHOOSE(CONTROL!$C$33, 0.0304, 0)</f>
        <v>30.663699999999999</v>
      </c>
      <c r="C338" s="4">
        <f>30.2701 * CHOOSE(CONTROL!$C$14, $C$14, 100%, $E$14) + CHOOSE(CONTROL!$C$33, 0.0304, 0)</f>
        <v>30.3005</v>
      </c>
      <c r="D338" s="4">
        <f>41.7297 * CHOOSE(CONTROL!$C$14, $C$14, 100%, $E$14) + CHOOSE(CONTROL!$C$33, 0.0021, 0)</f>
        <v>41.7318</v>
      </c>
      <c r="E338" s="4">
        <f>193.947535146391 * CHOOSE(CONTROL!$C$14, $C$14, 100%, $E$14) + CHOOSE(CONTROL!$C$33, 0.0021, 0)</f>
        <v>193.94963514639102</v>
      </c>
    </row>
    <row r="339" spans="1:5" ht="15">
      <c r="A339" s="11">
        <v>51440</v>
      </c>
      <c r="B339" s="4">
        <f>29.6412 * CHOOSE(CONTROL!$C$14, $C$14, 100%, $E$14) + CHOOSE(CONTROL!$C$33, 0.0272, 0)</f>
        <v>29.668400000000002</v>
      </c>
      <c r="C339" s="4">
        <f>29.2779 * CHOOSE(CONTROL!$C$14, $C$14, 100%, $E$14) + CHOOSE(CONTROL!$C$33, 0.0272, 0)</f>
        <v>29.305099999999999</v>
      </c>
      <c r="D339" s="4">
        <f>41.1802 * CHOOSE(CONTROL!$C$14, $C$14, 100%, $E$14) + CHOOSE(CONTROL!$C$33, 0.0021, 0)</f>
        <v>41.182299999999998</v>
      </c>
      <c r="E339" s="4">
        <f>187.503539372379 * CHOOSE(CONTROL!$C$14, $C$14, 100%, $E$14) + CHOOSE(CONTROL!$C$33, 0.0021, 0)</f>
        <v>187.50563937237902</v>
      </c>
    </row>
    <row r="340" spans="1:5" ht="15">
      <c r="A340" s="11">
        <v>51470</v>
      </c>
      <c r="B340" s="4">
        <f>29.0022 * CHOOSE(CONTROL!$C$14, $C$14, 100%, $E$14) + CHOOSE(CONTROL!$C$33, 0.0272, 0)</f>
        <v>29.029399999999999</v>
      </c>
      <c r="C340" s="4">
        <f>28.639 * CHOOSE(CONTROL!$C$14, $C$14, 100%, $E$14) + CHOOSE(CONTROL!$C$33, 0.0272, 0)</f>
        <v>28.6662</v>
      </c>
      <c r="D340" s="4">
        <f>40.9913 * CHOOSE(CONTROL!$C$14, $C$14, 100%, $E$14) + CHOOSE(CONTROL!$C$33, 0.0021, 0)</f>
        <v>40.993400000000001</v>
      </c>
      <c r="E340" s="4">
        <f>183.353124886439 * CHOOSE(CONTROL!$C$14, $C$14, 100%, $E$14) + CHOOSE(CONTROL!$C$33, 0.0021, 0)</f>
        <v>183.355224886439</v>
      </c>
    </row>
    <row r="341" spans="1:5" ht="15">
      <c r="A341" s="11">
        <v>51501</v>
      </c>
      <c r="B341" s="4">
        <f>28.5601 * CHOOSE(CONTROL!$C$14, $C$14, 100%, $E$14) + CHOOSE(CONTROL!$C$33, 0.0272, 0)</f>
        <v>28.587299999999999</v>
      </c>
      <c r="C341" s="4">
        <f>28.1969 * CHOOSE(CONTROL!$C$14, $C$14, 100%, $E$14) + CHOOSE(CONTROL!$C$33, 0.0272, 0)</f>
        <v>28.2241</v>
      </c>
      <c r="D341" s="4">
        <f>39.6005 * CHOOSE(CONTROL!$C$14, $C$14, 100%, $E$14) + CHOOSE(CONTROL!$C$33, 0.0021, 0)</f>
        <v>39.602599999999995</v>
      </c>
      <c r="E341" s="4">
        <f>180.481571574805 * CHOOSE(CONTROL!$C$14, $C$14, 100%, $E$14) + CHOOSE(CONTROL!$C$33, 0.0021, 0)</f>
        <v>180.48367157480502</v>
      </c>
    </row>
    <row r="342" spans="1:5" ht="15">
      <c r="A342" s="11">
        <v>51532</v>
      </c>
      <c r="B342" s="4">
        <f>27.4014 * CHOOSE(CONTROL!$C$14, $C$14, 100%, $E$14) + CHOOSE(CONTROL!$C$33, 0.0272, 0)</f>
        <v>27.428599999999999</v>
      </c>
      <c r="C342" s="4">
        <f>27.0381 * CHOOSE(CONTROL!$C$14, $C$14, 100%, $E$14) + CHOOSE(CONTROL!$C$33, 0.0272, 0)</f>
        <v>27.065300000000001</v>
      </c>
      <c r="D342" s="4">
        <f>37.9994 * CHOOSE(CONTROL!$C$14, $C$14, 100%, $E$14) + CHOOSE(CONTROL!$C$33, 0.0021, 0)</f>
        <v>38.0015</v>
      </c>
      <c r="E342" s="4">
        <f>172.96378074807 * CHOOSE(CONTROL!$C$14, $C$14, 100%, $E$14) + CHOOSE(CONTROL!$C$33, 0.0021, 0)</f>
        <v>172.96588074807002</v>
      </c>
    </row>
    <row r="343" spans="1:5" ht="15">
      <c r="A343" s="11">
        <v>51560</v>
      </c>
      <c r="B343" s="4">
        <f>28.0337 * CHOOSE(CONTROL!$C$14, $C$14, 100%, $E$14) + CHOOSE(CONTROL!$C$33, 0.0272, 0)</f>
        <v>28.0609</v>
      </c>
      <c r="C343" s="4">
        <f>27.6704 * CHOOSE(CONTROL!$C$14, $C$14, 100%, $E$14) + CHOOSE(CONTROL!$C$33, 0.0272, 0)</f>
        <v>27.697600000000001</v>
      </c>
      <c r="D343" s="4">
        <f>39.2751 * CHOOSE(CONTROL!$C$14, $C$14, 100%, $E$14) + CHOOSE(CONTROL!$C$33, 0.0021, 0)</f>
        <v>39.277200000000001</v>
      </c>
      <c r="E343" s="4">
        <f>177.070622537626 * CHOOSE(CONTROL!$C$14, $C$14, 100%, $E$14) + CHOOSE(CONTROL!$C$33, 0.0021, 0)</f>
        <v>177.07272253762602</v>
      </c>
    </row>
    <row r="344" spans="1:5" ht="15">
      <c r="A344" s="11">
        <v>51591</v>
      </c>
      <c r="B344" s="4">
        <f>29.694 * CHOOSE(CONTROL!$C$14, $C$14, 100%, $E$14) + CHOOSE(CONTROL!$C$33, 0.0272, 0)</f>
        <v>29.7212</v>
      </c>
      <c r="C344" s="4">
        <f>29.3307 * CHOOSE(CONTROL!$C$14, $C$14, 100%, $E$14) + CHOOSE(CONTROL!$C$33, 0.0272, 0)</f>
        <v>29.357900000000001</v>
      </c>
      <c r="D344" s="4">
        <f>41.2723 * CHOOSE(CONTROL!$C$14, $C$14, 100%, $E$14) + CHOOSE(CONTROL!$C$33, 0.0021, 0)</f>
        <v>41.2744</v>
      </c>
      <c r="E344" s="4">
        <f>187.855407327826 * CHOOSE(CONTROL!$C$14, $C$14, 100%, $E$14) + CHOOSE(CONTROL!$C$33, 0.0021, 0)</f>
        <v>187.857507327826</v>
      </c>
    </row>
    <row r="345" spans="1:5" ht="15">
      <c r="A345" s="11">
        <v>51621</v>
      </c>
      <c r="B345" s="4">
        <f>30.8737 * CHOOSE(CONTROL!$C$14, $C$14, 100%, $E$14) + CHOOSE(CONTROL!$C$33, 0.0272, 0)</f>
        <v>30.9009</v>
      </c>
      <c r="C345" s="4">
        <f>30.5104 * CHOOSE(CONTROL!$C$14, $C$14, 100%, $E$14) + CHOOSE(CONTROL!$C$33, 0.0272, 0)</f>
        <v>30.537600000000001</v>
      </c>
      <c r="D345" s="4">
        <f>42.4227 * CHOOSE(CONTROL!$C$14, $C$14, 100%, $E$14) + CHOOSE(CONTROL!$C$33, 0.0021, 0)</f>
        <v>42.424799999999998</v>
      </c>
      <c r="E345" s="4">
        <f>195.518140647419 * CHOOSE(CONTROL!$C$14, $C$14, 100%, $E$14) + CHOOSE(CONTROL!$C$33, 0.0021, 0)</f>
        <v>195.520240647419</v>
      </c>
    </row>
    <row r="346" spans="1:5" ht="15">
      <c r="A346" s="11">
        <v>51652</v>
      </c>
      <c r="B346" s="4">
        <f>31.5944 * CHOOSE(CONTROL!$C$14, $C$14, 100%, $E$14) + CHOOSE(CONTROL!$C$33, 0.0304, 0)</f>
        <v>31.6248</v>
      </c>
      <c r="C346" s="4">
        <f>31.2311 * CHOOSE(CONTROL!$C$14, $C$14, 100%, $E$14) + CHOOSE(CONTROL!$C$33, 0.0304, 0)</f>
        <v>31.261500000000002</v>
      </c>
      <c r="D346" s="4">
        <f>41.9681 * CHOOSE(CONTROL!$C$14, $C$14, 100%, $E$14) + CHOOSE(CONTROL!$C$33, 0.0021, 0)</f>
        <v>41.970199999999998</v>
      </c>
      <c r="E346" s="4">
        <f>200.199887055603 * CHOOSE(CONTROL!$C$14, $C$14, 100%, $E$14) + CHOOSE(CONTROL!$C$33, 0.0021, 0)</f>
        <v>200.20198705560301</v>
      </c>
    </row>
    <row r="347" spans="1:5" ht="15">
      <c r="A347" s="11">
        <v>51682</v>
      </c>
      <c r="B347" s="4">
        <f>31.692 * CHOOSE(CONTROL!$C$14, $C$14, 100%, $E$14) + CHOOSE(CONTROL!$C$33, 0.0304, 0)</f>
        <v>31.7224</v>
      </c>
      <c r="C347" s="4">
        <f>31.3287 * CHOOSE(CONTROL!$C$14, $C$14, 100%, $E$14) + CHOOSE(CONTROL!$C$33, 0.0304, 0)</f>
        <v>31.359100000000002</v>
      </c>
      <c r="D347" s="4">
        <f>42.3384 * CHOOSE(CONTROL!$C$14, $C$14, 100%, $E$14) + CHOOSE(CONTROL!$C$33, 0.0021, 0)</f>
        <v>42.340499999999999</v>
      </c>
      <c r="E347" s="4">
        <f>200.833346774277 * CHOOSE(CONTROL!$C$14, $C$14, 100%, $E$14) + CHOOSE(CONTROL!$C$33, 0.0021, 0)</f>
        <v>200.83544677427702</v>
      </c>
    </row>
    <row r="348" spans="1:5" ht="15">
      <c r="A348" s="11">
        <v>51713</v>
      </c>
      <c r="B348" s="4">
        <f>31.6821 * CHOOSE(CONTROL!$C$14, $C$14, 100%, $E$14) + CHOOSE(CONTROL!$C$33, 0.0304, 0)</f>
        <v>31.712499999999999</v>
      </c>
      <c r="C348" s="4">
        <f>31.3188 * CHOOSE(CONTROL!$C$14, $C$14, 100%, $E$14) + CHOOSE(CONTROL!$C$33, 0.0304, 0)</f>
        <v>31.3492</v>
      </c>
      <c r="D348" s="4">
        <f>43.0064 * CHOOSE(CONTROL!$C$14, $C$14, 100%, $E$14) + CHOOSE(CONTROL!$C$33, 0.0021, 0)</f>
        <v>43.008499999999998</v>
      </c>
      <c r="E348" s="4">
        <f>200.769468483318 * CHOOSE(CONTROL!$C$14, $C$14, 100%, $E$14) + CHOOSE(CONTROL!$C$33, 0.0021, 0)</f>
        <v>200.77156848331802</v>
      </c>
    </row>
    <row r="349" spans="1:5" ht="15">
      <c r="A349" s="11">
        <v>51744</v>
      </c>
      <c r="B349" s="4">
        <f>32.4221 * CHOOSE(CONTROL!$C$14, $C$14, 100%, $E$14) + CHOOSE(CONTROL!$C$33, 0.0304, 0)</f>
        <v>32.452500000000001</v>
      </c>
      <c r="C349" s="4">
        <f>32.0589 * CHOOSE(CONTROL!$C$14, $C$14, 100%, $E$14) + CHOOSE(CONTROL!$C$33, 0.0304, 0)</f>
        <v>32.089300000000001</v>
      </c>
      <c r="D349" s="4">
        <f>42.5652 * CHOOSE(CONTROL!$C$14, $C$14, 100%, $E$14) + CHOOSE(CONTROL!$C$33, 0.0021, 0)</f>
        <v>42.567299999999996</v>
      </c>
      <c r="E349" s="4">
        <f>205.576309877963 * CHOOSE(CONTROL!$C$14, $C$14, 100%, $E$14) + CHOOSE(CONTROL!$C$33, 0.0021, 0)</f>
        <v>205.57840987796303</v>
      </c>
    </row>
    <row r="350" spans="1:5" ht="15">
      <c r="A350" s="11">
        <v>51774</v>
      </c>
      <c r="B350" s="4">
        <f>31.1609 * CHOOSE(CONTROL!$C$14, $C$14, 100%, $E$14) + CHOOSE(CONTROL!$C$33, 0.0304, 0)</f>
        <v>31.191300000000002</v>
      </c>
      <c r="C350" s="4">
        <f>30.7976 * CHOOSE(CONTROL!$C$14, $C$14, 100%, $E$14) + CHOOSE(CONTROL!$C$33, 0.0304, 0)</f>
        <v>30.827999999999999</v>
      </c>
      <c r="D350" s="4">
        <f>42.3568 * CHOOSE(CONTROL!$C$14, $C$14, 100%, $E$14) + CHOOSE(CONTROL!$C$33, 0.0021, 0)</f>
        <v>42.358899999999998</v>
      </c>
      <c r="E350" s="4">
        <f>197.383919062505 * CHOOSE(CONTROL!$C$14, $C$14, 100%, $E$14) + CHOOSE(CONTROL!$C$33, 0.0021, 0)</f>
        <v>197.386019062505</v>
      </c>
    </row>
    <row r="351" spans="1:5" ht="15">
      <c r="A351" s="11">
        <v>51805</v>
      </c>
      <c r="B351" s="4">
        <f>30.1513 * CHOOSE(CONTROL!$C$14, $C$14, 100%, $E$14) + CHOOSE(CONTROL!$C$33, 0.0272, 0)</f>
        <v>30.1785</v>
      </c>
      <c r="C351" s="4">
        <f>29.788 * CHOOSE(CONTROL!$C$14, $C$14, 100%, $E$14) + CHOOSE(CONTROL!$C$33, 0.0272, 0)</f>
        <v>29.815200000000001</v>
      </c>
      <c r="D351" s="4">
        <f>41.7987 * CHOOSE(CONTROL!$C$14, $C$14, 100%, $E$14) + CHOOSE(CONTROL!$C$33, 0.0021, 0)</f>
        <v>41.800799999999995</v>
      </c>
      <c r="E351" s="4">
        <f>190.825747857408 * CHOOSE(CONTROL!$C$14, $C$14, 100%, $E$14) + CHOOSE(CONTROL!$C$33, 0.0021, 0)</f>
        <v>190.82784785740802</v>
      </c>
    </row>
    <row r="352" spans="1:5" ht="15">
      <c r="A352" s="11">
        <v>51835</v>
      </c>
      <c r="B352" s="4">
        <f>29.501 * CHOOSE(CONTROL!$C$14, $C$14, 100%, $E$14) + CHOOSE(CONTROL!$C$33, 0.0272, 0)</f>
        <v>29.528200000000002</v>
      </c>
      <c r="C352" s="4">
        <f>29.1377 * CHOOSE(CONTROL!$C$14, $C$14, 100%, $E$14) + CHOOSE(CONTROL!$C$33, 0.0272, 0)</f>
        <v>29.164899999999999</v>
      </c>
      <c r="D352" s="4">
        <f>41.6068 * CHOOSE(CONTROL!$C$14, $C$14, 100%, $E$14) + CHOOSE(CONTROL!$C$33, 0.0021, 0)</f>
        <v>41.608899999999998</v>
      </c>
      <c r="E352" s="4">
        <f>186.601795867761 * CHOOSE(CONTROL!$C$14, $C$14, 100%, $E$14) + CHOOSE(CONTROL!$C$33, 0.0021, 0)</f>
        <v>186.60389586776103</v>
      </c>
    </row>
    <row r="353" spans="1:5" ht="15">
      <c r="A353" s="11">
        <v>51866</v>
      </c>
      <c r="B353" s="4">
        <f>29.0511 * CHOOSE(CONTROL!$C$14, $C$14, 100%, $E$14) + CHOOSE(CONTROL!$C$33, 0.0272, 0)</f>
        <v>29.078300000000002</v>
      </c>
      <c r="C353" s="4">
        <f>28.6878 * CHOOSE(CONTROL!$C$14, $C$14, 100%, $E$14) + CHOOSE(CONTROL!$C$33, 0.0272, 0)</f>
        <v>28.715</v>
      </c>
      <c r="D353" s="4">
        <f>40.1941 * CHOOSE(CONTROL!$C$14, $C$14, 100%, $E$14) + CHOOSE(CONTROL!$C$33, 0.0021, 0)</f>
        <v>40.196199999999997</v>
      </c>
      <c r="E353" s="4">
        <f>183.679364056399 * CHOOSE(CONTROL!$C$14, $C$14, 100%, $E$14) + CHOOSE(CONTROL!$C$33, 0.0021, 0)</f>
        <v>183.68146405639902</v>
      </c>
    </row>
    <row r="354" spans="1:5" ht="15">
      <c r="A354" s="11">
        <v>51897</v>
      </c>
      <c r="B354" s="4">
        <f>27.8719 * CHOOSE(CONTROL!$C$14, $C$14, 100%, $E$14) + CHOOSE(CONTROL!$C$33, 0.0272, 0)</f>
        <v>27.899100000000001</v>
      </c>
      <c r="C354" s="4">
        <f>27.5086 * CHOOSE(CONTROL!$C$14, $C$14, 100%, $E$14) + CHOOSE(CONTROL!$C$33, 0.0272, 0)</f>
        <v>27.535800000000002</v>
      </c>
      <c r="D354" s="4">
        <f>38.5678 * CHOOSE(CONTROL!$C$14, $C$14, 100%, $E$14) + CHOOSE(CONTROL!$C$33, 0.0021, 0)</f>
        <v>38.569899999999997</v>
      </c>
      <c r="E354" s="4">
        <f>176.028372178863 * CHOOSE(CONTROL!$C$14, $C$14, 100%, $E$14) + CHOOSE(CONTROL!$C$33, 0.0021, 0)</f>
        <v>176.03047217886302</v>
      </c>
    </row>
    <row r="355" spans="1:5" ht="15">
      <c r="A355" s="11">
        <v>51925</v>
      </c>
      <c r="B355" s="4">
        <f>28.5153 * CHOOSE(CONTROL!$C$14, $C$14, 100%, $E$14) + CHOOSE(CONTROL!$C$33, 0.0272, 0)</f>
        <v>28.5425</v>
      </c>
      <c r="C355" s="4">
        <f>28.152 * CHOOSE(CONTROL!$C$14, $C$14, 100%, $E$14) + CHOOSE(CONTROL!$C$33, 0.0272, 0)</f>
        <v>28.179200000000002</v>
      </c>
      <c r="D355" s="4">
        <f>39.8636 * CHOOSE(CONTROL!$C$14, $C$14, 100%, $E$14) + CHOOSE(CONTROL!$C$33, 0.0021, 0)</f>
        <v>39.865699999999997</v>
      </c>
      <c r="E355" s="4">
        <f>180.207979446263 * CHOOSE(CONTROL!$C$14, $C$14, 100%, $E$14) + CHOOSE(CONTROL!$C$33, 0.0021, 0)</f>
        <v>180.21007944626302</v>
      </c>
    </row>
    <row r="356" spans="1:5" ht="15">
      <c r="A356" s="11">
        <v>51956</v>
      </c>
      <c r="B356" s="4">
        <f>30.205 * CHOOSE(CONTROL!$C$14, $C$14, 100%, $E$14) + CHOOSE(CONTROL!$C$33, 0.0272, 0)</f>
        <v>30.232199999999999</v>
      </c>
      <c r="C356" s="4">
        <f>29.8417 * CHOOSE(CONTROL!$C$14, $C$14, 100%, $E$14) + CHOOSE(CONTROL!$C$33, 0.0272, 0)</f>
        <v>29.8689</v>
      </c>
      <c r="D356" s="4">
        <f>41.8922 * CHOOSE(CONTROL!$C$14, $C$14, 100%, $E$14) + CHOOSE(CONTROL!$C$33, 0.0021, 0)</f>
        <v>41.894300000000001</v>
      </c>
      <c r="E356" s="4">
        <f>191.183850248275 * CHOOSE(CONTROL!$C$14, $C$14, 100%, $E$14) + CHOOSE(CONTROL!$C$33, 0.0021, 0)</f>
        <v>191.18595024827502</v>
      </c>
    </row>
    <row r="357" spans="1:5" ht="15">
      <c r="A357" s="11">
        <v>51986</v>
      </c>
      <c r="B357" s="4">
        <f>31.4055 * CHOOSE(CONTROL!$C$14, $C$14, 100%, $E$14) + CHOOSE(CONTROL!$C$33, 0.0272, 0)</f>
        <v>31.432700000000001</v>
      </c>
      <c r="C357" s="4">
        <f>31.0422 * CHOOSE(CONTROL!$C$14, $C$14, 100%, $E$14) + CHOOSE(CONTROL!$C$33, 0.0272, 0)</f>
        <v>31.069400000000002</v>
      </c>
      <c r="D357" s="4">
        <f>43.0607 * CHOOSE(CONTROL!$C$14, $C$14, 100%, $E$14) + CHOOSE(CONTROL!$C$33, 0.0021, 0)</f>
        <v>43.062799999999996</v>
      </c>
      <c r="E357" s="4">
        <f>198.982352725815 * CHOOSE(CONTROL!$C$14, $C$14, 100%, $E$14) + CHOOSE(CONTROL!$C$33, 0.0021, 0)</f>
        <v>198.984452725815</v>
      </c>
    </row>
    <row r="358" spans="1:5" ht="15">
      <c r="A358" s="11">
        <v>52017</v>
      </c>
      <c r="B358" s="4">
        <f>32.139 * CHOOSE(CONTROL!$C$14, $C$14, 100%, $E$14) + CHOOSE(CONTROL!$C$33, 0.0304, 0)</f>
        <v>32.169400000000003</v>
      </c>
      <c r="C358" s="4">
        <f>31.7757 * CHOOSE(CONTROL!$C$14, $C$14, 100%, $E$14) + CHOOSE(CONTROL!$C$33, 0.0304, 0)</f>
        <v>31.806100000000001</v>
      </c>
      <c r="D358" s="4">
        <f>42.5989 * CHOOSE(CONTROL!$C$14, $C$14, 100%, $E$14) + CHOOSE(CONTROL!$C$33, 0.0021, 0)</f>
        <v>42.600999999999999</v>
      </c>
      <c r="E358" s="4">
        <f>203.747050835573 * CHOOSE(CONTROL!$C$14, $C$14, 100%, $E$14) + CHOOSE(CONTROL!$C$33, 0.0021, 0)</f>
        <v>203.749150835573</v>
      </c>
    </row>
    <row r="359" spans="1:5" ht="15">
      <c r="A359" s="11">
        <v>52047</v>
      </c>
      <c r="B359" s="4">
        <f>32.2382 * CHOOSE(CONTROL!$C$14, $C$14, 100%, $E$14) + CHOOSE(CONTROL!$C$33, 0.0304, 0)</f>
        <v>32.268599999999999</v>
      </c>
      <c r="C359" s="4">
        <f>31.8749 * CHOOSE(CONTROL!$C$14, $C$14, 100%, $E$14) + CHOOSE(CONTROL!$C$33, 0.0304, 0)</f>
        <v>31.9053</v>
      </c>
      <c r="D359" s="4">
        <f>42.975 * CHOOSE(CONTROL!$C$14, $C$14, 100%, $E$14) + CHOOSE(CONTROL!$C$33, 0.0021, 0)</f>
        <v>42.9771</v>
      </c>
      <c r="E359" s="4">
        <f>204.391734263727 * CHOOSE(CONTROL!$C$14, $C$14, 100%, $E$14) + CHOOSE(CONTROL!$C$33, 0.0021, 0)</f>
        <v>204.393834263727</v>
      </c>
    </row>
    <row r="360" spans="1:5" ht="15">
      <c r="A360" s="11">
        <v>52078</v>
      </c>
      <c r="B360" s="4">
        <f>32.2282 * CHOOSE(CONTROL!$C$14, $C$14, 100%, $E$14) + CHOOSE(CONTROL!$C$33, 0.0304, 0)</f>
        <v>32.258600000000001</v>
      </c>
      <c r="C360" s="4">
        <f>31.8649 * CHOOSE(CONTROL!$C$14, $C$14, 100%, $E$14) + CHOOSE(CONTROL!$C$33, 0.0304, 0)</f>
        <v>31.895299999999999</v>
      </c>
      <c r="D360" s="4">
        <f>43.6535 * CHOOSE(CONTROL!$C$14, $C$14, 100%, $E$14) + CHOOSE(CONTROL!$C$33, 0.0021, 0)</f>
        <v>43.6556</v>
      </c>
      <c r="E360" s="4">
        <f>204.326724170131 * CHOOSE(CONTROL!$C$14, $C$14, 100%, $E$14) + CHOOSE(CONTROL!$C$33, 0.0021, 0)</f>
        <v>204.32882417013101</v>
      </c>
    </row>
    <row r="361" spans="1:5" ht="15">
      <c r="A361" s="11">
        <v>52109</v>
      </c>
      <c r="B361" s="4">
        <f>32.9813 * CHOOSE(CONTROL!$C$14, $C$14, 100%, $E$14) + CHOOSE(CONTROL!$C$33, 0.0304, 0)</f>
        <v>33.011699999999998</v>
      </c>
      <c r="C361" s="4">
        <f>32.618 * CHOOSE(CONTROL!$C$14, $C$14, 100%, $E$14) + CHOOSE(CONTROL!$C$33, 0.0304, 0)</f>
        <v>32.648400000000002</v>
      </c>
      <c r="D361" s="4">
        <f>43.2054 * CHOOSE(CONTROL!$C$14, $C$14, 100%, $E$14) + CHOOSE(CONTROL!$C$33, 0.0021, 0)</f>
        <v>43.207499999999996</v>
      </c>
      <c r="E361" s="4">
        <f>209.21873371318 * CHOOSE(CONTROL!$C$14, $C$14, 100%, $E$14) + CHOOSE(CONTROL!$C$33, 0.0021, 0)</f>
        <v>209.22083371318001</v>
      </c>
    </row>
    <row r="362" spans="1:5" ht="15">
      <c r="A362" s="11">
        <v>52139</v>
      </c>
      <c r="B362" s="4">
        <f>31.6978 * CHOOSE(CONTROL!$C$14, $C$14, 100%, $E$14) + CHOOSE(CONTROL!$C$33, 0.0304, 0)</f>
        <v>31.728200000000001</v>
      </c>
      <c r="C362" s="4">
        <f>31.3345 * CHOOSE(CONTROL!$C$14, $C$14, 100%, $E$14) + CHOOSE(CONTROL!$C$33, 0.0304, 0)</f>
        <v>31.364899999999999</v>
      </c>
      <c r="D362" s="4">
        <f>42.9937 * CHOOSE(CONTROL!$C$14, $C$14, 100%, $E$14) + CHOOSE(CONTROL!$C$33, 0.0021, 0)</f>
        <v>42.995799999999996</v>
      </c>
      <c r="E362" s="4">
        <f>200.881189209579 * CHOOSE(CONTROL!$C$14, $C$14, 100%, $E$14) + CHOOSE(CONTROL!$C$33, 0.0021, 0)</f>
        <v>200.883289209579</v>
      </c>
    </row>
    <row r="363" spans="1:5" ht="15">
      <c r="A363" s="11">
        <v>52170</v>
      </c>
      <c r="B363" s="4">
        <f>30.6703 * CHOOSE(CONTROL!$C$14, $C$14, 100%, $E$14) + CHOOSE(CONTROL!$C$33, 0.0272, 0)</f>
        <v>30.697500000000002</v>
      </c>
      <c r="C363" s="4">
        <f>30.307 * CHOOSE(CONTROL!$C$14, $C$14, 100%, $E$14) + CHOOSE(CONTROL!$C$33, 0.0272, 0)</f>
        <v>30.334199999999999</v>
      </c>
      <c r="D363" s="4">
        <f>42.4268 * CHOOSE(CONTROL!$C$14, $C$14, 100%, $E$14) + CHOOSE(CONTROL!$C$33, 0.0021, 0)</f>
        <v>42.428899999999999</v>
      </c>
      <c r="E363" s="4">
        <f>194.206819600458 * CHOOSE(CONTROL!$C$14, $C$14, 100%, $E$14) + CHOOSE(CONTROL!$C$33, 0.0021, 0)</f>
        <v>194.20891960045802</v>
      </c>
    </row>
    <row r="364" spans="1:5" ht="15">
      <c r="A364" s="11">
        <v>52200</v>
      </c>
      <c r="B364" s="4">
        <f>30.0086 * CHOOSE(CONTROL!$C$14, $C$14, 100%, $E$14) + CHOOSE(CONTROL!$C$33, 0.0272, 0)</f>
        <v>30.035800000000002</v>
      </c>
      <c r="C364" s="4">
        <f>29.6453 * CHOOSE(CONTROL!$C$14, $C$14, 100%, $E$14) + CHOOSE(CONTROL!$C$33, 0.0272, 0)</f>
        <v>29.672499999999999</v>
      </c>
      <c r="D364" s="4">
        <f>42.2319 * CHOOSE(CONTROL!$C$14, $C$14, 100%, $E$14) + CHOOSE(CONTROL!$C$33, 0.0021, 0)</f>
        <v>42.234000000000002</v>
      </c>
      <c r="E364" s="4">
        <f>189.908027161466 * CHOOSE(CONTROL!$C$14, $C$14, 100%, $E$14) + CHOOSE(CONTROL!$C$33, 0.0021, 0)</f>
        <v>189.91012716146602</v>
      </c>
    </row>
    <row r="365" spans="1:5" ht="15">
      <c r="A365" s="11">
        <v>52231</v>
      </c>
      <c r="B365" s="4">
        <f>29.5507 * CHOOSE(CONTROL!$C$14, $C$14, 100%, $E$14) + CHOOSE(CONTROL!$C$33, 0.0272, 0)</f>
        <v>29.5779</v>
      </c>
      <c r="C365" s="4">
        <f>29.1874 * CHOOSE(CONTROL!$C$14, $C$14, 100%, $E$14) + CHOOSE(CONTROL!$C$33, 0.0272, 0)</f>
        <v>29.214600000000001</v>
      </c>
      <c r="D365" s="4">
        <f>40.7971 * CHOOSE(CONTROL!$C$14, $C$14, 100%, $E$14) + CHOOSE(CONTROL!$C$33, 0.0021, 0)</f>
        <v>40.799199999999999</v>
      </c>
      <c r="E365" s="4">
        <f>186.93381537948 * CHOOSE(CONTROL!$C$14, $C$14, 100%, $E$14) + CHOOSE(CONTROL!$C$33, 0.0021, 0)</f>
        <v>186.93591537948001</v>
      </c>
    </row>
    <row r="366" spans="1:5" ht="15">
      <c r="A366" s="11">
        <v>52262</v>
      </c>
      <c r="B366" s="4">
        <f>28.3507 * CHOOSE(CONTROL!$C$14, $C$14, 100%, $E$14) + CHOOSE(CONTROL!$C$33, 0.0272, 0)</f>
        <v>28.3779</v>
      </c>
      <c r="C366" s="4">
        <f>27.9874 * CHOOSE(CONTROL!$C$14, $C$14, 100%, $E$14) + CHOOSE(CONTROL!$C$33, 0.0272, 0)</f>
        <v>28.014600000000002</v>
      </c>
      <c r="D366" s="4">
        <f>39.1451 * CHOOSE(CONTROL!$C$14, $C$14, 100%, $E$14) + CHOOSE(CONTROL!$C$33, 0.0021, 0)</f>
        <v>39.147199999999998</v>
      </c>
      <c r="E366" s="4">
        <f>179.147262380167 * CHOOSE(CONTROL!$C$14, $C$14, 100%, $E$14) + CHOOSE(CONTROL!$C$33, 0.0021, 0)</f>
        <v>179.14936238016702</v>
      </c>
    </row>
    <row r="367" spans="1:5" ht="15">
      <c r="A367" s="11">
        <v>52290</v>
      </c>
      <c r="B367" s="4">
        <f>29.0054 * CHOOSE(CONTROL!$C$14, $C$14, 100%, $E$14) + CHOOSE(CONTROL!$C$33, 0.0272, 0)</f>
        <v>29.032600000000002</v>
      </c>
      <c r="C367" s="4">
        <f>28.6422 * CHOOSE(CONTROL!$C$14, $C$14, 100%, $E$14) + CHOOSE(CONTROL!$C$33, 0.0272, 0)</f>
        <v>28.6694</v>
      </c>
      <c r="D367" s="4">
        <f>40.4614 * CHOOSE(CONTROL!$C$14, $C$14, 100%, $E$14) + CHOOSE(CONTROL!$C$33, 0.0021, 0)</f>
        <v>40.463499999999996</v>
      </c>
      <c r="E367" s="4">
        <f>183.40092439221 * CHOOSE(CONTROL!$C$14, $C$14, 100%, $E$14) + CHOOSE(CONTROL!$C$33, 0.0021, 0)</f>
        <v>183.40302439221</v>
      </c>
    </row>
    <row r="368" spans="1:5" ht="15">
      <c r="A368" s="11">
        <v>52321</v>
      </c>
      <c r="B368" s="4">
        <f>30.725 * CHOOSE(CONTROL!$C$14, $C$14, 100%, $E$14) + CHOOSE(CONTROL!$C$33, 0.0272, 0)</f>
        <v>30.752200000000002</v>
      </c>
      <c r="C368" s="4">
        <f>30.3617 * CHOOSE(CONTROL!$C$14, $C$14, 100%, $E$14) + CHOOSE(CONTROL!$C$33, 0.0272, 0)</f>
        <v>30.3889</v>
      </c>
      <c r="D368" s="4">
        <f>42.5218 * CHOOSE(CONTROL!$C$14, $C$14, 100%, $E$14) + CHOOSE(CONTROL!$C$33, 0.0021, 0)</f>
        <v>42.523899999999998</v>
      </c>
      <c r="E368" s="4">
        <f>194.571266889162 * CHOOSE(CONTROL!$C$14, $C$14, 100%, $E$14) + CHOOSE(CONTROL!$C$33, 0.0021, 0)</f>
        <v>194.573366889162</v>
      </c>
    </row>
    <row r="369" spans="1:5" ht="15">
      <c r="A369" s="11">
        <v>52351</v>
      </c>
      <c r="B369" s="4">
        <f>31.9467 * CHOOSE(CONTROL!$C$14, $C$14, 100%, $E$14) + CHOOSE(CONTROL!$C$33, 0.0272, 0)</f>
        <v>31.9739</v>
      </c>
      <c r="C369" s="4">
        <f>31.5834 * CHOOSE(CONTROL!$C$14, $C$14, 100%, $E$14) + CHOOSE(CONTROL!$C$33, 0.0272, 0)</f>
        <v>31.610600000000002</v>
      </c>
      <c r="D369" s="4">
        <f>43.7087 * CHOOSE(CONTROL!$C$14, $C$14, 100%, $E$14) + CHOOSE(CONTROL!$C$33, 0.0021, 0)</f>
        <v>43.710799999999999</v>
      </c>
      <c r="E369" s="4">
        <f>202.507944097634 * CHOOSE(CONTROL!$C$14, $C$14, 100%, $E$14) + CHOOSE(CONTROL!$C$33, 0.0021, 0)</f>
        <v>202.51004409763402</v>
      </c>
    </row>
    <row r="370" spans="1:5" ht="15">
      <c r="A370" s="11">
        <v>52382</v>
      </c>
      <c r="B370" s="4">
        <f>32.6932 * CHOOSE(CONTROL!$C$14, $C$14, 100%, $E$14) + CHOOSE(CONTROL!$C$33, 0.0304, 0)</f>
        <v>32.723599999999998</v>
      </c>
      <c r="C370" s="4">
        <f>32.3299 * CHOOSE(CONTROL!$C$14, $C$14, 100%, $E$14) + CHOOSE(CONTROL!$C$33, 0.0304, 0)</f>
        <v>32.360300000000002</v>
      </c>
      <c r="D370" s="4">
        <f>43.2397 * CHOOSE(CONTROL!$C$14, $C$14, 100%, $E$14) + CHOOSE(CONTROL!$C$33, 0.0021, 0)</f>
        <v>43.241799999999998</v>
      </c>
      <c r="E370" s="4">
        <f>207.357063656404 * CHOOSE(CONTROL!$C$14, $C$14, 100%, $E$14) + CHOOSE(CONTROL!$C$33, 0.0021, 0)</f>
        <v>207.35916365640401</v>
      </c>
    </row>
    <row r="371" spans="1:5" ht="15">
      <c r="A371" s="11">
        <v>52412</v>
      </c>
      <c r="B371" s="4">
        <f>32.7942 * CHOOSE(CONTROL!$C$14, $C$14, 100%, $E$14) + CHOOSE(CONTROL!$C$33, 0.0304, 0)</f>
        <v>32.824599999999997</v>
      </c>
      <c r="C371" s="4">
        <f>32.4309 * CHOOSE(CONTROL!$C$14, $C$14, 100%, $E$14) + CHOOSE(CONTROL!$C$33, 0.0304, 0)</f>
        <v>32.461300000000001</v>
      </c>
      <c r="D371" s="4">
        <f>43.6217 * CHOOSE(CONTROL!$C$14, $C$14, 100%, $E$14) + CHOOSE(CONTROL!$C$33, 0.0021, 0)</f>
        <v>43.623799999999996</v>
      </c>
      <c r="E371" s="4">
        <f>208.013169656966 * CHOOSE(CONTROL!$C$14, $C$14, 100%, $E$14) + CHOOSE(CONTROL!$C$33, 0.0021, 0)</f>
        <v>208.01526965696601</v>
      </c>
    </row>
    <row r="372" spans="1:5" ht="15">
      <c r="A372" s="11">
        <v>52443</v>
      </c>
      <c r="B372" s="4">
        <f>32.784 * CHOOSE(CONTROL!$C$14, $C$14, 100%, $E$14) + CHOOSE(CONTROL!$C$33, 0.0304, 0)</f>
        <v>32.814399999999999</v>
      </c>
      <c r="C372" s="4">
        <f>32.4207 * CHOOSE(CONTROL!$C$14, $C$14, 100%, $E$14) + CHOOSE(CONTROL!$C$33, 0.0304, 0)</f>
        <v>32.451099999999997</v>
      </c>
      <c r="D372" s="4">
        <f>44.3109 * CHOOSE(CONTROL!$C$14, $C$14, 100%, $E$14) + CHOOSE(CONTROL!$C$33, 0.0021, 0)</f>
        <v>44.312999999999995</v>
      </c>
      <c r="E372" s="4">
        <f>207.947007707329 * CHOOSE(CONTROL!$C$14, $C$14, 100%, $E$14) + CHOOSE(CONTROL!$C$33, 0.0021, 0)</f>
        <v>207.94910770732901</v>
      </c>
    </row>
    <row r="373" spans="1:5" ht="15">
      <c r="A373" s="11">
        <v>52474</v>
      </c>
      <c r="B373" s="4">
        <f>33.5504 * CHOOSE(CONTROL!$C$14, $C$14, 100%, $E$14) + CHOOSE(CONTROL!$C$33, 0.0304, 0)</f>
        <v>33.580800000000004</v>
      </c>
      <c r="C373" s="4">
        <f>33.1871 * CHOOSE(CONTROL!$C$14, $C$14, 100%, $E$14) + CHOOSE(CONTROL!$C$33, 0.0304, 0)</f>
        <v>33.217500000000001</v>
      </c>
      <c r="D373" s="4">
        <f>43.8557 * CHOOSE(CONTROL!$C$14, $C$14, 100%, $E$14) + CHOOSE(CONTROL!$C$33, 0.0021, 0)</f>
        <v>43.857799999999997</v>
      </c>
      <c r="E373" s="4">
        <f>212.925694417471 * CHOOSE(CONTROL!$C$14, $C$14, 100%, $E$14) + CHOOSE(CONTROL!$C$33, 0.0021, 0)</f>
        <v>212.92779441747101</v>
      </c>
    </row>
    <row r="374" spans="1:5" ht="15">
      <c r="A374" s="11">
        <v>52504</v>
      </c>
      <c r="B374" s="4">
        <f>32.2442 * CHOOSE(CONTROL!$C$14, $C$14, 100%, $E$14) + CHOOSE(CONTROL!$C$33, 0.0304, 0)</f>
        <v>32.2746</v>
      </c>
      <c r="C374" s="4">
        <f>31.8809 * CHOOSE(CONTROL!$C$14, $C$14, 100%, $E$14) + CHOOSE(CONTROL!$C$33, 0.0304, 0)</f>
        <v>31.911300000000001</v>
      </c>
      <c r="D374" s="4">
        <f>43.6407 * CHOOSE(CONTROL!$C$14, $C$14, 100%, $E$14) + CHOOSE(CONTROL!$C$33, 0.0021, 0)</f>
        <v>43.642800000000001</v>
      </c>
      <c r="E374" s="4">
        <f>204.440424376598 * CHOOSE(CONTROL!$C$14, $C$14, 100%, $E$14) + CHOOSE(CONTROL!$C$33, 0.0021, 0)</f>
        <v>204.44252437659802</v>
      </c>
    </row>
    <row r="375" spans="1:5" ht="15">
      <c r="A375" s="11">
        <v>52535</v>
      </c>
      <c r="B375" s="4">
        <f>31.1986 * CHOOSE(CONTROL!$C$14, $C$14, 100%, $E$14) + CHOOSE(CONTROL!$C$33, 0.0272, 0)</f>
        <v>31.2258</v>
      </c>
      <c r="C375" s="4">
        <f>30.8353 * CHOOSE(CONTROL!$C$14, $C$14, 100%, $E$14) + CHOOSE(CONTROL!$C$33, 0.0272, 0)</f>
        <v>30.862500000000001</v>
      </c>
      <c r="D375" s="4">
        <f>43.0649 * CHOOSE(CONTROL!$C$14, $C$14, 100%, $E$14) + CHOOSE(CONTROL!$C$33, 0.0021, 0)</f>
        <v>43.067</v>
      </c>
      <c r="E375" s="4">
        <f>197.647797547257 * CHOOSE(CONTROL!$C$14, $C$14, 100%, $E$14) + CHOOSE(CONTROL!$C$33, 0.0021, 0)</f>
        <v>197.64989754725701</v>
      </c>
    </row>
    <row r="376" spans="1:5" ht="15">
      <c r="A376" s="11">
        <v>52565</v>
      </c>
      <c r="B376" s="4">
        <f>30.5251 * CHOOSE(CONTROL!$C$14, $C$14, 100%, $E$14) + CHOOSE(CONTROL!$C$33, 0.0272, 0)</f>
        <v>30.552299999999999</v>
      </c>
      <c r="C376" s="4">
        <f>30.1618 * CHOOSE(CONTROL!$C$14, $C$14, 100%, $E$14) + CHOOSE(CONTROL!$C$33, 0.0272, 0)</f>
        <v>30.189</v>
      </c>
      <c r="D376" s="4">
        <f>42.8669 * CHOOSE(CONTROL!$C$14, $C$14, 100%, $E$14) + CHOOSE(CONTROL!$C$33, 0.0021, 0)</f>
        <v>42.869</v>
      </c>
      <c r="E376" s="4">
        <f>193.272838627547 * CHOOSE(CONTROL!$C$14, $C$14, 100%, $E$14) + CHOOSE(CONTROL!$C$33, 0.0021, 0)</f>
        <v>193.27493862754702</v>
      </c>
    </row>
    <row r="377" spans="1:5" ht="15">
      <c r="A377" s="11">
        <v>52596</v>
      </c>
      <c r="B377" s="4">
        <f>30.0591 * CHOOSE(CONTROL!$C$14, $C$14, 100%, $E$14) + CHOOSE(CONTROL!$C$33, 0.0272, 0)</f>
        <v>30.086300000000001</v>
      </c>
      <c r="C377" s="4">
        <f>29.6959 * CHOOSE(CONTROL!$C$14, $C$14, 100%, $E$14) + CHOOSE(CONTROL!$C$33, 0.0272, 0)</f>
        <v>29.723100000000002</v>
      </c>
      <c r="D377" s="4">
        <f>41.4095 * CHOOSE(CONTROL!$C$14, $C$14, 100%, $E$14) + CHOOSE(CONTROL!$C$33, 0.0021, 0)</f>
        <v>41.4116</v>
      </c>
      <c r="E377" s="4">
        <f>190.24592943168 * CHOOSE(CONTROL!$C$14, $C$14, 100%, $E$14) + CHOOSE(CONTROL!$C$33, 0.0021, 0)</f>
        <v>190.24802943168001</v>
      </c>
    </row>
    <row r="378" spans="1:5" ht="15">
      <c r="A378" s="11">
        <v>52627</v>
      </c>
      <c r="B378" s="4">
        <f>28.8379 * CHOOSE(CONTROL!$C$14, $C$14, 100%, $E$14) + CHOOSE(CONTROL!$C$33, 0.0272, 0)</f>
        <v>28.865100000000002</v>
      </c>
      <c r="C378" s="4">
        <f>28.4746 * CHOOSE(CONTROL!$C$14, $C$14, 100%, $E$14) + CHOOSE(CONTROL!$C$33, 0.0272, 0)</f>
        <v>28.501799999999999</v>
      </c>
      <c r="D378" s="4">
        <f>39.7316 * CHOOSE(CONTROL!$C$14, $C$14, 100%, $E$14) + CHOOSE(CONTROL!$C$33, 0.0021, 0)</f>
        <v>39.733699999999999</v>
      </c>
      <c r="E378" s="4">
        <f>182.321413423616 * CHOOSE(CONTROL!$C$14, $C$14, 100%, $E$14) + CHOOSE(CONTROL!$C$33, 0.0021, 0)</f>
        <v>182.32351342361602</v>
      </c>
    </row>
    <row r="379" spans="1:5" ht="15">
      <c r="A379" s="11">
        <v>52655</v>
      </c>
      <c r="B379" s="4">
        <f>29.5043 * CHOOSE(CONTROL!$C$14, $C$14, 100%, $E$14) + CHOOSE(CONTROL!$C$33, 0.0272, 0)</f>
        <v>29.531500000000001</v>
      </c>
      <c r="C379" s="4">
        <f>29.141 * CHOOSE(CONTROL!$C$14, $C$14, 100%, $E$14) + CHOOSE(CONTROL!$C$33, 0.0272, 0)</f>
        <v>29.168199999999999</v>
      </c>
      <c r="D379" s="4">
        <f>41.0685 * CHOOSE(CONTROL!$C$14, $C$14, 100%, $E$14) + CHOOSE(CONTROL!$C$33, 0.0021, 0)</f>
        <v>41.070599999999999</v>
      </c>
      <c r="E379" s="4">
        <f>186.650442290472 * CHOOSE(CONTROL!$C$14, $C$14, 100%, $E$14) + CHOOSE(CONTROL!$C$33, 0.0021, 0)</f>
        <v>186.65254229047201</v>
      </c>
    </row>
    <row r="380" spans="1:5" ht="15">
      <c r="A380" s="11">
        <v>52687</v>
      </c>
      <c r="B380" s="4">
        <f>31.2542 * CHOOSE(CONTROL!$C$14, $C$14, 100%, $E$14) + CHOOSE(CONTROL!$C$33, 0.0272, 0)</f>
        <v>31.281400000000001</v>
      </c>
      <c r="C380" s="4">
        <f>30.8909 * CHOOSE(CONTROL!$C$14, $C$14, 100%, $E$14) + CHOOSE(CONTROL!$C$33, 0.0272, 0)</f>
        <v>30.918099999999999</v>
      </c>
      <c r="D380" s="4">
        <f>43.1613 * CHOOSE(CONTROL!$C$14, $C$14, 100%, $E$14) + CHOOSE(CONTROL!$C$33, 0.0021, 0)</f>
        <v>43.163399999999996</v>
      </c>
      <c r="E380" s="4">
        <f>198.018702153401 * CHOOSE(CONTROL!$C$14, $C$14, 100%, $E$14) + CHOOSE(CONTROL!$C$33, 0.0021, 0)</f>
        <v>198.02080215340101</v>
      </c>
    </row>
    <row r="381" spans="1:5" ht="15">
      <c r="A381" s="11">
        <v>52717</v>
      </c>
      <c r="B381" s="4">
        <f>32.4975 * CHOOSE(CONTROL!$C$14, $C$14, 100%, $E$14) + CHOOSE(CONTROL!$C$33, 0.0272, 0)</f>
        <v>32.524700000000003</v>
      </c>
      <c r="C381" s="4">
        <f>32.1342 * CHOOSE(CONTROL!$C$14, $C$14, 100%, $E$14) + CHOOSE(CONTROL!$C$33, 0.0272, 0)</f>
        <v>32.1614</v>
      </c>
      <c r="D381" s="4">
        <f>44.3669 * CHOOSE(CONTROL!$C$14, $C$14, 100%, $E$14) + CHOOSE(CONTROL!$C$33, 0.0021, 0)</f>
        <v>44.369</v>
      </c>
      <c r="E381" s="4">
        <f>206.096002287995 * CHOOSE(CONTROL!$C$14, $C$14, 100%, $E$14) + CHOOSE(CONTROL!$C$33, 0.0021, 0)</f>
        <v>206.098102287995</v>
      </c>
    </row>
    <row r="382" spans="1:5" ht="15">
      <c r="A382" s="11">
        <v>52748</v>
      </c>
      <c r="B382" s="4">
        <f>33.2571 * CHOOSE(CONTROL!$C$14, $C$14, 100%, $E$14) + CHOOSE(CONTROL!$C$33, 0.0304, 0)</f>
        <v>33.287500000000001</v>
      </c>
      <c r="C382" s="4">
        <f>32.8938 * CHOOSE(CONTROL!$C$14, $C$14, 100%, $E$14) + CHOOSE(CONTROL!$C$33, 0.0304, 0)</f>
        <v>32.924199999999999</v>
      </c>
      <c r="D382" s="4">
        <f>43.8905 * CHOOSE(CONTROL!$C$14, $C$14, 100%, $E$14) + CHOOSE(CONTROL!$C$33, 0.0021, 0)</f>
        <v>43.892600000000002</v>
      </c>
      <c r="E382" s="4">
        <f>211.031039084366 * CHOOSE(CONTROL!$C$14, $C$14, 100%, $E$14) + CHOOSE(CONTROL!$C$33, 0.0021, 0)</f>
        <v>211.03313908436601</v>
      </c>
    </row>
    <row r="383" spans="1:5" ht="15">
      <c r="A383" s="11">
        <v>52778</v>
      </c>
      <c r="B383" s="4">
        <f>33.3599 * CHOOSE(CONTROL!$C$14, $C$14, 100%, $E$14) + CHOOSE(CONTROL!$C$33, 0.0304, 0)</f>
        <v>33.390300000000003</v>
      </c>
      <c r="C383" s="4">
        <f>32.9966 * CHOOSE(CONTROL!$C$14, $C$14, 100%, $E$14) + CHOOSE(CONTROL!$C$33, 0.0304, 0)</f>
        <v>33.027000000000001</v>
      </c>
      <c r="D383" s="4">
        <f>44.2785 * CHOOSE(CONTROL!$C$14, $C$14, 100%, $E$14) + CHOOSE(CONTROL!$C$33, 0.0021, 0)</f>
        <v>44.2806</v>
      </c>
      <c r="E383" s="4">
        <f>211.698770043738 * CHOOSE(CONTROL!$C$14, $C$14, 100%, $E$14) + CHOOSE(CONTROL!$C$33, 0.0021, 0)</f>
        <v>211.70087004373801</v>
      </c>
    </row>
    <row r="384" spans="1:5" ht="15">
      <c r="A384" s="11">
        <v>52809</v>
      </c>
      <c r="B384" s="4">
        <f>33.3495 * CHOOSE(CONTROL!$C$14, $C$14, 100%, $E$14) + CHOOSE(CONTROL!$C$33, 0.0304, 0)</f>
        <v>33.379899999999999</v>
      </c>
      <c r="C384" s="4">
        <f>32.9863 * CHOOSE(CONTROL!$C$14, $C$14, 100%, $E$14) + CHOOSE(CONTROL!$C$33, 0.0304, 0)</f>
        <v>33.0167</v>
      </c>
      <c r="D384" s="4">
        <f>44.9785 * CHOOSE(CONTROL!$C$14, $C$14, 100%, $E$14) + CHOOSE(CONTROL!$C$33, 0.0021, 0)</f>
        <v>44.980599999999995</v>
      </c>
      <c r="E384" s="4">
        <f>211.631435829348 * CHOOSE(CONTROL!$C$14, $C$14, 100%, $E$14) + CHOOSE(CONTROL!$C$33, 0.0021, 0)</f>
        <v>211.63353582934801</v>
      </c>
    </row>
    <row r="385" spans="1:5" ht="15">
      <c r="A385" s="11">
        <v>52840</v>
      </c>
      <c r="B385" s="4">
        <f>34.1295 * CHOOSE(CONTROL!$C$14, $C$14, 100%, $E$14) + CHOOSE(CONTROL!$C$33, 0.0304, 0)</f>
        <v>34.1599</v>
      </c>
      <c r="C385" s="4">
        <f>33.7662 * CHOOSE(CONTROL!$C$14, $C$14, 100%, $E$14) + CHOOSE(CONTROL!$C$33, 0.0304, 0)</f>
        <v>33.796599999999998</v>
      </c>
      <c r="D385" s="4">
        <f>44.5162 * CHOOSE(CONTROL!$C$14, $C$14, 100%, $E$14) + CHOOSE(CONTROL!$C$33, 0.0021, 0)</f>
        <v>44.518299999999996</v>
      </c>
      <c r="E385" s="4">
        <f>216.698335462233 * CHOOSE(CONTROL!$C$14, $C$14, 100%, $E$14) + CHOOSE(CONTROL!$C$33, 0.0021, 0)</f>
        <v>216.700435462233</v>
      </c>
    </row>
    <row r="386" spans="1:5" ht="15">
      <c r="A386" s="11">
        <v>52870</v>
      </c>
      <c r="B386" s="4">
        <f>32.8002 * CHOOSE(CONTROL!$C$14, $C$14, 100%, $E$14) + CHOOSE(CONTROL!$C$33, 0.0304, 0)</f>
        <v>32.830599999999997</v>
      </c>
      <c r="C386" s="4">
        <f>32.4369 * CHOOSE(CONTROL!$C$14, $C$14, 100%, $E$14) + CHOOSE(CONTROL!$C$33, 0.0304, 0)</f>
        <v>32.467300000000002</v>
      </c>
      <c r="D386" s="4">
        <f>44.2978 * CHOOSE(CONTROL!$C$14, $C$14, 100%, $E$14) + CHOOSE(CONTROL!$C$33, 0.0021, 0)</f>
        <v>44.299900000000001</v>
      </c>
      <c r="E386" s="4">
        <f>208.062722466651 * CHOOSE(CONTROL!$C$14, $C$14, 100%, $E$14) + CHOOSE(CONTROL!$C$33, 0.0021, 0)</f>
        <v>208.06482246665101</v>
      </c>
    </row>
    <row r="387" spans="1:5" ht="15">
      <c r="A387" s="11">
        <v>52901</v>
      </c>
      <c r="B387" s="4">
        <f>31.7361 * CHOOSE(CONTROL!$C$14, $C$14, 100%, $E$14) + CHOOSE(CONTROL!$C$33, 0.0272, 0)</f>
        <v>31.763300000000001</v>
      </c>
      <c r="C387" s="4">
        <f>31.3728 * CHOOSE(CONTROL!$C$14, $C$14, 100%, $E$14) + CHOOSE(CONTROL!$C$33, 0.0272, 0)</f>
        <v>31.400000000000002</v>
      </c>
      <c r="D387" s="4">
        <f>43.7129 * CHOOSE(CONTROL!$C$14, $C$14, 100%, $E$14) + CHOOSE(CONTROL!$C$33, 0.0021, 0)</f>
        <v>43.714999999999996</v>
      </c>
      <c r="E387" s="4">
        <f>201.14974312256 * CHOOSE(CONTROL!$C$14, $C$14, 100%, $E$14) + CHOOSE(CONTROL!$C$33, 0.0021, 0)</f>
        <v>201.15184312256002</v>
      </c>
    </row>
    <row r="388" spans="1:5" ht="15">
      <c r="A388" s="11">
        <v>52931</v>
      </c>
      <c r="B388" s="4">
        <f>31.0508 * CHOOSE(CONTROL!$C$14, $C$14, 100%, $E$14) + CHOOSE(CONTROL!$C$33, 0.0272, 0)</f>
        <v>31.077999999999999</v>
      </c>
      <c r="C388" s="4">
        <f>30.6875 * CHOOSE(CONTROL!$C$14, $C$14, 100%, $E$14) + CHOOSE(CONTROL!$C$33, 0.0272, 0)</f>
        <v>30.714700000000001</v>
      </c>
      <c r="D388" s="4">
        <f>43.5119 * CHOOSE(CONTROL!$C$14, $C$14, 100%, $E$14) + CHOOSE(CONTROL!$C$33, 0.0021, 0)</f>
        <v>43.513999999999996</v>
      </c>
      <c r="E388" s="4">
        <f>196.697268195988 * CHOOSE(CONTROL!$C$14, $C$14, 100%, $E$14) + CHOOSE(CONTROL!$C$33, 0.0021, 0)</f>
        <v>196.699368195988</v>
      </c>
    </row>
    <row r="389" spans="1:5" ht="15">
      <c r="A389" s="11">
        <v>52962</v>
      </c>
      <c r="B389" s="4">
        <f>30.5766 * CHOOSE(CONTROL!$C$14, $C$14, 100%, $E$14) + CHOOSE(CONTROL!$C$33, 0.0272, 0)</f>
        <v>30.6038</v>
      </c>
      <c r="C389" s="4">
        <f>30.2133 * CHOOSE(CONTROL!$C$14, $C$14, 100%, $E$14) + CHOOSE(CONTROL!$C$33, 0.0272, 0)</f>
        <v>30.240500000000001</v>
      </c>
      <c r="D389" s="4">
        <f>42.0315 * CHOOSE(CONTROL!$C$14, $C$14, 100%, $E$14) + CHOOSE(CONTROL!$C$33, 0.0021, 0)</f>
        <v>42.0336</v>
      </c>
      <c r="E389" s="4">
        <f>193.616727887622 * CHOOSE(CONTROL!$C$14, $C$14, 100%, $E$14) + CHOOSE(CONTROL!$C$33, 0.0021, 0)</f>
        <v>193.61882788762202</v>
      </c>
    </row>
    <row r="390" spans="1:5" ht="15">
      <c r="A390" s="11">
        <v>52993</v>
      </c>
      <c r="B390" s="4">
        <f>29.3337 * CHOOSE(CONTROL!$C$14, $C$14, 100%, $E$14) + CHOOSE(CONTROL!$C$33, 0.0272, 0)</f>
        <v>29.360900000000001</v>
      </c>
      <c r="C390" s="4">
        <f>28.9705 * CHOOSE(CONTROL!$C$14, $C$14, 100%, $E$14) + CHOOSE(CONTROL!$C$33, 0.0272, 0)</f>
        <v>28.997700000000002</v>
      </c>
      <c r="D390" s="4">
        <f>40.3272 * CHOOSE(CONTROL!$C$14, $C$14, 100%, $E$14) + CHOOSE(CONTROL!$C$33, 0.0021, 0)</f>
        <v>40.329299999999996</v>
      </c>
      <c r="E390" s="4">
        <f>185.551804426931 * CHOOSE(CONTROL!$C$14, $C$14, 100%, $E$14) + CHOOSE(CONTROL!$C$33, 0.0021, 0)</f>
        <v>185.55390442693101</v>
      </c>
    </row>
    <row r="391" spans="1:5" ht="15">
      <c r="A391" s="11">
        <v>53021</v>
      </c>
      <c r="B391" s="4">
        <f>30.0119 * CHOOSE(CONTROL!$C$14, $C$14, 100%, $E$14) + CHOOSE(CONTROL!$C$33, 0.0272, 0)</f>
        <v>30.039100000000001</v>
      </c>
      <c r="C391" s="4">
        <f>29.6486 * CHOOSE(CONTROL!$C$14, $C$14, 100%, $E$14) + CHOOSE(CONTROL!$C$33, 0.0272, 0)</f>
        <v>29.675799999999999</v>
      </c>
      <c r="D391" s="4">
        <f>41.6852 * CHOOSE(CONTROL!$C$14, $C$14, 100%, $E$14) + CHOOSE(CONTROL!$C$33, 0.0021, 0)</f>
        <v>41.6873</v>
      </c>
      <c r="E391" s="4">
        <f>189.957535506884 * CHOOSE(CONTROL!$C$14, $C$14, 100%, $E$14) + CHOOSE(CONTROL!$C$33, 0.0021, 0)</f>
        <v>189.95963550688401</v>
      </c>
    </row>
    <row r="392" spans="1:5" ht="15">
      <c r="A392" s="11">
        <v>53052</v>
      </c>
      <c r="B392" s="4">
        <f>31.7927 * CHOOSE(CONTROL!$C$14, $C$14, 100%, $E$14) + CHOOSE(CONTROL!$C$33, 0.0272, 0)</f>
        <v>31.819900000000001</v>
      </c>
      <c r="C392" s="4">
        <f>31.4294 * CHOOSE(CONTROL!$C$14, $C$14, 100%, $E$14) + CHOOSE(CONTROL!$C$33, 0.0272, 0)</f>
        <v>31.456600000000002</v>
      </c>
      <c r="D392" s="4">
        <f>43.8109 * CHOOSE(CONTROL!$C$14, $C$14, 100%, $E$14) + CHOOSE(CONTROL!$C$33, 0.0021, 0)</f>
        <v>43.812999999999995</v>
      </c>
      <c r="E392" s="4">
        <f>201.52721945761 * CHOOSE(CONTROL!$C$14, $C$14, 100%, $E$14) + CHOOSE(CONTROL!$C$33, 0.0021, 0)</f>
        <v>201.52931945761</v>
      </c>
    </row>
    <row r="393" spans="1:5" ht="15">
      <c r="A393" s="11">
        <v>53082</v>
      </c>
      <c r="B393" s="4">
        <f>33.058 * CHOOSE(CONTROL!$C$14, $C$14, 100%, $E$14) + CHOOSE(CONTROL!$C$33, 0.0272, 0)</f>
        <v>33.0852</v>
      </c>
      <c r="C393" s="4">
        <f>32.6947 * CHOOSE(CONTROL!$C$14, $C$14, 100%, $E$14) + CHOOSE(CONTROL!$C$33, 0.0272, 0)</f>
        <v>32.721899999999998</v>
      </c>
      <c r="D393" s="4">
        <f>45.0354 * CHOOSE(CONTROL!$C$14, $C$14, 100%, $E$14) + CHOOSE(CONTROL!$C$33, 0.0021, 0)</f>
        <v>45.037500000000001</v>
      </c>
      <c r="E393" s="4">
        <f>209.747634090912 * CHOOSE(CONTROL!$C$14, $C$14, 100%, $E$14) + CHOOSE(CONTROL!$C$33, 0.0021, 0)</f>
        <v>209.749734090912</v>
      </c>
    </row>
    <row r="394" spans="1:5" ht="15">
      <c r="A394" s="11">
        <v>53113</v>
      </c>
      <c r="B394" s="4">
        <f>33.8311 * CHOOSE(CONTROL!$C$14, $C$14, 100%, $E$14) + CHOOSE(CONTROL!$C$33, 0.0304, 0)</f>
        <v>33.861499999999999</v>
      </c>
      <c r="C394" s="4">
        <f>33.4678 * CHOOSE(CONTROL!$C$14, $C$14, 100%, $E$14) + CHOOSE(CONTROL!$C$33, 0.0304, 0)</f>
        <v>33.498199999999997</v>
      </c>
      <c r="D394" s="4">
        <f>44.5516 * CHOOSE(CONTROL!$C$14, $C$14, 100%, $E$14) + CHOOSE(CONTROL!$C$33, 0.0021, 0)</f>
        <v>44.553699999999999</v>
      </c>
      <c r="E394" s="4">
        <f>214.770110416018 * CHOOSE(CONTROL!$C$14, $C$14, 100%, $E$14) + CHOOSE(CONTROL!$C$33, 0.0021, 0)</f>
        <v>214.77221041601803</v>
      </c>
    </row>
    <row r="395" spans="1:5" ht="15">
      <c r="A395" s="11">
        <v>53143</v>
      </c>
      <c r="B395" s="4">
        <f>33.9357 * CHOOSE(CONTROL!$C$14, $C$14, 100%, $E$14) + CHOOSE(CONTROL!$C$33, 0.0304, 0)</f>
        <v>33.966099999999997</v>
      </c>
      <c r="C395" s="4">
        <f>33.5724 * CHOOSE(CONTROL!$C$14, $C$14, 100%, $E$14) + CHOOSE(CONTROL!$C$33, 0.0304, 0)</f>
        <v>33.602800000000002</v>
      </c>
      <c r="D395" s="4">
        <f>44.9456 * CHOOSE(CONTROL!$C$14, $C$14, 100%, $E$14) + CHOOSE(CONTROL!$C$33, 0.0021, 0)</f>
        <v>44.947699999999998</v>
      </c>
      <c r="E395" s="4">
        <f>215.44967230651 * CHOOSE(CONTROL!$C$14, $C$14, 100%, $E$14) + CHOOSE(CONTROL!$C$33, 0.0021, 0)</f>
        <v>215.45177230651001</v>
      </c>
    </row>
    <row r="396" spans="1:5" ht="15">
      <c r="A396" s="11">
        <v>53174</v>
      </c>
      <c r="B396" s="4">
        <f>33.9251 * CHOOSE(CONTROL!$C$14, $C$14, 100%, $E$14) + CHOOSE(CONTROL!$C$33, 0.0304, 0)</f>
        <v>33.955500000000001</v>
      </c>
      <c r="C396" s="4">
        <f>33.5618 * CHOOSE(CONTROL!$C$14, $C$14, 100%, $E$14) + CHOOSE(CONTROL!$C$33, 0.0304, 0)</f>
        <v>33.592199999999998</v>
      </c>
      <c r="D396" s="4">
        <f>45.6567 * CHOOSE(CONTROL!$C$14, $C$14, 100%, $E$14) + CHOOSE(CONTROL!$C$33, 0.0021, 0)</f>
        <v>45.658799999999999</v>
      </c>
      <c r="E396" s="4">
        <f>215.381145057048 * CHOOSE(CONTROL!$C$14, $C$14, 100%, $E$14) + CHOOSE(CONTROL!$C$33, 0.0021, 0)</f>
        <v>215.38324505704801</v>
      </c>
    </row>
    <row r="397" spans="1:5" ht="15">
      <c r="A397" s="11">
        <v>53205</v>
      </c>
      <c r="B397" s="4">
        <f>34.7188 * CHOOSE(CONTROL!$C$14, $C$14, 100%, $E$14) + CHOOSE(CONTROL!$C$33, 0.0304, 0)</f>
        <v>34.749200000000002</v>
      </c>
      <c r="C397" s="4">
        <f>34.3555 * CHOOSE(CONTROL!$C$14, $C$14, 100%, $E$14) + CHOOSE(CONTROL!$C$33, 0.0304, 0)</f>
        <v>34.385899999999999</v>
      </c>
      <c r="D397" s="4">
        <f>45.1871 * CHOOSE(CONTROL!$C$14, $C$14, 100%, $E$14) + CHOOSE(CONTROL!$C$33, 0.0021, 0)</f>
        <v>45.1892</v>
      </c>
      <c r="E397" s="4">
        <f>220.537820579015 * CHOOSE(CONTROL!$C$14, $C$14, 100%, $E$14) + CHOOSE(CONTROL!$C$33, 0.0021, 0)</f>
        <v>220.53992057901502</v>
      </c>
    </row>
    <row r="398" spans="1:5" ht="15">
      <c r="A398" s="11">
        <v>53235</v>
      </c>
      <c r="B398" s="4">
        <f>33.3661 * CHOOSE(CONTROL!$C$14, $C$14, 100%, $E$14) + CHOOSE(CONTROL!$C$33, 0.0304, 0)</f>
        <v>33.396500000000003</v>
      </c>
      <c r="C398" s="4">
        <f>33.0028 * CHOOSE(CONTROL!$C$14, $C$14, 100%, $E$14) + CHOOSE(CONTROL!$C$33, 0.0304, 0)</f>
        <v>33.033200000000001</v>
      </c>
      <c r="D398" s="4">
        <f>44.9652 * CHOOSE(CONTROL!$C$14, $C$14, 100%, $E$14) + CHOOSE(CONTROL!$C$33, 0.0021, 0)</f>
        <v>44.967300000000002</v>
      </c>
      <c r="E398" s="4">
        <f>211.749200835596 * CHOOSE(CONTROL!$C$14, $C$14, 100%, $E$14) + CHOOSE(CONTROL!$C$33, 0.0021, 0)</f>
        <v>211.75130083559603</v>
      </c>
    </row>
    <row r="399" spans="1:5" ht="15">
      <c r="A399" s="11">
        <v>53266</v>
      </c>
      <c r="B399" s="4">
        <f>32.2832 * CHOOSE(CONTROL!$C$14, $C$14, 100%, $E$14) + CHOOSE(CONTROL!$C$33, 0.0272, 0)</f>
        <v>32.310400000000001</v>
      </c>
      <c r="C399" s="4">
        <f>31.9199 * CHOOSE(CONTROL!$C$14, $C$14, 100%, $E$14) + CHOOSE(CONTROL!$C$33, 0.0272, 0)</f>
        <v>31.947099999999999</v>
      </c>
      <c r="D399" s="4">
        <f>44.3712 * CHOOSE(CONTROL!$C$14, $C$14, 100%, $E$14) + CHOOSE(CONTROL!$C$33, 0.0021, 0)</f>
        <v>44.3733</v>
      </c>
      <c r="E399" s="4">
        <f>204.713736557563 * CHOOSE(CONTROL!$C$14, $C$14, 100%, $E$14) + CHOOSE(CONTROL!$C$33, 0.0021, 0)</f>
        <v>204.71583655756302</v>
      </c>
    </row>
    <row r="400" spans="1:5" ht="15">
      <c r="A400" s="11">
        <v>53296</v>
      </c>
      <c r="B400" s="4">
        <f>31.5857 * CHOOSE(CONTROL!$C$14, $C$14, 100%, $E$14) + CHOOSE(CONTROL!$C$33, 0.0272, 0)</f>
        <v>31.6129</v>
      </c>
      <c r="C400" s="4">
        <f>31.2224 * CHOOSE(CONTROL!$C$14, $C$14, 100%, $E$14) + CHOOSE(CONTROL!$C$33, 0.0272, 0)</f>
        <v>31.249600000000001</v>
      </c>
      <c r="D400" s="4">
        <f>44.167 * CHOOSE(CONTROL!$C$14, $C$14, 100%, $E$14) + CHOOSE(CONTROL!$C$33, 0.0021, 0)</f>
        <v>44.1691</v>
      </c>
      <c r="E400" s="4">
        <f>200.182372186931 * CHOOSE(CONTROL!$C$14, $C$14, 100%, $E$14) + CHOOSE(CONTROL!$C$33, 0.0021, 0)</f>
        <v>200.184472186931</v>
      </c>
    </row>
    <row r="401" spans="1:5" ht="15">
      <c r="A401" s="11">
        <v>53327</v>
      </c>
      <c r="B401" s="4">
        <f>31.1031 * CHOOSE(CONTROL!$C$14, $C$14, 100%, $E$14) + CHOOSE(CONTROL!$C$33, 0.0272, 0)</f>
        <v>31.130300000000002</v>
      </c>
      <c r="C401" s="4">
        <f>30.7399 * CHOOSE(CONTROL!$C$14, $C$14, 100%, $E$14) + CHOOSE(CONTROL!$C$33, 0.0272, 0)</f>
        <v>30.767099999999999</v>
      </c>
      <c r="D401" s="4">
        <f>42.6634 * CHOOSE(CONTROL!$C$14, $C$14, 100%, $E$14) + CHOOSE(CONTROL!$C$33, 0.0021, 0)</f>
        <v>42.665500000000002</v>
      </c>
      <c r="E401" s="4">
        <f>197.047250524074 * CHOOSE(CONTROL!$C$14, $C$14, 100%, $E$14) + CHOOSE(CONTROL!$C$33, 0.0021, 0)</f>
        <v>197.04935052407401</v>
      </c>
    </row>
    <row r="402" spans="1:5" ht="15">
      <c r="A402" s="11">
        <v>53358</v>
      </c>
      <c r="B402" s="4">
        <f>29.8384 * CHOOSE(CONTROL!$C$14, $C$14, 100%, $E$14) + CHOOSE(CONTROL!$C$33, 0.0272, 0)</f>
        <v>29.865600000000001</v>
      </c>
      <c r="C402" s="4">
        <f>29.4751 * CHOOSE(CONTROL!$C$14, $C$14, 100%, $E$14) + CHOOSE(CONTROL!$C$33, 0.0272, 0)</f>
        <v>29.502300000000002</v>
      </c>
      <c r="D402" s="4">
        <f>40.9322 * CHOOSE(CONTROL!$C$14, $C$14, 100%, $E$14) + CHOOSE(CONTROL!$C$33, 0.0021, 0)</f>
        <v>40.9343</v>
      </c>
      <c r="E402" s="4">
        <f>188.839431855954 * CHOOSE(CONTROL!$C$14, $C$14, 100%, $E$14) + CHOOSE(CONTROL!$C$33, 0.0021, 0)</f>
        <v>188.841531855954</v>
      </c>
    </row>
    <row r="403" spans="1:5" ht="15">
      <c r="A403" s="11">
        <v>53386</v>
      </c>
      <c r="B403" s="4">
        <f>30.5285 * CHOOSE(CONTROL!$C$14, $C$14, 100%, $E$14) + CHOOSE(CONTROL!$C$33, 0.0272, 0)</f>
        <v>30.555700000000002</v>
      </c>
      <c r="C403" s="4">
        <f>30.1652 * CHOOSE(CONTROL!$C$14, $C$14, 100%, $E$14) + CHOOSE(CONTROL!$C$33, 0.0272, 0)</f>
        <v>30.192399999999999</v>
      </c>
      <c r="D403" s="4">
        <f>42.3115 * CHOOSE(CONTROL!$C$14, $C$14, 100%, $E$14) + CHOOSE(CONTROL!$C$33, 0.0021, 0)</f>
        <v>42.313600000000001</v>
      </c>
      <c r="E403" s="4">
        <f>193.323224167314 * CHOOSE(CONTROL!$C$14, $C$14, 100%, $E$14) + CHOOSE(CONTROL!$C$33, 0.0021, 0)</f>
        <v>193.32532416731402</v>
      </c>
    </row>
    <row r="404" spans="1:5" ht="15">
      <c r="A404" s="11">
        <v>53417</v>
      </c>
      <c r="B404" s="4">
        <f>32.3408 * CHOOSE(CONTROL!$C$14, $C$14, 100%, $E$14) + CHOOSE(CONTROL!$C$33, 0.0272, 0)</f>
        <v>32.368000000000002</v>
      </c>
      <c r="C404" s="4">
        <f>31.9775 * CHOOSE(CONTROL!$C$14, $C$14, 100%, $E$14) + CHOOSE(CONTROL!$C$33, 0.0272, 0)</f>
        <v>32.0047</v>
      </c>
      <c r="D404" s="4">
        <f>44.4707 * CHOOSE(CONTROL!$C$14, $C$14, 100%, $E$14) + CHOOSE(CONTROL!$C$33, 0.0021, 0)</f>
        <v>44.472799999999999</v>
      </c>
      <c r="E404" s="4">
        <f>205.097901060141 * CHOOSE(CONTROL!$C$14, $C$14, 100%, $E$14) + CHOOSE(CONTROL!$C$33, 0.0021, 0)</f>
        <v>205.10000106014101</v>
      </c>
    </row>
    <row r="405" spans="1:5" ht="15">
      <c r="A405" s="11">
        <v>53447</v>
      </c>
      <c r="B405" s="4">
        <f>33.6284 * CHOOSE(CONTROL!$C$14, $C$14, 100%, $E$14) + CHOOSE(CONTROL!$C$33, 0.0272, 0)</f>
        <v>33.6556</v>
      </c>
      <c r="C405" s="4">
        <f>33.2651 * CHOOSE(CONTROL!$C$14, $C$14, 100%, $E$14) + CHOOSE(CONTROL!$C$33, 0.0272, 0)</f>
        <v>33.292299999999997</v>
      </c>
      <c r="D405" s="4">
        <f>45.7145 * CHOOSE(CONTROL!$C$14, $C$14, 100%, $E$14) + CHOOSE(CONTROL!$C$33, 0.0021, 0)</f>
        <v>45.7166</v>
      </c>
      <c r="E405" s="4">
        <f>213.463965910696 * CHOOSE(CONTROL!$C$14, $C$14, 100%, $E$14) + CHOOSE(CONTROL!$C$33, 0.0021, 0)</f>
        <v>213.46606591069602</v>
      </c>
    </row>
    <row r="406" spans="1:5" ht="15">
      <c r="A406" s="11">
        <v>53478</v>
      </c>
      <c r="B406" s="4">
        <f>34.4151 * CHOOSE(CONTROL!$C$14, $C$14, 100%, $E$14) + CHOOSE(CONTROL!$C$33, 0.0304, 0)</f>
        <v>34.445500000000003</v>
      </c>
      <c r="C406" s="4">
        <f>34.0518 * CHOOSE(CONTROL!$C$14, $C$14, 100%, $E$14) + CHOOSE(CONTROL!$C$33, 0.0304, 0)</f>
        <v>34.0822</v>
      </c>
      <c r="D406" s="4">
        <f>45.223 * CHOOSE(CONTROL!$C$14, $C$14, 100%, $E$14) + CHOOSE(CONTROL!$C$33, 0.0021, 0)</f>
        <v>45.225099999999998</v>
      </c>
      <c r="E406" s="4">
        <f>218.575431027794 * CHOOSE(CONTROL!$C$14, $C$14, 100%, $E$14) + CHOOSE(CONTROL!$C$33, 0.0021, 0)</f>
        <v>218.57753102779401</v>
      </c>
    </row>
    <row r="407" spans="1:5" ht="15">
      <c r="A407" s="11">
        <v>53508</v>
      </c>
      <c r="B407" s="4">
        <f>34.5216 * CHOOSE(CONTROL!$C$14, $C$14, 100%, $E$14) + CHOOSE(CONTROL!$C$33, 0.0304, 0)</f>
        <v>34.552</v>
      </c>
      <c r="C407" s="4">
        <f>34.1583 * CHOOSE(CONTROL!$C$14, $C$14, 100%, $E$14) + CHOOSE(CONTROL!$C$33, 0.0304, 0)</f>
        <v>34.188699999999997</v>
      </c>
      <c r="D407" s="4">
        <f>45.6233 * CHOOSE(CONTROL!$C$14, $C$14, 100%, $E$14) + CHOOSE(CONTROL!$C$33, 0.0021, 0)</f>
        <v>45.625399999999999</v>
      </c>
      <c r="E407" s="4">
        <f>219.267033471153 * CHOOSE(CONTROL!$C$14, $C$14, 100%, $E$14) + CHOOSE(CONTROL!$C$33, 0.0021, 0)</f>
        <v>219.26913347115303</v>
      </c>
    </row>
    <row r="408" spans="1:5" ht="15">
      <c r="A408" s="11">
        <v>53539</v>
      </c>
      <c r="B408" s="4">
        <f>34.5108 * CHOOSE(CONTROL!$C$14, $C$14, 100%, $E$14) + CHOOSE(CONTROL!$C$33, 0.0304, 0)</f>
        <v>34.541200000000003</v>
      </c>
      <c r="C408" s="4">
        <f>34.1476 * CHOOSE(CONTROL!$C$14, $C$14, 100%, $E$14) + CHOOSE(CONTROL!$C$33, 0.0304, 0)</f>
        <v>34.177999999999997</v>
      </c>
      <c r="D408" s="4">
        <f>46.3455 * CHOOSE(CONTROL!$C$14, $C$14, 100%, $E$14) + CHOOSE(CONTROL!$C$33, 0.0021, 0)</f>
        <v>46.3476</v>
      </c>
      <c r="E408" s="4">
        <f>219.197292048293 * CHOOSE(CONTROL!$C$14, $C$14, 100%, $E$14) + CHOOSE(CONTROL!$C$33, 0.0021, 0)</f>
        <v>219.19939204829302</v>
      </c>
    </row>
    <row r="409" spans="1:5" ht="15">
      <c r="A409" s="11">
        <v>53570</v>
      </c>
      <c r="B409" s="4">
        <f>35.3186 * CHOOSE(CONTROL!$C$14, $C$14, 100%, $E$14) + CHOOSE(CONTROL!$C$33, 0.0304, 0)</f>
        <v>35.349000000000004</v>
      </c>
      <c r="C409" s="4">
        <f>34.9553 * CHOOSE(CONTROL!$C$14, $C$14, 100%, $E$14) + CHOOSE(CONTROL!$C$33, 0.0304, 0)</f>
        <v>34.985700000000001</v>
      </c>
      <c r="D409" s="4">
        <f>45.8686 * CHOOSE(CONTROL!$C$14, $C$14, 100%, $E$14) + CHOOSE(CONTROL!$C$33, 0.0021, 0)</f>
        <v>45.870699999999999</v>
      </c>
      <c r="E409" s="4">
        <f>224.445334118492 * CHOOSE(CONTROL!$C$14, $C$14, 100%, $E$14) + CHOOSE(CONTROL!$C$33, 0.0021, 0)</f>
        <v>224.44743411849203</v>
      </c>
    </row>
    <row r="410" spans="1:5" ht="15">
      <c r="A410" s="11">
        <v>53600</v>
      </c>
      <c r="B410" s="4">
        <f>33.9419 * CHOOSE(CONTROL!$C$14, $C$14, 100%, $E$14) + CHOOSE(CONTROL!$C$33, 0.0304, 0)</f>
        <v>33.972299999999997</v>
      </c>
      <c r="C410" s="4">
        <f>33.5787 * CHOOSE(CONTROL!$C$14, $C$14, 100%, $E$14) + CHOOSE(CONTROL!$C$33, 0.0304, 0)</f>
        <v>33.609099999999998</v>
      </c>
      <c r="D410" s="4">
        <f>45.6432 * CHOOSE(CONTROL!$C$14, $C$14, 100%, $E$14) + CHOOSE(CONTROL!$C$33, 0.0021, 0)</f>
        <v>45.645299999999999</v>
      </c>
      <c r="E410" s="4">
        <f>215.500996636725 * CHOOSE(CONTROL!$C$14, $C$14, 100%, $E$14) + CHOOSE(CONTROL!$C$33, 0.0021, 0)</f>
        <v>215.50309663672502</v>
      </c>
    </row>
    <row r="411" spans="1:5" ht="15">
      <c r="A411" s="11">
        <v>53631</v>
      </c>
      <c r="B411" s="4">
        <f>32.8399 * CHOOSE(CONTROL!$C$14, $C$14, 100%, $E$14) + CHOOSE(CONTROL!$C$33, 0.0272, 0)</f>
        <v>32.867100000000001</v>
      </c>
      <c r="C411" s="4">
        <f>32.4766 * CHOOSE(CONTROL!$C$14, $C$14, 100%, $E$14) + CHOOSE(CONTROL!$C$33, 0.0272, 0)</f>
        <v>32.503799999999998</v>
      </c>
      <c r="D411" s="4">
        <f>45.0398 * CHOOSE(CONTROL!$C$14, $C$14, 100%, $E$14) + CHOOSE(CONTROL!$C$33, 0.0021, 0)</f>
        <v>45.041899999999998</v>
      </c>
      <c r="E411" s="4">
        <f>208.340877223121 * CHOOSE(CONTROL!$C$14, $C$14, 100%, $E$14) + CHOOSE(CONTROL!$C$33, 0.0021, 0)</f>
        <v>208.34297722312101</v>
      </c>
    </row>
    <row r="412" spans="1:5" ht="15">
      <c r="A412" s="11">
        <v>53661</v>
      </c>
      <c r="B412" s="4">
        <f>32.1301 * CHOOSE(CONTROL!$C$14, $C$14, 100%, $E$14) + CHOOSE(CONTROL!$C$33, 0.0272, 0)</f>
        <v>32.157299999999999</v>
      </c>
      <c r="C412" s="4">
        <f>31.7668 * CHOOSE(CONTROL!$C$14, $C$14, 100%, $E$14) + CHOOSE(CONTROL!$C$33, 0.0272, 0)</f>
        <v>31.794</v>
      </c>
      <c r="D412" s="4">
        <f>44.8324 * CHOOSE(CONTROL!$C$14, $C$14, 100%, $E$14) + CHOOSE(CONTROL!$C$33, 0.0021, 0)</f>
        <v>44.834499999999998</v>
      </c>
      <c r="E412" s="4">
        <f>203.729225636518 * CHOOSE(CONTROL!$C$14, $C$14, 100%, $E$14) + CHOOSE(CONTROL!$C$33, 0.0021, 0)</f>
        <v>203.73132563651802</v>
      </c>
    </row>
    <row r="413" spans="1:5" ht="15">
      <c r="A413" s="11">
        <v>53692</v>
      </c>
      <c r="B413" s="4">
        <f>31.639 * CHOOSE(CONTROL!$C$14, $C$14, 100%, $E$14) + CHOOSE(CONTROL!$C$33, 0.0272, 0)</f>
        <v>31.6662</v>
      </c>
      <c r="C413" s="4">
        <f>31.2757 * CHOOSE(CONTROL!$C$14, $C$14, 100%, $E$14) + CHOOSE(CONTROL!$C$33, 0.0272, 0)</f>
        <v>31.302900000000001</v>
      </c>
      <c r="D413" s="4">
        <f>43.3051 * CHOOSE(CONTROL!$C$14, $C$14, 100%, $E$14) + CHOOSE(CONTROL!$C$33, 0.0021, 0)</f>
        <v>43.307200000000002</v>
      </c>
      <c r="E413" s="4">
        <f>200.538555540683 * CHOOSE(CONTROL!$C$14, $C$14, 100%, $E$14) + CHOOSE(CONTROL!$C$33, 0.0021, 0)</f>
        <v>200.54065554068302</v>
      </c>
    </row>
    <row r="414" spans="1:5" ht="15">
      <c r="A414" s="11">
        <v>53723</v>
      </c>
      <c r="B414" s="4">
        <f>30.3519 * CHOOSE(CONTROL!$C$14, $C$14, 100%, $E$14) + CHOOSE(CONTROL!$C$33, 0.0272, 0)</f>
        <v>30.379100000000001</v>
      </c>
      <c r="C414" s="4">
        <f>29.9886 * CHOOSE(CONTROL!$C$14, $C$14, 100%, $E$14) + CHOOSE(CONTROL!$C$33, 0.0272, 0)</f>
        <v>30.015800000000002</v>
      </c>
      <c r="D414" s="4">
        <f>41.5468 * CHOOSE(CONTROL!$C$14, $C$14, 100%, $E$14) + CHOOSE(CONTROL!$C$33, 0.0021, 0)</f>
        <v>41.548899999999996</v>
      </c>
      <c r="E414" s="4">
        <f>192.185309832017 * CHOOSE(CONTROL!$C$14, $C$14, 100%, $E$14) + CHOOSE(CONTROL!$C$33, 0.0021, 0)</f>
        <v>192.18740983201701</v>
      </c>
    </row>
    <row r="415" spans="1:5" ht="15">
      <c r="A415" s="11">
        <v>53751</v>
      </c>
      <c r="B415" s="4">
        <f>31.0542 * CHOOSE(CONTROL!$C$14, $C$14, 100%, $E$14) + CHOOSE(CONTROL!$C$33, 0.0272, 0)</f>
        <v>31.081400000000002</v>
      </c>
      <c r="C415" s="4">
        <f>30.6909 * CHOOSE(CONTROL!$C$14, $C$14, 100%, $E$14) + CHOOSE(CONTROL!$C$33, 0.0272, 0)</f>
        <v>30.7181</v>
      </c>
      <c r="D415" s="4">
        <f>42.9478 * CHOOSE(CONTROL!$C$14, $C$14, 100%, $E$14) + CHOOSE(CONTROL!$C$33, 0.0021, 0)</f>
        <v>42.9499</v>
      </c>
      <c r="E415" s="4">
        <f>196.748546472331 * CHOOSE(CONTROL!$C$14, $C$14, 100%, $E$14) + CHOOSE(CONTROL!$C$33, 0.0021, 0)</f>
        <v>196.750646472331</v>
      </c>
    </row>
    <row r="416" spans="1:5" ht="15">
      <c r="A416" s="11">
        <v>53782</v>
      </c>
      <c r="B416" s="4">
        <f>32.8985 * CHOOSE(CONTROL!$C$14, $C$14, 100%, $E$14) + CHOOSE(CONTROL!$C$33, 0.0272, 0)</f>
        <v>32.925699999999999</v>
      </c>
      <c r="C416" s="4">
        <f>32.5352 * CHOOSE(CONTROL!$C$14, $C$14, 100%, $E$14) + CHOOSE(CONTROL!$C$33, 0.0272, 0)</f>
        <v>32.562400000000004</v>
      </c>
      <c r="D416" s="4">
        <f>45.1409 * CHOOSE(CONTROL!$C$14, $C$14, 100%, $E$14) + CHOOSE(CONTROL!$C$33, 0.0021, 0)</f>
        <v>45.143000000000001</v>
      </c>
      <c r="E416" s="4">
        <f>208.731848394918 * CHOOSE(CONTROL!$C$14, $C$14, 100%, $E$14) + CHOOSE(CONTROL!$C$33, 0.0021, 0)</f>
        <v>208.733948394918</v>
      </c>
    </row>
    <row r="417" spans="1:5" ht="15">
      <c r="A417" s="11">
        <v>53812</v>
      </c>
      <c r="B417" s="4">
        <f>34.2089 * CHOOSE(CONTROL!$C$14, $C$14, 100%, $E$14) + CHOOSE(CONTROL!$C$33, 0.0272, 0)</f>
        <v>34.2361</v>
      </c>
      <c r="C417" s="4">
        <f>33.8456 * CHOOSE(CONTROL!$C$14, $C$14, 100%, $E$14) + CHOOSE(CONTROL!$C$33, 0.0272, 0)</f>
        <v>33.872799999999998</v>
      </c>
      <c r="D417" s="4">
        <f>46.4042 * CHOOSE(CONTROL!$C$14, $C$14, 100%, $E$14) + CHOOSE(CONTROL!$C$33, 0.0021, 0)</f>
        <v>46.406300000000002</v>
      </c>
      <c r="E417" s="4">
        <f>217.246144109412 * CHOOSE(CONTROL!$C$14, $C$14, 100%, $E$14) + CHOOSE(CONTROL!$C$33, 0.0021, 0)</f>
        <v>217.24824410941201</v>
      </c>
    </row>
    <row r="418" spans="1:5" ht="15">
      <c r="A418" s="11">
        <v>53843</v>
      </c>
      <c r="B418" s="4">
        <f>35.0095 * CHOOSE(CONTROL!$C$14, $C$14, 100%, $E$14) + CHOOSE(CONTROL!$C$33, 0.0304, 0)</f>
        <v>35.039900000000003</v>
      </c>
      <c r="C418" s="4">
        <f>34.6462 * CHOOSE(CONTROL!$C$14, $C$14, 100%, $E$14) + CHOOSE(CONTROL!$C$33, 0.0304, 0)</f>
        <v>34.676600000000001</v>
      </c>
      <c r="D418" s="4">
        <f>45.905 * CHOOSE(CONTROL!$C$14, $C$14, 100%, $E$14) + CHOOSE(CONTROL!$C$33, 0.0021, 0)</f>
        <v>45.9071</v>
      </c>
      <c r="E418" s="4">
        <f>222.448174731779 * CHOOSE(CONTROL!$C$14, $C$14, 100%, $E$14) + CHOOSE(CONTROL!$C$33, 0.0021, 0)</f>
        <v>222.45027473177902</v>
      </c>
    </row>
    <row r="419" spans="1:5" ht="15">
      <c r="A419" s="11">
        <v>53873</v>
      </c>
      <c r="B419" s="4">
        <f>35.1178 * CHOOSE(CONTROL!$C$14, $C$14, 100%, $E$14) + CHOOSE(CONTROL!$C$33, 0.0304, 0)</f>
        <v>35.148200000000003</v>
      </c>
      <c r="C419" s="4">
        <f>34.7546 * CHOOSE(CONTROL!$C$14, $C$14, 100%, $E$14) + CHOOSE(CONTROL!$C$33, 0.0304, 0)</f>
        <v>34.785000000000004</v>
      </c>
      <c r="D419" s="4">
        <f>46.3116 * CHOOSE(CONTROL!$C$14, $C$14, 100%, $E$14) + CHOOSE(CONTROL!$C$33, 0.0021, 0)</f>
        <v>46.313699999999997</v>
      </c>
      <c r="E419" s="4">
        <f>223.152031063856 * CHOOSE(CONTROL!$C$14, $C$14, 100%, $E$14) + CHOOSE(CONTROL!$C$33, 0.0021, 0)</f>
        <v>223.154131063856</v>
      </c>
    </row>
    <row r="420" spans="1:5" ht="15">
      <c r="A420" s="11">
        <v>53904</v>
      </c>
      <c r="B420" s="4">
        <f>35.1069 * CHOOSE(CONTROL!$C$14, $C$14, 100%, $E$14) + CHOOSE(CONTROL!$C$33, 0.0304, 0)</f>
        <v>35.137300000000003</v>
      </c>
      <c r="C420" s="4">
        <f>34.7436 * CHOOSE(CONTROL!$C$14, $C$14, 100%, $E$14) + CHOOSE(CONTROL!$C$33, 0.0304, 0)</f>
        <v>34.774000000000001</v>
      </c>
      <c r="D420" s="4">
        <f>47.0452 * CHOOSE(CONTROL!$C$14, $C$14, 100%, $E$14) + CHOOSE(CONTROL!$C$33, 0.0021, 0)</f>
        <v>47.0473</v>
      </c>
      <c r="E420" s="4">
        <f>223.081053954739 * CHOOSE(CONTROL!$C$14, $C$14, 100%, $E$14) + CHOOSE(CONTROL!$C$33, 0.0021, 0)</f>
        <v>223.083153954739</v>
      </c>
    </row>
    <row r="421" spans="1:5" ht="15">
      <c r="A421" s="11">
        <v>53935</v>
      </c>
      <c r="B421" s="4">
        <f>35.9289 * CHOOSE(CONTROL!$C$14, $C$14, 100%, $E$14) + CHOOSE(CONTROL!$C$33, 0.0304, 0)</f>
        <v>35.959299999999999</v>
      </c>
      <c r="C421" s="4">
        <f>35.5657 * CHOOSE(CONTROL!$C$14, $C$14, 100%, $E$14) + CHOOSE(CONTROL!$C$33, 0.0304, 0)</f>
        <v>35.5961</v>
      </c>
      <c r="D421" s="4">
        <f>46.5607 * CHOOSE(CONTROL!$C$14, $C$14, 100%, $E$14) + CHOOSE(CONTROL!$C$33, 0.0021, 0)</f>
        <v>46.562799999999996</v>
      </c>
      <c r="E421" s="4">
        <f>228.422081415793 * CHOOSE(CONTROL!$C$14, $C$14, 100%, $E$14) + CHOOSE(CONTROL!$C$33, 0.0021, 0)</f>
        <v>228.42418141579302</v>
      </c>
    </row>
    <row r="422" spans="1:5" ht="15">
      <c r="A422" s="11">
        <v>53965</v>
      </c>
      <c r="B422" s="4">
        <f>34.528 * CHOOSE(CONTROL!$C$14, $C$14, 100%, $E$14) + CHOOSE(CONTROL!$C$33, 0.0304, 0)</f>
        <v>34.558399999999999</v>
      </c>
      <c r="C422" s="4">
        <f>34.1647 * CHOOSE(CONTROL!$C$14, $C$14, 100%, $E$14) + CHOOSE(CONTROL!$C$33, 0.0304, 0)</f>
        <v>34.195100000000004</v>
      </c>
      <c r="D422" s="4">
        <f>46.3318 * CHOOSE(CONTROL!$C$14, $C$14, 100%, $E$14) + CHOOSE(CONTROL!$C$33, 0.0021, 0)</f>
        <v>46.3339</v>
      </c>
      <c r="E422" s="4">
        <f>219.319267171538 * CHOOSE(CONTROL!$C$14, $C$14, 100%, $E$14) + CHOOSE(CONTROL!$C$33, 0.0021, 0)</f>
        <v>219.32136717153801</v>
      </c>
    </row>
    <row r="423" spans="1:5" ht="15">
      <c r="A423" s="11">
        <v>53996</v>
      </c>
      <c r="B423" s="4">
        <f>33.4065 * CHOOSE(CONTROL!$C$14, $C$14, 100%, $E$14) + CHOOSE(CONTROL!$C$33, 0.0272, 0)</f>
        <v>33.433700000000002</v>
      </c>
      <c r="C423" s="4">
        <f>33.0432 * CHOOSE(CONTROL!$C$14, $C$14, 100%, $E$14) + CHOOSE(CONTROL!$C$33, 0.0272, 0)</f>
        <v>33.070399999999999</v>
      </c>
      <c r="D423" s="4">
        <f>45.7189 * CHOOSE(CONTROL!$C$14, $C$14, 100%, $E$14) + CHOOSE(CONTROL!$C$33, 0.0021, 0)</f>
        <v>45.720999999999997</v>
      </c>
      <c r="E423" s="4">
        <f>212.032283968859 * CHOOSE(CONTROL!$C$14, $C$14, 100%, $E$14) + CHOOSE(CONTROL!$C$33, 0.0021, 0)</f>
        <v>212.034383968859</v>
      </c>
    </row>
    <row r="424" spans="1:5" ht="15">
      <c r="A424" s="11">
        <v>54026</v>
      </c>
      <c r="B424" s="4">
        <f>32.6841 * CHOOSE(CONTROL!$C$14, $C$14, 100%, $E$14) + CHOOSE(CONTROL!$C$33, 0.0272, 0)</f>
        <v>32.711300000000001</v>
      </c>
      <c r="C424" s="4">
        <f>32.3208 * CHOOSE(CONTROL!$C$14, $C$14, 100%, $E$14) + CHOOSE(CONTROL!$C$33, 0.0272, 0)</f>
        <v>32.347999999999999</v>
      </c>
      <c r="D424" s="4">
        <f>45.5082 * CHOOSE(CONTROL!$C$14, $C$14, 100%, $E$14) + CHOOSE(CONTROL!$C$33, 0.0021, 0)</f>
        <v>45.510300000000001</v>
      </c>
      <c r="E424" s="4">
        <f>207.338922628497 * CHOOSE(CONTROL!$C$14, $C$14, 100%, $E$14) + CHOOSE(CONTROL!$C$33, 0.0021, 0)</f>
        <v>207.341022628497</v>
      </c>
    </row>
    <row r="425" spans="1:5" ht="15">
      <c r="A425" s="11">
        <v>54057</v>
      </c>
      <c r="B425" s="4">
        <f>32.1844 * CHOOSE(CONTROL!$C$14, $C$14, 100%, $E$14) + CHOOSE(CONTROL!$C$33, 0.0272, 0)</f>
        <v>32.211599999999997</v>
      </c>
      <c r="C425" s="4">
        <f>31.8211 * CHOOSE(CONTROL!$C$14, $C$14, 100%, $E$14) + CHOOSE(CONTROL!$C$33, 0.0272, 0)</f>
        <v>31.848300000000002</v>
      </c>
      <c r="D425" s="4">
        <f>43.957 * CHOOSE(CONTROL!$C$14, $C$14, 100%, $E$14) + CHOOSE(CONTROL!$C$33, 0.0021, 0)</f>
        <v>43.959099999999999</v>
      </c>
      <c r="E425" s="4">
        <f>204.091719886394 * CHOOSE(CONTROL!$C$14, $C$14, 100%, $E$14) + CHOOSE(CONTROL!$C$33, 0.0021, 0)</f>
        <v>204.09381988639402</v>
      </c>
    </row>
    <row r="426" spans="1:5" ht="15">
      <c r="A426" s="11">
        <v>54088</v>
      </c>
      <c r="B426" s="4">
        <f>30.8745 * CHOOSE(CONTROL!$C$14, $C$14, 100%, $E$14) + CHOOSE(CONTROL!$C$33, 0.0272, 0)</f>
        <v>30.901700000000002</v>
      </c>
      <c r="C426" s="4">
        <f>30.5112 * CHOOSE(CONTROL!$C$14, $C$14, 100%, $E$14) + CHOOSE(CONTROL!$C$33, 0.0272, 0)</f>
        <v>30.538399999999999</v>
      </c>
      <c r="D426" s="4">
        <f>42.171 * CHOOSE(CONTROL!$C$14, $C$14, 100%, $E$14) + CHOOSE(CONTROL!$C$33, 0.0021, 0)</f>
        <v>42.173099999999998</v>
      </c>
      <c r="E426" s="4">
        <f>195.590470444766 * CHOOSE(CONTROL!$C$14, $C$14, 100%, $E$14) + CHOOSE(CONTROL!$C$33, 0.0021, 0)</f>
        <v>195.59257044476601</v>
      </c>
    </row>
    <row r="427" spans="1:5" ht="15">
      <c r="A427" s="11">
        <v>54116</v>
      </c>
      <c r="B427" s="4">
        <f>31.5892 * CHOOSE(CONTROL!$C$14, $C$14, 100%, $E$14) + CHOOSE(CONTROL!$C$33, 0.0272, 0)</f>
        <v>31.616400000000002</v>
      </c>
      <c r="C427" s="4">
        <f>31.2259 * CHOOSE(CONTROL!$C$14, $C$14, 100%, $E$14) + CHOOSE(CONTROL!$C$33, 0.0272, 0)</f>
        <v>31.2531</v>
      </c>
      <c r="D427" s="4">
        <f>43.594 * CHOOSE(CONTROL!$C$14, $C$14, 100%, $E$14) + CHOOSE(CONTROL!$C$33, 0.0021, 0)</f>
        <v>43.5961</v>
      </c>
      <c r="E427" s="4">
        <f>200.234559017456 * CHOOSE(CONTROL!$C$14, $C$14, 100%, $E$14) + CHOOSE(CONTROL!$C$33, 0.0021, 0)</f>
        <v>200.23665901745602</v>
      </c>
    </row>
    <row r="428" spans="1:5" ht="15">
      <c r="A428" s="11">
        <v>54148</v>
      </c>
      <c r="B428" s="4">
        <f>33.4661 * CHOOSE(CONTROL!$C$14, $C$14, 100%, $E$14) + CHOOSE(CONTROL!$C$33, 0.0272, 0)</f>
        <v>33.493299999999998</v>
      </c>
      <c r="C428" s="4">
        <f>33.1028 * CHOOSE(CONTROL!$C$14, $C$14, 100%, $E$14) + CHOOSE(CONTROL!$C$33, 0.0272, 0)</f>
        <v>33.130000000000003</v>
      </c>
      <c r="D428" s="4">
        <f>45.8216 * CHOOSE(CONTROL!$C$14, $C$14, 100%, $E$14) + CHOOSE(CONTROL!$C$33, 0.0021, 0)</f>
        <v>45.823699999999995</v>
      </c>
      <c r="E428" s="4">
        <f>212.430182411196 * CHOOSE(CONTROL!$C$14, $C$14, 100%, $E$14) + CHOOSE(CONTROL!$C$33, 0.0021, 0)</f>
        <v>212.43228241119601</v>
      </c>
    </row>
    <row r="429" spans="1:5" ht="15">
      <c r="A429" s="11">
        <v>54178</v>
      </c>
      <c r="B429" s="4">
        <f>34.7996 * CHOOSE(CONTROL!$C$14, $C$14, 100%, $E$14) + CHOOSE(CONTROL!$C$33, 0.0272, 0)</f>
        <v>34.826799999999999</v>
      </c>
      <c r="C429" s="4">
        <f>34.4364 * CHOOSE(CONTROL!$C$14, $C$14, 100%, $E$14) + CHOOSE(CONTROL!$C$33, 0.0272, 0)</f>
        <v>34.4636</v>
      </c>
      <c r="D429" s="4">
        <f>47.1048 * CHOOSE(CONTROL!$C$14, $C$14, 100%, $E$14) + CHOOSE(CONTROL!$C$33, 0.0021, 0)</f>
        <v>47.106899999999996</v>
      </c>
      <c r="E429" s="4">
        <f>221.095335360499 * CHOOSE(CONTROL!$C$14, $C$14, 100%, $E$14) + CHOOSE(CONTROL!$C$33, 0.0021, 0)</f>
        <v>221.09743536049902</v>
      </c>
    </row>
    <row r="430" spans="1:5" ht="15">
      <c r="A430" s="11">
        <v>54209</v>
      </c>
      <c r="B430" s="4">
        <f>35.6144 * CHOOSE(CONTROL!$C$14, $C$14, 100%, $E$14) + CHOOSE(CONTROL!$C$33, 0.0304, 0)</f>
        <v>35.644800000000004</v>
      </c>
      <c r="C430" s="4">
        <f>35.2511 * CHOOSE(CONTROL!$C$14, $C$14, 100%, $E$14) + CHOOSE(CONTROL!$C$33, 0.0304, 0)</f>
        <v>35.281500000000001</v>
      </c>
      <c r="D430" s="4">
        <f>46.5978 * CHOOSE(CONTROL!$C$14, $C$14, 100%, $E$14) + CHOOSE(CONTROL!$C$33, 0.0021, 0)</f>
        <v>46.599899999999998</v>
      </c>
      <c r="E430" s="4">
        <f>226.389536137792 * CHOOSE(CONTROL!$C$14, $C$14, 100%, $E$14) + CHOOSE(CONTROL!$C$33, 0.0021, 0)</f>
        <v>226.39163613779201</v>
      </c>
    </row>
    <row r="431" spans="1:5" ht="15">
      <c r="A431" s="11">
        <v>54239</v>
      </c>
      <c r="B431" s="4">
        <f>35.7247 * CHOOSE(CONTROL!$C$14, $C$14, 100%, $E$14) + CHOOSE(CONTROL!$C$33, 0.0304, 0)</f>
        <v>35.755099999999999</v>
      </c>
      <c r="C431" s="4">
        <f>35.3614 * CHOOSE(CONTROL!$C$14, $C$14, 100%, $E$14) + CHOOSE(CONTROL!$C$33, 0.0304, 0)</f>
        <v>35.391800000000003</v>
      </c>
      <c r="D431" s="4">
        <f>47.0107 * CHOOSE(CONTROL!$C$14, $C$14, 100%, $E$14) + CHOOSE(CONTROL!$C$33, 0.0021, 0)</f>
        <v>47.012799999999999</v>
      </c>
      <c r="E431" s="4">
        <f>227.105863474344 * CHOOSE(CONTROL!$C$14, $C$14, 100%, $E$14) + CHOOSE(CONTROL!$C$33, 0.0021, 0)</f>
        <v>227.10796347434402</v>
      </c>
    </row>
    <row r="432" spans="1:5" ht="15">
      <c r="A432" s="11">
        <v>54270</v>
      </c>
      <c r="B432" s="4">
        <f>35.7135 * CHOOSE(CONTROL!$C$14, $C$14, 100%, $E$14) + CHOOSE(CONTROL!$C$33, 0.0304, 0)</f>
        <v>35.743900000000004</v>
      </c>
      <c r="C432" s="4">
        <f>35.3503 * CHOOSE(CONTROL!$C$14, $C$14, 100%, $E$14) + CHOOSE(CONTROL!$C$33, 0.0304, 0)</f>
        <v>35.380699999999997</v>
      </c>
      <c r="D432" s="4">
        <f>47.7558 * CHOOSE(CONTROL!$C$14, $C$14, 100%, $E$14) + CHOOSE(CONTROL!$C$33, 0.0021, 0)</f>
        <v>47.757899999999999</v>
      </c>
      <c r="E432" s="4">
        <f>227.033628784944 * CHOOSE(CONTROL!$C$14, $C$14, 100%, $E$14) + CHOOSE(CONTROL!$C$33, 0.0021, 0)</f>
        <v>227.03572878494401</v>
      </c>
    </row>
    <row r="433" spans="1:5" ht="15">
      <c r="A433" s="11">
        <v>54301</v>
      </c>
      <c r="B433" s="4">
        <f>36.5501 * CHOOSE(CONTROL!$C$14, $C$14, 100%, $E$14) + CHOOSE(CONTROL!$C$33, 0.0304, 0)</f>
        <v>36.580500000000001</v>
      </c>
      <c r="C433" s="4">
        <f>36.1868 * CHOOSE(CONTROL!$C$14, $C$14, 100%, $E$14) + CHOOSE(CONTROL!$C$33, 0.0304, 0)</f>
        <v>36.217199999999998</v>
      </c>
      <c r="D433" s="4">
        <f>47.2638 * CHOOSE(CONTROL!$C$14, $C$14, 100%, $E$14) + CHOOSE(CONTROL!$C$33, 0.0021, 0)</f>
        <v>47.265900000000002</v>
      </c>
      <c r="E433" s="4">
        <f>232.469289162312 * CHOOSE(CONTROL!$C$14, $C$14, 100%, $E$14) + CHOOSE(CONTROL!$C$33, 0.0021, 0)</f>
        <v>232.47138916231202</v>
      </c>
    </row>
    <row r="434" spans="1:5" ht="15">
      <c r="A434" s="11">
        <v>54331</v>
      </c>
      <c r="B434" s="4">
        <f>35.1243 * CHOOSE(CONTROL!$C$14, $C$14, 100%, $E$14) + CHOOSE(CONTROL!$C$33, 0.0304, 0)</f>
        <v>35.154699999999998</v>
      </c>
      <c r="C434" s="4">
        <f>34.7611 * CHOOSE(CONTROL!$C$14, $C$14, 100%, $E$14) + CHOOSE(CONTROL!$C$33, 0.0304, 0)</f>
        <v>34.791499999999999</v>
      </c>
      <c r="D434" s="4">
        <f>47.0313 * CHOOSE(CONTROL!$C$14, $C$14, 100%, $E$14) + CHOOSE(CONTROL!$C$33, 0.0021, 0)</f>
        <v>47.0334</v>
      </c>
      <c r="E434" s="4">
        <f>223.205190246731 * CHOOSE(CONTROL!$C$14, $C$14, 100%, $E$14) + CHOOSE(CONTROL!$C$33, 0.0021, 0)</f>
        <v>223.20729024673102</v>
      </c>
    </row>
    <row r="435" spans="1:5" ht="15">
      <c r="A435" s="11">
        <v>54362</v>
      </c>
      <c r="B435" s="4">
        <f>33.983 * CHOOSE(CONTROL!$C$14, $C$14, 100%, $E$14) + CHOOSE(CONTROL!$C$33, 0.0272, 0)</f>
        <v>34.010199999999998</v>
      </c>
      <c r="C435" s="4">
        <f>33.6197 * CHOOSE(CONTROL!$C$14, $C$14, 100%, $E$14) + CHOOSE(CONTROL!$C$33, 0.0272, 0)</f>
        <v>33.646900000000002</v>
      </c>
      <c r="D435" s="4">
        <f>46.4087 * CHOOSE(CONTROL!$C$14, $C$14, 100%, $E$14) + CHOOSE(CONTROL!$C$33, 0.0021, 0)</f>
        <v>46.410800000000002</v>
      </c>
      <c r="E435" s="4">
        <f>215.789095468307 * CHOOSE(CONTROL!$C$14, $C$14, 100%, $E$14) + CHOOSE(CONTROL!$C$33, 0.0021, 0)</f>
        <v>215.79119546830702</v>
      </c>
    </row>
    <row r="436" spans="1:5" ht="15">
      <c r="A436" s="11">
        <v>54392</v>
      </c>
      <c r="B436" s="4">
        <f>33.2479 * CHOOSE(CONTROL!$C$14, $C$14, 100%, $E$14) + CHOOSE(CONTROL!$C$33, 0.0272, 0)</f>
        <v>33.275100000000002</v>
      </c>
      <c r="C436" s="4">
        <f>32.8846 * CHOOSE(CONTROL!$C$14, $C$14, 100%, $E$14) + CHOOSE(CONTROL!$C$33, 0.0272, 0)</f>
        <v>32.911799999999999</v>
      </c>
      <c r="D436" s="4">
        <f>46.1947 * CHOOSE(CONTROL!$C$14, $C$14, 100%, $E$14) + CHOOSE(CONTROL!$C$33, 0.0021, 0)</f>
        <v>46.196799999999996</v>
      </c>
      <c r="E436" s="4">
        <f>211.012576631716 * CHOOSE(CONTROL!$C$14, $C$14, 100%, $E$14) + CHOOSE(CONTROL!$C$33, 0.0021, 0)</f>
        <v>211.01467663171601</v>
      </c>
    </row>
    <row r="437" spans="1:5" ht="15">
      <c r="A437" s="11">
        <v>54423</v>
      </c>
      <c r="B437" s="4">
        <f>32.7393 * CHOOSE(CONTROL!$C$14, $C$14, 100%, $E$14) + CHOOSE(CONTROL!$C$33, 0.0272, 0)</f>
        <v>32.766500000000001</v>
      </c>
      <c r="C437" s="4">
        <f>32.376 * CHOOSE(CONTROL!$C$14, $C$14, 100%, $E$14) + CHOOSE(CONTROL!$C$33, 0.0272, 0)</f>
        <v>32.403199999999998</v>
      </c>
      <c r="D437" s="4">
        <f>44.6191 * CHOOSE(CONTROL!$C$14, $C$14, 100%, $E$14) + CHOOSE(CONTROL!$C$33, 0.0021, 0)</f>
        <v>44.621200000000002</v>
      </c>
      <c r="E437" s="4">
        <f>207.707839591656 * CHOOSE(CONTROL!$C$14, $C$14, 100%, $E$14) + CHOOSE(CONTROL!$C$33, 0.0021, 0)</f>
        <v>207.70993959165602</v>
      </c>
    </row>
    <row r="438" spans="1:5" ht="15">
      <c r="A438" s="11">
        <v>54454</v>
      </c>
      <c r="B438" s="4">
        <f>31.4063 * CHOOSE(CONTROL!$C$14, $C$14, 100%, $E$14) + CHOOSE(CONTROL!$C$33, 0.0272, 0)</f>
        <v>31.433500000000002</v>
      </c>
      <c r="C438" s="4">
        <f>31.043 * CHOOSE(CONTROL!$C$14, $C$14, 100%, $E$14) + CHOOSE(CONTROL!$C$33, 0.0272, 0)</f>
        <v>31.0702</v>
      </c>
      <c r="D438" s="4">
        <f>42.805 * CHOOSE(CONTROL!$C$14, $C$14, 100%, $E$14) + CHOOSE(CONTROL!$C$33, 0.0021, 0)</f>
        <v>42.807099999999998</v>
      </c>
      <c r="E438" s="4">
        <f>199.055964070526 * CHOOSE(CONTROL!$C$14, $C$14, 100%, $E$14) + CHOOSE(CONTROL!$C$33, 0.0021, 0)</f>
        <v>199.058064070526</v>
      </c>
    </row>
    <row r="439" spans="1:5" ht="15">
      <c r="A439" s="11">
        <v>54482</v>
      </c>
      <c r="B439" s="4">
        <f>32.1337 * CHOOSE(CONTROL!$C$14, $C$14, 100%, $E$14) + CHOOSE(CONTROL!$C$33, 0.0272, 0)</f>
        <v>32.160899999999998</v>
      </c>
      <c r="C439" s="4">
        <f>31.7704 * CHOOSE(CONTROL!$C$14, $C$14, 100%, $E$14) + CHOOSE(CONTROL!$C$33, 0.0272, 0)</f>
        <v>31.797599999999999</v>
      </c>
      <c r="D439" s="4">
        <f>44.2504 * CHOOSE(CONTROL!$C$14, $C$14, 100%, $E$14) + CHOOSE(CONTROL!$C$33, 0.0021, 0)</f>
        <v>44.252499999999998</v>
      </c>
      <c r="E439" s="4">
        <f>203.782337119088 * CHOOSE(CONTROL!$C$14, $C$14, 100%, $E$14) + CHOOSE(CONTROL!$C$33, 0.0021, 0)</f>
        <v>203.78443711908801</v>
      </c>
    </row>
    <row r="440" spans="1:5" ht="15">
      <c r="A440" s="11">
        <v>54513</v>
      </c>
      <c r="B440" s="4">
        <f>34.0437 * CHOOSE(CONTROL!$C$14, $C$14, 100%, $E$14) + CHOOSE(CONTROL!$C$33, 0.0272, 0)</f>
        <v>34.070900000000002</v>
      </c>
      <c r="C440" s="4">
        <f>33.6804 * CHOOSE(CONTROL!$C$14, $C$14, 100%, $E$14) + CHOOSE(CONTROL!$C$33, 0.0272, 0)</f>
        <v>33.707599999999999</v>
      </c>
      <c r="D440" s="4">
        <f>46.5131 * CHOOSE(CONTROL!$C$14, $C$14, 100%, $E$14) + CHOOSE(CONTROL!$C$33, 0.0021, 0)</f>
        <v>46.5152</v>
      </c>
      <c r="E440" s="4">
        <f>216.194043919331 * CHOOSE(CONTROL!$C$14, $C$14, 100%, $E$14) + CHOOSE(CONTROL!$C$33, 0.0021, 0)</f>
        <v>216.19614391933101</v>
      </c>
    </row>
    <row r="441" spans="1:5" ht="15">
      <c r="A441" s="11">
        <v>54543</v>
      </c>
      <c r="B441" s="4">
        <f>35.4008 * CHOOSE(CONTROL!$C$14, $C$14, 100%, $E$14) + CHOOSE(CONTROL!$C$33, 0.0272, 0)</f>
        <v>35.427999999999997</v>
      </c>
      <c r="C441" s="4">
        <f>35.0375 * CHOOSE(CONTROL!$C$14, $C$14, 100%, $E$14) + CHOOSE(CONTROL!$C$33, 0.0272, 0)</f>
        <v>35.064700000000002</v>
      </c>
      <c r="D441" s="4">
        <f>47.8164 * CHOOSE(CONTROL!$C$14, $C$14, 100%, $E$14) + CHOOSE(CONTROL!$C$33, 0.0021, 0)</f>
        <v>47.8185</v>
      </c>
      <c r="E441" s="4">
        <f>225.012727008644 * CHOOSE(CONTROL!$C$14, $C$14, 100%, $E$14) + CHOOSE(CONTROL!$C$33, 0.0021, 0)</f>
        <v>225.014827008644</v>
      </c>
    </row>
    <row r="442" spans="1:5" ht="15">
      <c r="A442" s="11">
        <v>54574</v>
      </c>
      <c r="B442" s="4">
        <f>36.23 * CHOOSE(CONTROL!$C$14, $C$14, 100%, $E$14) + CHOOSE(CONTROL!$C$33, 0.0304, 0)</f>
        <v>36.260399999999997</v>
      </c>
      <c r="C442" s="4">
        <f>35.8667 * CHOOSE(CONTROL!$C$14, $C$14, 100%, $E$14) + CHOOSE(CONTROL!$C$33, 0.0304, 0)</f>
        <v>35.897100000000002</v>
      </c>
      <c r="D442" s="4">
        <f>47.3014 * CHOOSE(CONTROL!$C$14, $C$14, 100%, $E$14) + CHOOSE(CONTROL!$C$33, 0.0021, 0)</f>
        <v>47.3035</v>
      </c>
      <c r="E442" s="4">
        <f>230.400731021879 * CHOOSE(CONTROL!$C$14, $C$14, 100%, $E$14) + CHOOSE(CONTROL!$C$33, 0.0021, 0)</f>
        <v>230.40283102187902</v>
      </c>
    </row>
    <row r="443" spans="1:5" ht="15">
      <c r="A443" s="11">
        <v>54604</v>
      </c>
      <c r="B443" s="4">
        <f>36.3422 * CHOOSE(CONTROL!$C$14, $C$14, 100%, $E$14) + CHOOSE(CONTROL!$C$33, 0.0304, 0)</f>
        <v>36.372599999999998</v>
      </c>
      <c r="C443" s="4">
        <f>35.9789 * CHOOSE(CONTROL!$C$14, $C$14, 100%, $E$14) + CHOOSE(CONTROL!$C$33, 0.0304, 0)</f>
        <v>36.009300000000003</v>
      </c>
      <c r="D443" s="4">
        <f>47.7208 * CHOOSE(CONTROL!$C$14, $C$14, 100%, $E$14) + CHOOSE(CONTROL!$C$33, 0.0021, 0)</f>
        <v>47.722899999999996</v>
      </c>
      <c r="E443" s="4">
        <f>231.129750325546 * CHOOSE(CONTROL!$C$14, $C$14, 100%, $E$14) + CHOOSE(CONTROL!$C$33, 0.0021, 0)</f>
        <v>231.13185032554603</v>
      </c>
    </row>
    <row r="444" spans="1:5" ht="15">
      <c r="A444" s="11">
        <v>54635</v>
      </c>
      <c r="B444" s="4">
        <f>36.3309 * CHOOSE(CONTROL!$C$14, $C$14, 100%, $E$14) + CHOOSE(CONTROL!$C$33, 0.0304, 0)</f>
        <v>36.3613</v>
      </c>
      <c r="C444" s="4">
        <f>35.9676 * CHOOSE(CONTROL!$C$14, $C$14, 100%, $E$14) + CHOOSE(CONTROL!$C$33, 0.0304, 0)</f>
        <v>35.997999999999998</v>
      </c>
      <c r="D444" s="4">
        <f>48.4777 * CHOOSE(CONTROL!$C$14, $C$14, 100%, $E$14) + CHOOSE(CONTROL!$C$33, 0.0021, 0)</f>
        <v>48.479799999999997</v>
      </c>
      <c r="E444" s="4">
        <f>231.056235773915 * CHOOSE(CONTROL!$C$14, $C$14, 100%, $E$14) + CHOOSE(CONTROL!$C$33, 0.0021, 0)</f>
        <v>231.05833577391502</v>
      </c>
    </row>
    <row r="445" spans="1:5" ht="15">
      <c r="A445" s="11">
        <v>54666</v>
      </c>
      <c r="B445" s="4">
        <f>37.1822 * CHOOSE(CONTROL!$C$14, $C$14, 100%, $E$14) + CHOOSE(CONTROL!$C$33, 0.0304, 0)</f>
        <v>37.212600000000002</v>
      </c>
      <c r="C445" s="4">
        <f>36.8189 * CHOOSE(CONTROL!$C$14, $C$14, 100%, $E$14) + CHOOSE(CONTROL!$C$33, 0.0304, 0)</f>
        <v>36.849299999999999</v>
      </c>
      <c r="D445" s="4">
        <f>47.9779 * CHOOSE(CONTROL!$C$14, $C$14, 100%, $E$14) + CHOOSE(CONTROL!$C$33, 0.0021, 0)</f>
        <v>47.98</v>
      </c>
      <c r="E445" s="4">
        <f>236.588205784093 * CHOOSE(CONTROL!$C$14, $C$14, 100%, $E$14) + CHOOSE(CONTROL!$C$33, 0.0021, 0)</f>
        <v>236.590305784093</v>
      </c>
    </row>
    <row r="446" spans="1:5" ht="15">
      <c r="A446" s="11">
        <v>54696</v>
      </c>
      <c r="B446" s="4">
        <f>35.7313 * CHOOSE(CONTROL!$C$14, $C$14, 100%, $E$14) + CHOOSE(CONTROL!$C$33, 0.0304, 0)</f>
        <v>35.761699999999998</v>
      </c>
      <c r="C446" s="4">
        <f>35.368 * CHOOSE(CONTROL!$C$14, $C$14, 100%, $E$14) + CHOOSE(CONTROL!$C$33, 0.0304, 0)</f>
        <v>35.398400000000002</v>
      </c>
      <c r="D446" s="4">
        <f>47.7417 * CHOOSE(CONTROL!$C$14, $C$14, 100%, $E$14) + CHOOSE(CONTROL!$C$33, 0.0021, 0)</f>
        <v>47.7438</v>
      </c>
      <c r="E446" s="4">
        <f>227.159964537511 * CHOOSE(CONTROL!$C$14, $C$14, 100%, $E$14) + CHOOSE(CONTROL!$C$33, 0.0021, 0)</f>
        <v>227.16206453751101</v>
      </c>
    </row>
    <row r="447" spans="1:5" ht="15">
      <c r="A447" s="11">
        <v>54727</v>
      </c>
      <c r="B447" s="4">
        <f>34.5698 * CHOOSE(CONTROL!$C$14, $C$14, 100%, $E$14) + CHOOSE(CONTROL!$C$33, 0.0272, 0)</f>
        <v>34.597000000000001</v>
      </c>
      <c r="C447" s="4">
        <f>34.2065 * CHOOSE(CONTROL!$C$14, $C$14, 100%, $E$14) + CHOOSE(CONTROL!$C$33, 0.0272, 0)</f>
        <v>34.233699999999999</v>
      </c>
      <c r="D447" s="4">
        <f>47.1094 * CHOOSE(CONTROL!$C$14, $C$14, 100%, $E$14) + CHOOSE(CONTROL!$C$33, 0.0021, 0)</f>
        <v>47.111499999999999</v>
      </c>
      <c r="E447" s="4">
        <f>219.612470570138 * CHOOSE(CONTROL!$C$14, $C$14, 100%, $E$14) + CHOOSE(CONTROL!$C$33, 0.0021, 0)</f>
        <v>219.614570570138</v>
      </c>
    </row>
    <row r="448" spans="1:5" ht="15">
      <c r="A448" s="11">
        <v>54757</v>
      </c>
      <c r="B448" s="4">
        <f>33.8217 * CHOOSE(CONTROL!$C$14, $C$14, 100%, $E$14) + CHOOSE(CONTROL!$C$33, 0.0272, 0)</f>
        <v>33.8489</v>
      </c>
      <c r="C448" s="4">
        <f>33.4584 * CHOOSE(CONTROL!$C$14, $C$14, 100%, $E$14) + CHOOSE(CONTROL!$C$33, 0.0272, 0)</f>
        <v>33.485599999999998</v>
      </c>
      <c r="D448" s="4">
        <f>46.892 * CHOOSE(CONTROL!$C$14, $C$14, 100%, $E$14) + CHOOSE(CONTROL!$C$33, 0.0021, 0)</f>
        <v>46.894100000000002</v>
      </c>
      <c r="E448" s="4">
        <f>214.751320843587 * CHOOSE(CONTROL!$C$14, $C$14, 100%, $E$14) + CHOOSE(CONTROL!$C$33, 0.0021, 0)</f>
        <v>214.75342084358701</v>
      </c>
    </row>
    <row r="449" spans="1:5" ht="15">
      <c r="A449" s="11">
        <v>54788</v>
      </c>
      <c r="B449" s="4">
        <f>33.3041 * CHOOSE(CONTROL!$C$14, $C$14, 100%, $E$14) + CHOOSE(CONTROL!$C$33, 0.0272, 0)</f>
        <v>33.331299999999999</v>
      </c>
      <c r="C449" s="4">
        <f>32.9408 * CHOOSE(CONTROL!$C$14, $C$14, 100%, $E$14) + CHOOSE(CONTROL!$C$33, 0.0272, 0)</f>
        <v>32.968000000000004</v>
      </c>
      <c r="D449" s="4">
        <f>45.2916 * CHOOSE(CONTROL!$C$14, $C$14, 100%, $E$14) + CHOOSE(CONTROL!$C$33, 0.0021, 0)</f>
        <v>45.293700000000001</v>
      </c>
      <c r="E449" s="4">
        <f>211.388030106502 * CHOOSE(CONTROL!$C$14, $C$14, 100%, $E$14) + CHOOSE(CONTROL!$C$33, 0.0021, 0)</f>
        <v>211.390130106502</v>
      </c>
    </row>
    <row r="450" spans="1:5" ht="15">
      <c r="A450" s="11">
        <v>54819</v>
      </c>
      <c r="B450" s="4">
        <f>31.9476 * CHOOSE(CONTROL!$C$14, $C$14, 100%, $E$14) + CHOOSE(CONTROL!$C$33, 0.0272, 0)</f>
        <v>31.974800000000002</v>
      </c>
      <c r="C450" s="4">
        <f>31.5843 * CHOOSE(CONTROL!$C$14, $C$14, 100%, $E$14) + CHOOSE(CONTROL!$C$33, 0.0272, 0)</f>
        <v>31.611499999999999</v>
      </c>
      <c r="D450" s="4">
        <f>43.449 * CHOOSE(CONTROL!$C$14, $C$14, 100%, $E$14) + CHOOSE(CONTROL!$C$33, 0.0021, 0)</f>
        <v>43.451099999999997</v>
      </c>
      <c r="E450" s="4">
        <f>202.582859696305 * CHOOSE(CONTROL!$C$14, $C$14, 100%, $E$14) + CHOOSE(CONTROL!$C$33, 0.0021, 0)</f>
        <v>202.58495969630502</v>
      </c>
    </row>
    <row r="451" spans="1:5" ht="15">
      <c r="A451" s="11">
        <v>54847</v>
      </c>
      <c r="B451" s="4">
        <f>32.6877 * CHOOSE(CONTROL!$C$14, $C$14, 100%, $E$14) + CHOOSE(CONTROL!$C$33, 0.0272, 0)</f>
        <v>32.7149</v>
      </c>
      <c r="C451" s="4">
        <f>32.3245 * CHOOSE(CONTROL!$C$14, $C$14, 100%, $E$14) + CHOOSE(CONTROL!$C$33, 0.0272, 0)</f>
        <v>32.351700000000001</v>
      </c>
      <c r="D451" s="4">
        <f>44.9171 * CHOOSE(CONTROL!$C$14, $C$14, 100%, $E$14) + CHOOSE(CONTROL!$C$33, 0.0021, 0)</f>
        <v>44.919199999999996</v>
      </c>
      <c r="E451" s="4">
        <f>207.3929751462 * CHOOSE(CONTROL!$C$14, $C$14, 100%, $E$14) + CHOOSE(CONTROL!$C$33, 0.0021, 0)</f>
        <v>207.39507514620001</v>
      </c>
    </row>
    <row r="452" spans="1:5" ht="15">
      <c r="A452" s="11">
        <v>54878</v>
      </c>
      <c r="B452" s="4">
        <f>34.6315 * CHOOSE(CONTROL!$C$14, $C$14, 100%, $E$14) + CHOOSE(CONTROL!$C$33, 0.0272, 0)</f>
        <v>34.658700000000003</v>
      </c>
      <c r="C452" s="4">
        <f>34.2683 * CHOOSE(CONTROL!$C$14, $C$14, 100%, $E$14) + CHOOSE(CONTROL!$C$33, 0.0272, 0)</f>
        <v>34.295500000000004</v>
      </c>
      <c r="D452" s="4">
        <f>47.2154 * CHOOSE(CONTROL!$C$14, $C$14, 100%, $E$14) + CHOOSE(CONTROL!$C$33, 0.0021, 0)</f>
        <v>47.217500000000001</v>
      </c>
      <c r="E452" s="4">
        <f>220.024593942683 * CHOOSE(CONTROL!$C$14, $C$14, 100%, $E$14) + CHOOSE(CONTROL!$C$33, 0.0021, 0)</f>
        <v>220.02669394268301</v>
      </c>
    </row>
    <row r="453" spans="1:5" ht="15">
      <c r="A453" s="11">
        <v>54908</v>
      </c>
      <c r="B453" s="4">
        <f>36.0126 * CHOOSE(CONTROL!$C$14, $C$14, 100%, $E$14) + CHOOSE(CONTROL!$C$33, 0.0272, 0)</f>
        <v>36.0398</v>
      </c>
      <c r="C453" s="4">
        <f>35.6494 * CHOOSE(CONTROL!$C$14, $C$14, 100%, $E$14) + CHOOSE(CONTROL!$C$33, 0.0272, 0)</f>
        <v>35.676600000000001</v>
      </c>
      <c r="D453" s="4">
        <f>48.5392 * CHOOSE(CONTROL!$C$14, $C$14, 100%, $E$14) + CHOOSE(CONTROL!$C$33, 0.0021, 0)</f>
        <v>48.5413</v>
      </c>
      <c r="E453" s="4">
        <f>228.999527436038 * CHOOSE(CONTROL!$C$14, $C$14, 100%, $E$14) + CHOOSE(CONTROL!$C$33, 0.0021, 0)</f>
        <v>229.00162743603801</v>
      </c>
    </row>
    <row r="454" spans="1:5" ht="15">
      <c r="A454" s="11">
        <v>54939</v>
      </c>
      <c r="B454" s="4">
        <f>36.8564 * CHOOSE(CONTROL!$C$14, $C$14, 100%, $E$14) + CHOOSE(CONTROL!$C$33, 0.0304, 0)</f>
        <v>36.886800000000001</v>
      </c>
      <c r="C454" s="4">
        <f>36.4932 * CHOOSE(CONTROL!$C$14, $C$14, 100%, $E$14) + CHOOSE(CONTROL!$C$33, 0.0304, 0)</f>
        <v>36.523600000000002</v>
      </c>
      <c r="D454" s="4">
        <f>48.0161 * CHOOSE(CONTROL!$C$14, $C$14, 100%, $E$14) + CHOOSE(CONTROL!$C$33, 0.0021, 0)</f>
        <v>48.0182</v>
      </c>
      <c r="E454" s="4">
        <f>234.482996701342 * CHOOSE(CONTROL!$C$14, $C$14, 100%, $E$14) + CHOOSE(CONTROL!$C$33, 0.0021, 0)</f>
        <v>234.485096701342</v>
      </c>
    </row>
    <row r="455" spans="1:5" ht="15">
      <c r="A455" s="11">
        <v>54969</v>
      </c>
      <c r="B455" s="4">
        <f>36.9706 * CHOOSE(CONTROL!$C$14, $C$14, 100%, $E$14) + CHOOSE(CONTROL!$C$33, 0.0304, 0)</f>
        <v>37.000999999999998</v>
      </c>
      <c r="C455" s="4">
        <f>36.6073 * CHOOSE(CONTROL!$C$14, $C$14, 100%, $E$14) + CHOOSE(CONTROL!$C$33, 0.0304, 0)</f>
        <v>36.637700000000002</v>
      </c>
      <c r="D455" s="4">
        <f>48.4421 * CHOOSE(CONTROL!$C$14, $C$14, 100%, $E$14) + CHOOSE(CONTROL!$C$33, 0.0021, 0)</f>
        <v>48.444200000000002</v>
      </c>
      <c r="E455" s="4">
        <f>235.224932849803 * CHOOSE(CONTROL!$C$14, $C$14, 100%, $E$14) + CHOOSE(CONTROL!$C$33, 0.0021, 0)</f>
        <v>235.22703284980301</v>
      </c>
    </row>
    <row r="456" spans="1:5" ht="15">
      <c r="A456" s="11">
        <v>55000</v>
      </c>
      <c r="B456" s="4">
        <f>36.9591 * CHOOSE(CONTROL!$C$14, $C$14, 100%, $E$14) + CHOOSE(CONTROL!$C$33, 0.0304, 0)</f>
        <v>36.9895</v>
      </c>
      <c r="C456" s="4">
        <f>36.5958 * CHOOSE(CONTROL!$C$14, $C$14, 100%, $E$14) + CHOOSE(CONTROL!$C$33, 0.0304, 0)</f>
        <v>36.626199999999997</v>
      </c>
      <c r="D456" s="4">
        <f>49.2109 * CHOOSE(CONTROL!$C$14, $C$14, 100%, $E$14) + CHOOSE(CONTROL!$C$33, 0.0021, 0)</f>
        <v>49.213000000000001</v>
      </c>
      <c r="E456" s="4">
        <f>235.150115759201 * CHOOSE(CONTROL!$C$14, $C$14, 100%, $E$14) + CHOOSE(CONTROL!$C$33, 0.0021, 0)</f>
        <v>235.152215759201</v>
      </c>
    </row>
    <row r="457" spans="1:5" ht="15">
      <c r="A457" s="11">
        <v>55031</v>
      </c>
      <c r="B457" s="4">
        <f>37.8255 * CHOOSE(CONTROL!$C$14, $C$14, 100%, $E$14) + CHOOSE(CONTROL!$C$33, 0.0304, 0)</f>
        <v>37.855899999999998</v>
      </c>
      <c r="C457" s="4">
        <f>37.4622 * CHOOSE(CONTROL!$C$14, $C$14, 100%, $E$14) + CHOOSE(CONTROL!$C$33, 0.0304, 0)</f>
        <v>37.492600000000003</v>
      </c>
      <c r="D457" s="4">
        <f>48.7032 * CHOOSE(CONTROL!$C$14, $C$14, 100%, $E$14) + CHOOSE(CONTROL!$C$33, 0.0021, 0)</f>
        <v>48.705300000000001</v>
      </c>
      <c r="E457" s="4">
        <f>240.780101826933 * CHOOSE(CONTROL!$C$14, $C$14, 100%, $E$14) + CHOOSE(CONTROL!$C$33, 0.0021, 0)</f>
        <v>240.782201826933</v>
      </c>
    </row>
    <row r="458" spans="1:5" ht="15">
      <c r="A458" s="11">
        <v>55061</v>
      </c>
      <c r="B458" s="4">
        <f>36.3489 * CHOOSE(CONTROL!$C$14, $C$14, 100%, $E$14) + CHOOSE(CONTROL!$C$33, 0.0304, 0)</f>
        <v>36.379300000000001</v>
      </c>
      <c r="C458" s="4">
        <f>35.9856 * CHOOSE(CONTROL!$C$14, $C$14, 100%, $E$14) + CHOOSE(CONTROL!$C$33, 0.0304, 0)</f>
        <v>36.015999999999998</v>
      </c>
      <c r="D458" s="4">
        <f>48.4633 * CHOOSE(CONTROL!$C$14, $C$14, 100%, $E$14) + CHOOSE(CONTROL!$C$33, 0.0021, 0)</f>
        <v>48.465399999999995</v>
      </c>
      <c r="E458" s="4">
        <f>231.184809957344 * CHOOSE(CONTROL!$C$14, $C$14, 100%, $E$14) + CHOOSE(CONTROL!$C$33, 0.0021, 0)</f>
        <v>231.186909957344</v>
      </c>
    </row>
    <row r="459" spans="1:5" ht="15">
      <c r="A459" s="11">
        <v>55092</v>
      </c>
      <c r="B459" s="4">
        <f>35.1669 * CHOOSE(CONTROL!$C$14, $C$14, 100%, $E$14) + CHOOSE(CONTROL!$C$33, 0.0272, 0)</f>
        <v>35.194099999999999</v>
      </c>
      <c r="C459" s="4">
        <f>34.8036 * CHOOSE(CONTROL!$C$14, $C$14, 100%, $E$14) + CHOOSE(CONTROL!$C$33, 0.0272, 0)</f>
        <v>34.830800000000004</v>
      </c>
      <c r="D459" s="4">
        <f>47.8211 * CHOOSE(CONTROL!$C$14, $C$14, 100%, $E$14) + CHOOSE(CONTROL!$C$33, 0.0021, 0)</f>
        <v>47.8232</v>
      </c>
      <c r="E459" s="4">
        <f>223.503588655633 * CHOOSE(CONTROL!$C$14, $C$14, 100%, $E$14) + CHOOSE(CONTROL!$C$33, 0.0021, 0)</f>
        <v>223.50568865563301</v>
      </c>
    </row>
    <row r="460" spans="1:5" ht="15">
      <c r="A460" s="11">
        <v>55122</v>
      </c>
      <c r="B460" s="4">
        <f>34.4056 * CHOOSE(CONTROL!$C$14, $C$14, 100%, $E$14) + CHOOSE(CONTROL!$C$33, 0.0272, 0)</f>
        <v>34.4328</v>
      </c>
      <c r="C460" s="4">
        <f>34.0423 * CHOOSE(CONTROL!$C$14, $C$14, 100%, $E$14) + CHOOSE(CONTROL!$C$33, 0.0272, 0)</f>
        <v>34.069499999999998</v>
      </c>
      <c r="D460" s="4">
        <f>47.6003 * CHOOSE(CONTROL!$C$14, $C$14, 100%, $E$14) + CHOOSE(CONTROL!$C$33, 0.0021, 0)</f>
        <v>47.602399999999996</v>
      </c>
      <c r="E460" s="4">
        <f>218.556308539636 * CHOOSE(CONTROL!$C$14, $C$14, 100%, $E$14) + CHOOSE(CONTROL!$C$33, 0.0021, 0)</f>
        <v>218.55840853963602</v>
      </c>
    </row>
    <row r="461" spans="1:5" ht="15">
      <c r="A461" s="11">
        <v>55153</v>
      </c>
      <c r="B461" s="4">
        <f>33.8789 * CHOOSE(CONTROL!$C$14, $C$14, 100%, $E$14) + CHOOSE(CONTROL!$C$33, 0.0272, 0)</f>
        <v>33.906100000000002</v>
      </c>
      <c r="C461" s="4">
        <f>33.5156 * CHOOSE(CONTROL!$C$14, $C$14, 100%, $E$14) + CHOOSE(CONTROL!$C$33, 0.0272, 0)</f>
        <v>33.5428</v>
      </c>
      <c r="D461" s="4">
        <f>45.9747 * CHOOSE(CONTROL!$C$14, $C$14, 100%, $E$14) + CHOOSE(CONTROL!$C$33, 0.0021, 0)</f>
        <v>45.976799999999997</v>
      </c>
      <c r="E461" s="4">
        <f>215.133426644637 * CHOOSE(CONTROL!$C$14, $C$14, 100%, $E$14) + CHOOSE(CONTROL!$C$33, 0.0021, 0)</f>
        <v>215.13552664463703</v>
      </c>
    </row>
    <row r="462" spans="1:5" ht="15">
      <c r="A462" s="11">
        <v>55184</v>
      </c>
      <c r="B462" s="4">
        <f>32.4983 * CHOOSE(CONTROL!$C$14, $C$14, 100%, $E$14) + CHOOSE(CONTROL!$C$33, 0.0272, 0)</f>
        <v>32.525500000000001</v>
      </c>
      <c r="C462" s="4">
        <f>32.1351 * CHOOSE(CONTROL!$C$14, $C$14, 100%, $E$14) + CHOOSE(CONTROL!$C$33, 0.0272, 0)</f>
        <v>32.162300000000002</v>
      </c>
      <c r="D462" s="4">
        <f>44.1031 * CHOOSE(CONTROL!$C$14, $C$14, 100%, $E$14) + CHOOSE(CONTROL!$C$33, 0.0021, 0)</f>
        <v>44.105199999999996</v>
      </c>
      <c r="E462" s="4">
        <f>206.172245249545 * CHOOSE(CONTROL!$C$14, $C$14, 100%, $E$14) + CHOOSE(CONTROL!$C$33, 0.0021, 0)</f>
        <v>206.17434524954501</v>
      </c>
    </row>
    <row r="463" spans="1:5" ht="15">
      <c r="A463" s="11">
        <v>55212</v>
      </c>
      <c r="B463" s="4">
        <f>33.2516 * CHOOSE(CONTROL!$C$14, $C$14, 100%, $E$14) + CHOOSE(CONTROL!$C$33, 0.0272, 0)</f>
        <v>33.278800000000004</v>
      </c>
      <c r="C463" s="4">
        <f>32.8883 * CHOOSE(CONTROL!$C$14, $C$14, 100%, $E$14) + CHOOSE(CONTROL!$C$33, 0.0272, 0)</f>
        <v>32.915500000000002</v>
      </c>
      <c r="D463" s="4">
        <f>45.5943 * CHOOSE(CONTROL!$C$14, $C$14, 100%, $E$14) + CHOOSE(CONTROL!$C$33, 0.0021, 0)</f>
        <v>45.596399999999996</v>
      </c>
      <c r="E463" s="4">
        <f>211.067586857917 * CHOOSE(CONTROL!$C$14, $C$14, 100%, $E$14) + CHOOSE(CONTROL!$C$33, 0.0021, 0)</f>
        <v>211.06968685791702</v>
      </c>
    </row>
    <row r="464" spans="1:5" ht="15">
      <c r="A464" s="11">
        <v>55243</v>
      </c>
      <c r="B464" s="4">
        <f>35.2298 * CHOOSE(CONTROL!$C$14, $C$14, 100%, $E$14) + CHOOSE(CONTROL!$C$33, 0.0272, 0)</f>
        <v>35.256999999999998</v>
      </c>
      <c r="C464" s="4">
        <f>34.8665 * CHOOSE(CONTROL!$C$14, $C$14, 100%, $E$14) + CHOOSE(CONTROL!$C$33, 0.0272, 0)</f>
        <v>34.893700000000003</v>
      </c>
      <c r="D464" s="4">
        <f>47.9287 * CHOOSE(CONTROL!$C$14, $C$14, 100%, $E$14) + CHOOSE(CONTROL!$C$33, 0.0021, 0)</f>
        <v>47.930799999999998</v>
      </c>
      <c r="E464" s="4">
        <f>223.923014075754 * CHOOSE(CONTROL!$C$14, $C$14, 100%, $E$14) + CHOOSE(CONTROL!$C$33, 0.0021, 0)</f>
        <v>223.92511407575401</v>
      </c>
    </row>
    <row r="465" spans="1:5" ht="15">
      <c r="A465" s="11">
        <v>55273</v>
      </c>
      <c r="B465" s="4">
        <f>36.6353 * CHOOSE(CONTROL!$C$14, $C$14, 100%, $E$14) + CHOOSE(CONTROL!$C$33, 0.0272, 0)</f>
        <v>36.662500000000001</v>
      </c>
      <c r="C465" s="4">
        <f>36.272 * CHOOSE(CONTROL!$C$14, $C$14, 100%, $E$14) + CHOOSE(CONTROL!$C$33, 0.0272, 0)</f>
        <v>36.299199999999999</v>
      </c>
      <c r="D465" s="4">
        <f>49.2734 * CHOOSE(CONTROL!$C$14, $C$14, 100%, $E$14) + CHOOSE(CONTROL!$C$33, 0.0021, 0)</f>
        <v>49.275500000000001</v>
      </c>
      <c r="E465" s="4">
        <f>233.056966435121 * CHOOSE(CONTROL!$C$14, $C$14, 100%, $E$14) + CHOOSE(CONTROL!$C$33, 0.0021, 0)</f>
        <v>233.05906643512103</v>
      </c>
    </row>
    <row r="466" spans="1:5" ht="15">
      <c r="A466" s="11">
        <v>55304</v>
      </c>
      <c r="B466" s="4">
        <f>37.494 * CHOOSE(CONTROL!$C$14, $C$14, 100%, $E$14) + CHOOSE(CONTROL!$C$33, 0.0304, 0)</f>
        <v>37.5244</v>
      </c>
      <c r="C466" s="4">
        <f>37.1307 * CHOOSE(CONTROL!$C$14, $C$14, 100%, $E$14) + CHOOSE(CONTROL!$C$33, 0.0304, 0)</f>
        <v>37.161099999999998</v>
      </c>
      <c r="D466" s="4">
        <f>48.742 * CHOOSE(CONTROL!$C$14, $C$14, 100%, $E$14) + CHOOSE(CONTROL!$C$33, 0.0021, 0)</f>
        <v>48.744099999999996</v>
      </c>
      <c r="E466" s="4">
        <f>238.637592416408 * CHOOSE(CONTROL!$C$14, $C$14, 100%, $E$14) + CHOOSE(CONTROL!$C$33, 0.0021, 0)</f>
        <v>238.63969241640802</v>
      </c>
    </row>
    <row r="467" spans="1:5" ht="15">
      <c r="A467" s="11">
        <v>55334</v>
      </c>
      <c r="B467" s="4">
        <f>37.6102 * CHOOSE(CONTROL!$C$14, $C$14, 100%, $E$14) + CHOOSE(CONTROL!$C$33, 0.0304, 0)</f>
        <v>37.640599999999999</v>
      </c>
      <c r="C467" s="4">
        <f>37.2469 * CHOOSE(CONTROL!$C$14, $C$14, 100%, $E$14) + CHOOSE(CONTROL!$C$33, 0.0304, 0)</f>
        <v>37.277299999999997</v>
      </c>
      <c r="D467" s="4">
        <f>49.1748 * CHOOSE(CONTROL!$C$14, $C$14, 100%, $E$14) + CHOOSE(CONTROL!$C$33, 0.0021, 0)</f>
        <v>49.176899999999996</v>
      </c>
      <c r="E467" s="4">
        <f>239.39267427175 * CHOOSE(CONTROL!$C$14, $C$14, 100%, $E$14) + CHOOSE(CONTROL!$C$33, 0.0021, 0)</f>
        <v>239.39477427175001</v>
      </c>
    </row>
    <row r="468" spans="1:5" ht="15">
      <c r="A468" s="11">
        <v>55365</v>
      </c>
      <c r="B468" s="4">
        <f>37.5984 * CHOOSE(CONTROL!$C$14, $C$14, 100%, $E$14) + CHOOSE(CONTROL!$C$33, 0.0304, 0)</f>
        <v>37.628799999999998</v>
      </c>
      <c r="C468" s="4">
        <f>37.2352 * CHOOSE(CONTROL!$C$14, $C$14, 100%, $E$14) + CHOOSE(CONTROL!$C$33, 0.0304, 0)</f>
        <v>37.265599999999999</v>
      </c>
      <c r="D468" s="4">
        <f>49.9556 * CHOOSE(CONTROL!$C$14, $C$14, 100%, $E$14) + CHOOSE(CONTROL!$C$33, 0.0021, 0)</f>
        <v>49.957699999999996</v>
      </c>
      <c r="E468" s="4">
        <f>239.316531563648 * CHOOSE(CONTROL!$C$14, $C$14, 100%, $E$14) + CHOOSE(CONTROL!$C$33, 0.0021, 0)</f>
        <v>239.31863156364801</v>
      </c>
    </row>
    <row r="469" spans="1:5" ht="15">
      <c r="A469" s="11">
        <v>55396</v>
      </c>
      <c r="B469" s="4">
        <f>38.4801 * CHOOSE(CONTROL!$C$14, $C$14, 100%, $E$14) + CHOOSE(CONTROL!$C$33, 0.0304, 0)</f>
        <v>38.5105</v>
      </c>
      <c r="C469" s="4">
        <f>38.1168 * CHOOSE(CONTROL!$C$14, $C$14, 100%, $E$14) + CHOOSE(CONTROL!$C$33, 0.0304, 0)</f>
        <v>38.147199999999998</v>
      </c>
      <c r="D469" s="4">
        <f>49.4399 * CHOOSE(CONTROL!$C$14, $C$14, 100%, $E$14) + CHOOSE(CONTROL!$C$33, 0.0021, 0)</f>
        <v>49.442</v>
      </c>
      <c r="E469" s="4">
        <f>245.046270348301 * CHOOSE(CONTROL!$C$14, $C$14, 100%, $E$14) + CHOOSE(CONTROL!$C$33, 0.0021, 0)</f>
        <v>245.04837034830101</v>
      </c>
    </row>
    <row r="470" spans="1:5" ht="15">
      <c r="A470" s="11">
        <v>55426</v>
      </c>
      <c r="B470" s="4">
        <f>36.9775 * CHOOSE(CONTROL!$C$14, $C$14, 100%, $E$14) + CHOOSE(CONTROL!$C$33, 0.0304, 0)</f>
        <v>37.007899999999999</v>
      </c>
      <c r="C470" s="4">
        <f>36.6142 * CHOOSE(CONTROL!$C$14, $C$14, 100%, $E$14) + CHOOSE(CONTROL!$C$33, 0.0304, 0)</f>
        <v>36.644599999999997</v>
      </c>
      <c r="D470" s="4">
        <f>49.1963 * CHOOSE(CONTROL!$C$14, $C$14, 100%, $E$14) + CHOOSE(CONTROL!$C$33, 0.0021, 0)</f>
        <v>49.198399999999999</v>
      </c>
      <c r="E470" s="4">
        <f>235.280968034258 * CHOOSE(CONTROL!$C$14, $C$14, 100%, $E$14) + CHOOSE(CONTROL!$C$33, 0.0021, 0)</f>
        <v>235.28306803425801</v>
      </c>
    </row>
    <row r="471" spans="1:5" ht="15">
      <c r="A471" s="11">
        <v>55457</v>
      </c>
      <c r="B471" s="4">
        <f>35.7746 * CHOOSE(CONTROL!$C$14, $C$14, 100%, $E$14) + CHOOSE(CONTROL!$C$33, 0.0272, 0)</f>
        <v>35.8018</v>
      </c>
      <c r="C471" s="4">
        <f>35.4113 * CHOOSE(CONTROL!$C$14, $C$14, 100%, $E$14) + CHOOSE(CONTROL!$C$33, 0.0272, 0)</f>
        <v>35.438499999999998</v>
      </c>
      <c r="D471" s="4">
        <f>48.5439 * CHOOSE(CONTROL!$C$14, $C$14, 100%, $E$14) + CHOOSE(CONTROL!$C$33, 0.0021, 0)</f>
        <v>48.545999999999999</v>
      </c>
      <c r="E471" s="4">
        <f>227.463650002483 * CHOOSE(CONTROL!$C$14, $C$14, 100%, $E$14) + CHOOSE(CONTROL!$C$33, 0.0021, 0)</f>
        <v>227.46575000248302</v>
      </c>
    </row>
    <row r="472" spans="1:5" ht="15">
      <c r="A472" s="11">
        <v>55487</v>
      </c>
      <c r="B472" s="4">
        <f>34.9998 * CHOOSE(CONTROL!$C$14, $C$14, 100%, $E$14) + CHOOSE(CONTROL!$C$33, 0.0272, 0)</f>
        <v>35.027000000000001</v>
      </c>
      <c r="C472" s="4">
        <f>34.6365 * CHOOSE(CONTROL!$C$14, $C$14, 100%, $E$14) + CHOOSE(CONTROL!$C$33, 0.0272, 0)</f>
        <v>34.663699999999999</v>
      </c>
      <c r="D472" s="4">
        <f>48.3197 * CHOOSE(CONTROL!$C$14, $C$14, 100%, $E$14) + CHOOSE(CONTROL!$C$33, 0.0021, 0)</f>
        <v>48.321799999999996</v>
      </c>
      <c r="E472" s="4">
        <f>222.428713429258 * CHOOSE(CONTROL!$C$14, $C$14, 100%, $E$14) + CHOOSE(CONTROL!$C$33, 0.0021, 0)</f>
        <v>222.43081342925802</v>
      </c>
    </row>
    <row r="473" spans="1:5" ht="15">
      <c r="A473" s="11">
        <v>55518</v>
      </c>
      <c r="B473" s="4">
        <f>34.4638 * CHOOSE(CONTROL!$C$14, $C$14, 100%, $E$14) + CHOOSE(CONTROL!$C$33, 0.0272, 0)</f>
        <v>34.491</v>
      </c>
      <c r="C473" s="4">
        <f>34.1005 * CHOOSE(CONTROL!$C$14, $C$14, 100%, $E$14) + CHOOSE(CONTROL!$C$33, 0.0272, 0)</f>
        <v>34.127699999999997</v>
      </c>
      <c r="D473" s="4">
        <f>46.6685 * CHOOSE(CONTROL!$C$14, $C$14, 100%, $E$14) + CHOOSE(CONTROL!$C$33, 0.0021, 0)</f>
        <v>46.6706</v>
      </c>
      <c r="E473" s="4">
        <f>218.945184533605 * CHOOSE(CONTROL!$C$14, $C$14, 100%, $E$14) + CHOOSE(CONTROL!$C$33, 0.0021, 0)</f>
        <v>218.947284533605</v>
      </c>
    </row>
    <row r="474" spans="1:5" ht="15">
      <c r="A474" s="11">
        <v>55549</v>
      </c>
      <c r="B474" s="4">
        <f>33.0589 * CHOOSE(CONTROL!$C$14, $C$14, 100%, $E$14) + CHOOSE(CONTROL!$C$33, 0.0272, 0)</f>
        <v>33.086100000000002</v>
      </c>
      <c r="C474" s="4">
        <f>32.6956 * CHOOSE(CONTROL!$C$14, $C$14, 100%, $E$14) + CHOOSE(CONTROL!$C$33, 0.0272, 0)</f>
        <v>32.722799999999999</v>
      </c>
      <c r="D474" s="4">
        <f>44.7675 * CHOOSE(CONTROL!$C$14, $C$14, 100%, $E$14) + CHOOSE(CONTROL!$C$33, 0.0021, 0)</f>
        <v>44.769599999999997</v>
      </c>
      <c r="E474" s="4">
        <f>209.825227933702 * CHOOSE(CONTROL!$C$14, $C$14, 100%, $E$14) + CHOOSE(CONTROL!$C$33, 0.0021, 0)</f>
        <v>209.82732793370201</v>
      </c>
    </row>
    <row r="475" spans="1:5" ht="15">
      <c r="A475" s="11">
        <v>55577</v>
      </c>
      <c r="B475" s="4">
        <f>33.8255 * CHOOSE(CONTROL!$C$14, $C$14, 100%, $E$14) + CHOOSE(CONTROL!$C$33, 0.0272, 0)</f>
        <v>33.852699999999999</v>
      </c>
      <c r="C475" s="4">
        <f>33.4622 * CHOOSE(CONTROL!$C$14, $C$14, 100%, $E$14) + CHOOSE(CONTROL!$C$33, 0.0272, 0)</f>
        <v>33.489400000000003</v>
      </c>
      <c r="D475" s="4">
        <f>46.2822 * CHOOSE(CONTROL!$C$14, $C$14, 100%, $E$14) + CHOOSE(CONTROL!$C$33, 0.0021, 0)</f>
        <v>46.284300000000002</v>
      </c>
      <c r="E475" s="4">
        <f>214.80730574707 * CHOOSE(CONTROL!$C$14, $C$14, 100%, $E$14) + CHOOSE(CONTROL!$C$33, 0.0021, 0)</f>
        <v>214.80940574707</v>
      </c>
    </row>
    <row r="476" spans="1:5" ht="15">
      <c r="A476" s="11">
        <v>55609</v>
      </c>
      <c r="B476" s="4">
        <f>35.8385 * CHOOSE(CONTROL!$C$14, $C$14, 100%, $E$14) + CHOOSE(CONTROL!$C$33, 0.0272, 0)</f>
        <v>35.865700000000004</v>
      </c>
      <c r="C476" s="4">
        <f>35.4753 * CHOOSE(CONTROL!$C$14, $C$14, 100%, $E$14) + CHOOSE(CONTROL!$C$33, 0.0272, 0)</f>
        <v>35.502499999999998</v>
      </c>
      <c r="D476" s="4">
        <f>48.6532 * CHOOSE(CONTROL!$C$14, $C$14, 100%, $E$14) + CHOOSE(CONTROL!$C$33, 0.0021, 0)</f>
        <v>48.655299999999997</v>
      </c>
      <c r="E476" s="4">
        <f>227.890506848668 * CHOOSE(CONTROL!$C$14, $C$14, 100%, $E$14) + CHOOSE(CONTROL!$C$33, 0.0021, 0)</f>
        <v>227.89260684866801</v>
      </c>
    </row>
    <row r="477" spans="1:5" ht="15">
      <c r="A477" s="11">
        <v>55639</v>
      </c>
      <c r="B477" s="4">
        <f>37.2689 * CHOOSE(CONTROL!$C$14, $C$14, 100%, $E$14) + CHOOSE(CONTROL!$C$33, 0.0272, 0)</f>
        <v>37.296100000000003</v>
      </c>
      <c r="C477" s="4">
        <f>36.9056 * CHOOSE(CONTROL!$C$14, $C$14, 100%, $E$14) + CHOOSE(CONTROL!$C$33, 0.0272, 0)</f>
        <v>36.9328</v>
      </c>
      <c r="D477" s="4">
        <f>50.0191 * CHOOSE(CONTROL!$C$14, $C$14, 100%, $E$14) + CHOOSE(CONTROL!$C$33, 0.0021, 0)</f>
        <v>50.0212</v>
      </c>
      <c r="E477" s="4">
        <f>237.186295587933 * CHOOSE(CONTROL!$C$14, $C$14, 100%, $E$14) + CHOOSE(CONTROL!$C$33, 0.0021, 0)</f>
        <v>237.188395587933</v>
      </c>
    </row>
    <row r="478" spans="1:5" ht="15">
      <c r="A478" s="11">
        <v>55670</v>
      </c>
      <c r="B478" s="4">
        <f>38.1428 * CHOOSE(CONTROL!$C$14, $C$14, 100%, $E$14) + CHOOSE(CONTROL!$C$33, 0.0304, 0)</f>
        <v>38.173200000000001</v>
      </c>
      <c r="C478" s="4">
        <f>37.7795 * CHOOSE(CONTROL!$C$14, $C$14, 100%, $E$14) + CHOOSE(CONTROL!$C$33, 0.0304, 0)</f>
        <v>37.809899999999999</v>
      </c>
      <c r="D478" s="4">
        <f>49.4794 * CHOOSE(CONTROL!$C$14, $C$14, 100%, $E$14) + CHOOSE(CONTROL!$C$33, 0.0021, 0)</f>
        <v>49.481499999999997</v>
      </c>
      <c r="E478" s="4">
        <f>242.865799718661 * CHOOSE(CONTROL!$C$14, $C$14, 100%, $E$14) + CHOOSE(CONTROL!$C$33, 0.0021, 0)</f>
        <v>242.86789971866102</v>
      </c>
    </row>
    <row r="479" spans="1:5" ht="15">
      <c r="A479" s="11">
        <v>55700</v>
      </c>
      <c r="B479" s="4">
        <f>38.261 * CHOOSE(CONTROL!$C$14, $C$14, 100%, $E$14) + CHOOSE(CONTROL!$C$33, 0.0304, 0)</f>
        <v>38.291400000000003</v>
      </c>
      <c r="C479" s="4">
        <f>37.8977 * CHOOSE(CONTROL!$C$14, $C$14, 100%, $E$14) + CHOOSE(CONTROL!$C$33, 0.0304, 0)</f>
        <v>37.928100000000001</v>
      </c>
      <c r="D479" s="4">
        <f>49.9189 * CHOOSE(CONTROL!$C$14, $C$14, 100%, $E$14) + CHOOSE(CONTROL!$C$33, 0.0021, 0)</f>
        <v>49.920999999999999</v>
      </c>
      <c r="E479" s="4">
        <f>243.634260197975 * CHOOSE(CONTROL!$C$14, $C$14, 100%, $E$14) + CHOOSE(CONTROL!$C$33, 0.0021, 0)</f>
        <v>243.63636019797502</v>
      </c>
    </row>
    <row r="480" spans="1:5" ht="15">
      <c r="A480" s="11">
        <v>55731</v>
      </c>
      <c r="B480" s="4">
        <f>38.2491 * CHOOSE(CONTROL!$C$14, $C$14, 100%, $E$14) + CHOOSE(CONTROL!$C$33, 0.0304, 0)</f>
        <v>38.279499999999999</v>
      </c>
      <c r="C480" s="4">
        <f>37.8858 * CHOOSE(CONTROL!$C$14, $C$14, 100%, $E$14) + CHOOSE(CONTROL!$C$33, 0.0304, 0)</f>
        <v>37.916200000000003</v>
      </c>
      <c r="D480" s="4">
        <f>50.712 * CHOOSE(CONTROL!$C$14, $C$14, 100%, $E$14) + CHOOSE(CONTROL!$C$33, 0.0021, 0)</f>
        <v>50.714100000000002</v>
      </c>
      <c r="E480" s="4">
        <f>243.556768384935 * CHOOSE(CONTROL!$C$14, $C$14, 100%, $E$14) + CHOOSE(CONTROL!$C$33, 0.0021, 0)</f>
        <v>243.55886838493501</v>
      </c>
    </row>
    <row r="481" spans="1:5" ht="15">
      <c r="A481" s="11">
        <v>55762</v>
      </c>
      <c r="B481" s="4">
        <f>39.1463 * CHOOSE(CONTROL!$C$14, $C$14, 100%, $E$14) + CHOOSE(CONTROL!$C$33, 0.0304, 0)</f>
        <v>39.176699999999997</v>
      </c>
      <c r="C481" s="4">
        <f>38.783 * CHOOSE(CONTROL!$C$14, $C$14, 100%, $E$14) + CHOOSE(CONTROL!$C$33, 0.0304, 0)</f>
        <v>38.813400000000001</v>
      </c>
      <c r="D481" s="4">
        <f>50.1882 * CHOOSE(CONTROL!$C$14, $C$14, 100%, $E$14) + CHOOSE(CONTROL!$C$33, 0.0021, 0)</f>
        <v>50.190300000000001</v>
      </c>
      <c r="E481" s="4">
        <f>249.3880273162 * CHOOSE(CONTROL!$C$14, $C$14, 100%, $E$14) + CHOOSE(CONTROL!$C$33, 0.0021, 0)</f>
        <v>249.39012731620002</v>
      </c>
    </row>
    <row r="482" spans="1:5" ht="15">
      <c r="A482" s="11">
        <v>55792</v>
      </c>
      <c r="B482" s="4">
        <f>37.6171 * CHOOSE(CONTROL!$C$14, $C$14, 100%, $E$14) + CHOOSE(CONTROL!$C$33, 0.0304, 0)</f>
        <v>37.647500000000001</v>
      </c>
      <c r="C482" s="4">
        <f>37.2539 * CHOOSE(CONTROL!$C$14, $C$14, 100%, $E$14) + CHOOSE(CONTROL!$C$33, 0.0304, 0)</f>
        <v>37.284300000000002</v>
      </c>
      <c r="D482" s="4">
        <f>49.9408 * CHOOSE(CONTROL!$C$14, $C$14, 100%, $E$14) + CHOOSE(CONTROL!$C$33, 0.0021, 0)</f>
        <v>49.942900000000002</v>
      </c>
      <c r="E482" s="4">
        <f>239.449702293811 * CHOOSE(CONTROL!$C$14, $C$14, 100%, $E$14) + CHOOSE(CONTROL!$C$33, 0.0021, 0)</f>
        <v>239.451802293811</v>
      </c>
    </row>
    <row r="483" spans="1:5" ht="15">
      <c r="A483" s="11">
        <v>55823</v>
      </c>
      <c r="B483" s="4">
        <f>36.393 * CHOOSE(CONTROL!$C$14, $C$14, 100%, $E$14) + CHOOSE(CONTROL!$C$33, 0.0272, 0)</f>
        <v>36.420200000000001</v>
      </c>
      <c r="C483" s="4">
        <f>36.0297 * CHOOSE(CONTROL!$C$14, $C$14, 100%, $E$14) + CHOOSE(CONTROL!$C$33, 0.0272, 0)</f>
        <v>36.056899999999999</v>
      </c>
      <c r="D483" s="4">
        <f>49.2782 * CHOOSE(CONTROL!$C$14, $C$14, 100%, $E$14) + CHOOSE(CONTROL!$C$33, 0.0021, 0)</f>
        <v>49.280299999999997</v>
      </c>
      <c r="E483" s="4">
        <f>231.493876155031 * CHOOSE(CONTROL!$C$14, $C$14, 100%, $E$14) + CHOOSE(CONTROL!$C$33, 0.0021, 0)</f>
        <v>231.495976155031</v>
      </c>
    </row>
    <row r="484" spans="1:5" ht="15">
      <c r="A484" s="11">
        <v>55853</v>
      </c>
      <c r="B484" s="4">
        <f>35.6045 * CHOOSE(CONTROL!$C$14, $C$14, 100%, $E$14) + CHOOSE(CONTROL!$C$33, 0.0272, 0)</f>
        <v>35.631700000000002</v>
      </c>
      <c r="C484" s="4">
        <f>35.2413 * CHOOSE(CONTROL!$C$14, $C$14, 100%, $E$14) + CHOOSE(CONTROL!$C$33, 0.0272, 0)</f>
        <v>35.268500000000003</v>
      </c>
      <c r="D484" s="4">
        <f>49.0504 * CHOOSE(CONTROL!$C$14, $C$14, 100%, $E$14) + CHOOSE(CONTROL!$C$33, 0.0021, 0)</f>
        <v>49.052500000000002</v>
      </c>
      <c r="E484" s="4">
        <f>226.369730017756 * CHOOSE(CONTROL!$C$14, $C$14, 100%, $E$14) + CHOOSE(CONTROL!$C$33, 0.0021, 0)</f>
        <v>226.37183001775603</v>
      </c>
    </row>
    <row r="485" spans="1:5" ht="15">
      <c r="A485" s="11">
        <v>55884</v>
      </c>
      <c r="B485" s="4">
        <f>35.059 * CHOOSE(CONTROL!$C$14, $C$14, 100%, $E$14) + CHOOSE(CONTROL!$C$33, 0.0272, 0)</f>
        <v>35.086199999999998</v>
      </c>
      <c r="C485" s="4">
        <f>34.6958 * CHOOSE(CONTROL!$C$14, $C$14, 100%, $E$14) + CHOOSE(CONTROL!$C$33, 0.0272, 0)</f>
        <v>34.722999999999999</v>
      </c>
      <c r="D485" s="4">
        <f>47.3732 * CHOOSE(CONTROL!$C$14, $C$14, 100%, $E$14) + CHOOSE(CONTROL!$C$33, 0.0021, 0)</f>
        <v>47.375299999999996</v>
      </c>
      <c r="E485" s="4">
        <f>222.824479571173 * CHOOSE(CONTROL!$C$14, $C$14, 100%, $E$14) + CHOOSE(CONTROL!$C$33, 0.0021, 0)</f>
        <v>222.826579571173</v>
      </c>
    </row>
    <row r="486" spans="1:5" ht="15">
      <c r="A486" s="11">
        <v>55915</v>
      </c>
      <c r="B486" s="4">
        <f>33.6293 * CHOOSE(CONTROL!$C$14, $C$14, 100%, $E$14) + CHOOSE(CONTROL!$C$33, 0.0272, 0)</f>
        <v>33.656500000000001</v>
      </c>
      <c r="C486" s="4">
        <f>33.266 * CHOOSE(CONTROL!$C$14, $C$14, 100%, $E$14) + CHOOSE(CONTROL!$C$33, 0.0272, 0)</f>
        <v>33.293199999999999</v>
      </c>
      <c r="D486" s="4">
        <f>45.4423 * CHOOSE(CONTROL!$C$14, $C$14, 100%, $E$14) + CHOOSE(CONTROL!$C$33, 0.0021, 0)</f>
        <v>45.444400000000002</v>
      </c>
      <c r="E486" s="4">
        <f>213.542934569788 * CHOOSE(CONTROL!$C$14, $C$14, 100%, $E$14) + CHOOSE(CONTROL!$C$33, 0.0021, 0)</f>
        <v>213.54503456978802</v>
      </c>
    </row>
    <row r="487" spans="1:5" ht="15">
      <c r="A487" s="11">
        <v>55943</v>
      </c>
      <c r="B487" s="4">
        <f>34.4094 * CHOOSE(CONTROL!$C$14, $C$14, 100%, $E$14) + CHOOSE(CONTROL!$C$33, 0.0272, 0)</f>
        <v>34.436599999999999</v>
      </c>
      <c r="C487" s="4">
        <f>34.0461 * CHOOSE(CONTROL!$C$14, $C$14, 100%, $E$14) + CHOOSE(CONTROL!$C$33, 0.0272, 0)</f>
        <v>34.073300000000003</v>
      </c>
      <c r="D487" s="4">
        <f>46.9808 * CHOOSE(CONTROL!$C$14, $C$14, 100%, $E$14) + CHOOSE(CONTROL!$C$33, 0.0021, 0)</f>
        <v>46.982900000000001</v>
      </c>
      <c r="E487" s="4">
        <f>218.613285389842 * CHOOSE(CONTROL!$C$14, $C$14, 100%, $E$14) + CHOOSE(CONTROL!$C$33, 0.0021, 0)</f>
        <v>218.615385389842</v>
      </c>
    </row>
    <row r="488" spans="1:5" ht="15">
      <c r="A488" s="11">
        <v>55974</v>
      </c>
      <c r="B488" s="4">
        <f>36.4581 * CHOOSE(CONTROL!$C$14, $C$14, 100%, $E$14) + CHOOSE(CONTROL!$C$33, 0.0272, 0)</f>
        <v>36.485300000000002</v>
      </c>
      <c r="C488" s="4">
        <f>36.0948 * CHOOSE(CONTROL!$C$14, $C$14, 100%, $E$14) + CHOOSE(CONTROL!$C$33, 0.0272, 0)</f>
        <v>36.122</v>
      </c>
      <c r="D488" s="4">
        <f>49.3892 * CHOOSE(CONTROL!$C$14, $C$14, 100%, $E$14) + CHOOSE(CONTROL!$C$33, 0.0021, 0)</f>
        <v>49.391300000000001</v>
      </c>
      <c r="E488" s="4">
        <f>231.92829609811 * CHOOSE(CONTROL!$C$14, $C$14, 100%, $E$14) + CHOOSE(CONTROL!$C$33, 0.0021, 0)</f>
        <v>231.93039609811001</v>
      </c>
    </row>
    <row r="489" spans="1:5" ht="15">
      <c r="A489" s="11">
        <v>56004</v>
      </c>
      <c r="B489" s="4">
        <f>37.9137 * CHOOSE(CONTROL!$C$14, $C$14, 100%, $E$14) + CHOOSE(CONTROL!$C$33, 0.0272, 0)</f>
        <v>37.940899999999999</v>
      </c>
      <c r="C489" s="4">
        <f>37.5504 * CHOOSE(CONTROL!$C$14, $C$14, 100%, $E$14) + CHOOSE(CONTROL!$C$33, 0.0272, 0)</f>
        <v>37.577600000000004</v>
      </c>
      <c r="D489" s="4">
        <f>50.7765 * CHOOSE(CONTROL!$C$14, $C$14, 100%, $E$14) + CHOOSE(CONTROL!$C$33, 0.0021, 0)</f>
        <v>50.778599999999997</v>
      </c>
      <c r="E489" s="4">
        <f>241.388788652183 * CHOOSE(CONTROL!$C$14, $C$14, 100%, $E$14) + CHOOSE(CONTROL!$C$33, 0.0021, 0)</f>
        <v>241.39088865218301</v>
      </c>
    </row>
    <row r="490" spans="1:5" ht="15">
      <c r="A490" s="11">
        <v>56035</v>
      </c>
      <c r="B490" s="4">
        <f>38.803 * CHOOSE(CONTROL!$C$14, $C$14, 100%, $E$14) + CHOOSE(CONTROL!$C$33, 0.0304, 0)</f>
        <v>38.833399999999997</v>
      </c>
      <c r="C490" s="4">
        <f>38.4397 * CHOOSE(CONTROL!$C$14, $C$14, 100%, $E$14) + CHOOSE(CONTROL!$C$33, 0.0304, 0)</f>
        <v>38.470100000000002</v>
      </c>
      <c r="D490" s="4">
        <f>50.2283 * CHOOSE(CONTROL!$C$14, $C$14, 100%, $E$14) + CHOOSE(CONTROL!$C$33, 0.0021, 0)</f>
        <v>50.230399999999996</v>
      </c>
      <c r="E490" s="4">
        <f>247.168922866359 * CHOOSE(CONTROL!$C$14, $C$14, 100%, $E$14) + CHOOSE(CONTROL!$C$33, 0.0021, 0)</f>
        <v>247.17102286635901</v>
      </c>
    </row>
    <row r="491" spans="1:5" ht="15">
      <c r="A491" s="11">
        <v>56065</v>
      </c>
      <c r="B491" s="4">
        <f>38.9233 * CHOOSE(CONTROL!$C$14, $C$14, 100%, $E$14) + CHOOSE(CONTROL!$C$33, 0.0304, 0)</f>
        <v>38.953699999999998</v>
      </c>
      <c r="C491" s="4">
        <f>38.5601 * CHOOSE(CONTROL!$C$14, $C$14, 100%, $E$14) + CHOOSE(CONTROL!$C$33, 0.0304, 0)</f>
        <v>38.590499999999999</v>
      </c>
      <c r="D491" s="4">
        <f>50.6748 * CHOOSE(CONTROL!$C$14, $C$14, 100%, $E$14) + CHOOSE(CONTROL!$C$33, 0.0021, 0)</f>
        <v>50.676899999999996</v>
      </c>
      <c r="E491" s="4">
        <f>247.950999013587 * CHOOSE(CONTROL!$C$14, $C$14, 100%, $E$14) + CHOOSE(CONTROL!$C$33, 0.0021, 0)</f>
        <v>247.95309901358701</v>
      </c>
    </row>
    <row r="492" spans="1:5" ht="15">
      <c r="A492" s="11">
        <v>56096</v>
      </c>
      <c r="B492" s="4">
        <f>38.9112 * CHOOSE(CONTROL!$C$14, $C$14, 100%, $E$14) + CHOOSE(CONTROL!$C$33, 0.0304, 0)</f>
        <v>38.941600000000001</v>
      </c>
      <c r="C492" s="4">
        <f>38.5479 * CHOOSE(CONTROL!$C$14, $C$14, 100%, $E$14) + CHOOSE(CONTROL!$C$33, 0.0304, 0)</f>
        <v>38.578299999999999</v>
      </c>
      <c r="D492" s="4">
        <f>51.4803 * CHOOSE(CONTROL!$C$14, $C$14, 100%, $E$14) + CHOOSE(CONTROL!$C$33, 0.0021, 0)</f>
        <v>51.482399999999998</v>
      </c>
      <c r="E492" s="4">
        <f>247.872134192018 * CHOOSE(CONTROL!$C$14, $C$14, 100%, $E$14) + CHOOSE(CONTROL!$C$33, 0.0021, 0)</f>
        <v>247.87423419201801</v>
      </c>
    </row>
    <row r="493" spans="1:5" ht="15">
      <c r="A493" s="11">
        <v>56127</v>
      </c>
      <c r="B493" s="4">
        <f>39.8243 * CHOOSE(CONTROL!$C$14, $C$14, 100%, $E$14) + CHOOSE(CONTROL!$C$33, 0.0304, 0)</f>
        <v>39.854700000000001</v>
      </c>
      <c r="C493" s="4">
        <f>39.461 * CHOOSE(CONTROL!$C$14, $C$14, 100%, $E$14) + CHOOSE(CONTROL!$C$33, 0.0304, 0)</f>
        <v>39.491399999999999</v>
      </c>
      <c r="D493" s="4">
        <f>50.9483 * CHOOSE(CONTROL!$C$14, $C$14, 100%, $E$14) + CHOOSE(CONTROL!$C$33, 0.0021, 0)</f>
        <v>50.950400000000002</v>
      </c>
      <c r="E493" s="4">
        <f>253.806712015101 * CHOOSE(CONTROL!$C$14, $C$14, 100%, $E$14) + CHOOSE(CONTROL!$C$33, 0.0021, 0)</f>
        <v>253.80881201510101</v>
      </c>
    </row>
    <row r="494" spans="1:5" ht="15">
      <c r="A494" s="11">
        <v>56157</v>
      </c>
      <c r="B494" s="4">
        <f>38.2681 * CHOOSE(CONTROL!$C$14, $C$14, 100%, $E$14) + CHOOSE(CONTROL!$C$33, 0.0304, 0)</f>
        <v>38.298499999999997</v>
      </c>
      <c r="C494" s="4">
        <f>37.9048 * CHOOSE(CONTROL!$C$14, $C$14, 100%, $E$14) + CHOOSE(CONTROL!$C$33, 0.0304, 0)</f>
        <v>37.935200000000002</v>
      </c>
      <c r="D494" s="4">
        <f>50.697 * CHOOSE(CONTROL!$C$14, $C$14, 100%, $E$14) + CHOOSE(CONTROL!$C$33, 0.0021, 0)</f>
        <v>50.699100000000001</v>
      </c>
      <c r="E494" s="4">
        <f>243.69229864885 * CHOOSE(CONTROL!$C$14, $C$14, 100%, $E$14) + CHOOSE(CONTROL!$C$33, 0.0021, 0)</f>
        <v>243.69439864885001</v>
      </c>
    </row>
    <row r="495" spans="1:5" ht="15">
      <c r="A495" s="11">
        <v>56188</v>
      </c>
      <c r="B495" s="4">
        <f>37.0223 * CHOOSE(CONTROL!$C$14, $C$14, 100%, $E$14) + CHOOSE(CONTROL!$C$33, 0.0272, 0)</f>
        <v>37.049500000000002</v>
      </c>
      <c r="C495" s="4">
        <f>36.659 * CHOOSE(CONTROL!$C$14, $C$14, 100%, $E$14) + CHOOSE(CONTROL!$C$33, 0.0272, 0)</f>
        <v>36.686199999999999</v>
      </c>
      <c r="D495" s="4">
        <f>50.0239 * CHOOSE(CONTROL!$C$14, $C$14, 100%, $E$14) + CHOOSE(CONTROL!$C$33, 0.0021, 0)</f>
        <v>50.025999999999996</v>
      </c>
      <c r="E495" s="4">
        <f>235.595510301078 * CHOOSE(CONTROL!$C$14, $C$14, 100%, $E$14) + CHOOSE(CONTROL!$C$33, 0.0021, 0)</f>
        <v>235.59761030107802</v>
      </c>
    </row>
    <row r="496" spans="1:5" ht="15">
      <c r="A496" s="11">
        <v>56218</v>
      </c>
      <c r="B496" s="4">
        <f>36.2199 * CHOOSE(CONTROL!$C$14, $C$14, 100%, $E$14) + CHOOSE(CONTROL!$C$33, 0.0272, 0)</f>
        <v>36.247100000000003</v>
      </c>
      <c r="C496" s="4">
        <f>35.8567 * CHOOSE(CONTROL!$C$14, $C$14, 100%, $E$14) + CHOOSE(CONTROL!$C$33, 0.0272, 0)</f>
        <v>35.883899999999997</v>
      </c>
      <c r="D496" s="4">
        <f>49.7926 * CHOOSE(CONTROL!$C$14, $C$14, 100%, $E$14) + CHOOSE(CONTROL!$C$33, 0.0021, 0)</f>
        <v>49.794699999999999</v>
      </c>
      <c r="E496" s="4">
        <f>230.380573974814 * CHOOSE(CONTROL!$C$14, $C$14, 100%, $E$14) + CHOOSE(CONTROL!$C$33, 0.0021, 0)</f>
        <v>230.38267397481403</v>
      </c>
    </row>
    <row r="497" spans="1:5" ht="15">
      <c r="A497" s="11">
        <v>56249</v>
      </c>
      <c r="B497" s="4">
        <f>35.6648 * CHOOSE(CONTROL!$C$14, $C$14, 100%, $E$14) + CHOOSE(CONTROL!$C$33, 0.0272, 0)</f>
        <v>35.692</v>
      </c>
      <c r="C497" s="4">
        <f>35.3015 * CHOOSE(CONTROL!$C$14, $C$14, 100%, $E$14) + CHOOSE(CONTROL!$C$33, 0.0272, 0)</f>
        <v>35.328699999999998</v>
      </c>
      <c r="D497" s="4">
        <f>48.089 * CHOOSE(CONTROL!$C$14, $C$14, 100%, $E$14) + CHOOSE(CONTROL!$C$33, 0.0021, 0)</f>
        <v>48.091099999999997</v>
      </c>
      <c r="E497" s="4">
        <f>226.772508388023 * CHOOSE(CONTROL!$C$14, $C$14, 100%, $E$14) + CHOOSE(CONTROL!$C$33, 0.0021, 0)</f>
        <v>226.77460838802301</v>
      </c>
    </row>
    <row r="498" spans="1:5" ht="15">
      <c r="A498" s="11">
        <v>56280</v>
      </c>
      <c r="B498" s="4">
        <f>34.2098 * CHOOSE(CONTROL!$C$14, $C$14, 100%, $E$14) + CHOOSE(CONTROL!$C$33, 0.0272, 0)</f>
        <v>34.237000000000002</v>
      </c>
      <c r="C498" s="4">
        <f>33.8465 * CHOOSE(CONTROL!$C$14, $C$14, 100%, $E$14) + CHOOSE(CONTROL!$C$33, 0.0272, 0)</f>
        <v>33.873699999999999</v>
      </c>
      <c r="D498" s="4">
        <f>46.1278 * CHOOSE(CONTROL!$C$14, $C$14, 100%, $E$14) + CHOOSE(CONTROL!$C$33, 0.0021, 0)</f>
        <v>46.129899999999999</v>
      </c>
      <c r="E498" s="4">
        <f>217.326511943956 * CHOOSE(CONTROL!$C$14, $C$14, 100%, $E$14) + CHOOSE(CONTROL!$C$33, 0.0021, 0)</f>
        <v>217.32861194395602</v>
      </c>
    </row>
    <row r="499" spans="1:5" ht="15">
      <c r="A499" s="11">
        <v>56308</v>
      </c>
      <c r="B499" s="4">
        <f>35.0037 * CHOOSE(CONTROL!$C$14, $C$14, 100%, $E$14) + CHOOSE(CONTROL!$C$33, 0.0272, 0)</f>
        <v>35.030900000000003</v>
      </c>
      <c r="C499" s="4">
        <f>34.6404 * CHOOSE(CONTROL!$C$14, $C$14, 100%, $E$14) + CHOOSE(CONTROL!$C$33, 0.0272, 0)</f>
        <v>34.6676</v>
      </c>
      <c r="D499" s="4">
        <f>47.6905 * CHOOSE(CONTROL!$C$14, $C$14, 100%, $E$14) + CHOOSE(CONTROL!$C$33, 0.0021, 0)</f>
        <v>47.692599999999999</v>
      </c>
      <c r="E499" s="4">
        <f>222.486699801608 * CHOOSE(CONTROL!$C$14, $C$14, 100%, $E$14) + CHOOSE(CONTROL!$C$33, 0.0021, 0)</f>
        <v>222.48879980160802</v>
      </c>
    </row>
    <row r="500" spans="1:5" ht="15">
      <c r="A500" s="11">
        <v>56339</v>
      </c>
      <c r="B500" s="4">
        <f>37.0886 * CHOOSE(CONTROL!$C$14, $C$14, 100%, $E$14) + CHOOSE(CONTROL!$C$33, 0.0272, 0)</f>
        <v>37.1158</v>
      </c>
      <c r="C500" s="4">
        <f>36.7253 * CHOOSE(CONTROL!$C$14, $C$14, 100%, $E$14) + CHOOSE(CONTROL!$C$33, 0.0272, 0)</f>
        <v>36.752499999999998</v>
      </c>
      <c r="D500" s="4">
        <f>50.1367 * CHOOSE(CONTROL!$C$14, $C$14, 100%, $E$14) + CHOOSE(CONTROL!$C$33, 0.0021, 0)</f>
        <v>50.138799999999996</v>
      </c>
      <c r="E500" s="4">
        <f>236.03762734484 * CHOOSE(CONTROL!$C$14, $C$14, 100%, $E$14) + CHOOSE(CONTROL!$C$33, 0.0021, 0)</f>
        <v>236.03972734484</v>
      </c>
    </row>
    <row r="501" spans="1:5" ht="15">
      <c r="A501" s="11">
        <v>56369</v>
      </c>
      <c r="B501" s="4">
        <f>38.5699 * CHOOSE(CONTROL!$C$14, $C$14, 100%, $E$14) + CHOOSE(CONTROL!$C$33, 0.0272, 0)</f>
        <v>38.597099999999998</v>
      </c>
      <c r="C501" s="4">
        <f>38.2066 * CHOOSE(CONTROL!$C$14, $C$14, 100%, $E$14) + CHOOSE(CONTROL!$C$33, 0.0272, 0)</f>
        <v>38.233800000000002</v>
      </c>
      <c r="D501" s="4">
        <f>51.5458 * CHOOSE(CONTROL!$C$14, $C$14, 100%, $E$14) + CHOOSE(CONTROL!$C$33, 0.0021, 0)</f>
        <v>51.547899999999998</v>
      </c>
      <c r="E501" s="4">
        <f>245.66574195416 * CHOOSE(CONTROL!$C$14, $C$14, 100%, $E$14) + CHOOSE(CONTROL!$C$33, 0.0021, 0)</f>
        <v>245.66784195416002</v>
      </c>
    </row>
    <row r="502" spans="1:5" ht="15">
      <c r="A502" s="11">
        <v>56400</v>
      </c>
      <c r="B502" s="4">
        <f>39.4749 * CHOOSE(CONTROL!$C$14, $C$14, 100%, $E$14) + CHOOSE(CONTROL!$C$33, 0.0304, 0)</f>
        <v>39.505299999999998</v>
      </c>
      <c r="C502" s="4">
        <f>39.1117 * CHOOSE(CONTROL!$C$14, $C$14, 100%, $E$14) + CHOOSE(CONTROL!$C$33, 0.0304, 0)</f>
        <v>39.142099999999999</v>
      </c>
      <c r="D502" s="4">
        <f>50.989 * CHOOSE(CONTROL!$C$14, $C$14, 100%, $E$14) + CHOOSE(CONTROL!$C$33, 0.0021, 0)</f>
        <v>50.991099999999996</v>
      </c>
      <c r="E502" s="4">
        <f>251.548289226752 * CHOOSE(CONTROL!$C$14, $C$14, 100%, $E$14) + CHOOSE(CONTROL!$C$33, 0.0021, 0)</f>
        <v>251.550389226752</v>
      </c>
    </row>
    <row r="503" spans="1:5" ht="15">
      <c r="A503" s="11">
        <v>56430</v>
      </c>
      <c r="B503" s="4">
        <f>39.5974 * CHOOSE(CONTROL!$C$14, $C$14, 100%, $E$14) + CHOOSE(CONTROL!$C$33, 0.0304, 0)</f>
        <v>39.627800000000001</v>
      </c>
      <c r="C503" s="4">
        <f>39.2341 * CHOOSE(CONTROL!$C$14, $C$14, 100%, $E$14) + CHOOSE(CONTROL!$C$33, 0.0304, 0)</f>
        <v>39.264499999999998</v>
      </c>
      <c r="D503" s="4">
        <f>51.4425 * CHOOSE(CONTROL!$C$14, $C$14, 100%, $E$14) + CHOOSE(CONTROL!$C$33, 0.0021, 0)</f>
        <v>51.444600000000001</v>
      </c>
      <c r="E503" s="4">
        <f>252.344222285807 * CHOOSE(CONTROL!$C$14, $C$14, 100%, $E$14) + CHOOSE(CONTROL!$C$33, 0.0021, 0)</f>
        <v>252.34632228580702</v>
      </c>
    </row>
    <row r="504" spans="1:5" ht="15">
      <c r="A504" s="11">
        <v>56461</v>
      </c>
      <c r="B504" s="4">
        <f>39.585 * CHOOSE(CONTROL!$C$14, $C$14, 100%, $E$14) + CHOOSE(CONTROL!$C$33, 0.0304, 0)</f>
        <v>39.615400000000001</v>
      </c>
      <c r="C504" s="4">
        <f>39.2218 * CHOOSE(CONTROL!$C$14, $C$14, 100%, $E$14) + CHOOSE(CONTROL!$C$33, 0.0304, 0)</f>
        <v>39.252200000000002</v>
      </c>
      <c r="D504" s="4">
        <f>52.2607 * CHOOSE(CONTROL!$C$14, $C$14, 100%, $E$14) + CHOOSE(CONTROL!$C$33, 0.0021, 0)</f>
        <v>52.262799999999999</v>
      </c>
      <c r="E504" s="4">
        <f>252.263960128591 * CHOOSE(CONTROL!$C$14, $C$14, 100%, $E$14) + CHOOSE(CONTROL!$C$33, 0.0021, 0)</f>
        <v>252.26606012859102</v>
      </c>
    </row>
    <row r="505" spans="1:5" ht="15">
      <c r="A505" s="11">
        <v>56492</v>
      </c>
      <c r="B505" s="4">
        <f>40.5143 * CHOOSE(CONTROL!$C$14, $C$14, 100%, $E$14) + CHOOSE(CONTROL!$C$33, 0.0304, 0)</f>
        <v>40.544699999999999</v>
      </c>
      <c r="C505" s="4">
        <f>40.151 * CHOOSE(CONTROL!$C$14, $C$14, 100%, $E$14) + CHOOSE(CONTROL!$C$33, 0.0304, 0)</f>
        <v>40.181400000000004</v>
      </c>
      <c r="D505" s="4">
        <f>51.7204 * CHOOSE(CONTROL!$C$14, $C$14, 100%, $E$14) + CHOOSE(CONTROL!$C$33, 0.0021, 0)</f>
        <v>51.722499999999997</v>
      </c>
      <c r="E505" s="4">
        <f>258.303687459064 * CHOOSE(CONTROL!$C$14, $C$14, 100%, $E$14) + CHOOSE(CONTROL!$C$33, 0.0021, 0)</f>
        <v>258.30578745906399</v>
      </c>
    </row>
    <row r="506" spans="1:5" ht="15">
      <c r="A506" s="11">
        <v>56522</v>
      </c>
      <c r="B506" s="4">
        <f>38.9306 * CHOOSE(CONTROL!$C$14, $C$14, 100%, $E$14) + CHOOSE(CONTROL!$C$33, 0.0304, 0)</f>
        <v>38.960999999999999</v>
      </c>
      <c r="C506" s="4">
        <f>38.5673 * CHOOSE(CONTROL!$C$14, $C$14, 100%, $E$14) + CHOOSE(CONTROL!$C$33, 0.0304, 0)</f>
        <v>38.597700000000003</v>
      </c>
      <c r="D506" s="4">
        <f>51.4651 * CHOOSE(CONTROL!$C$14, $C$14, 100%, $E$14) + CHOOSE(CONTROL!$C$33, 0.0021, 0)</f>
        <v>51.467199999999998</v>
      </c>
      <c r="E506" s="4">
        <f>248.010065796165 * CHOOSE(CONTROL!$C$14, $C$14, 100%, $E$14) + CHOOSE(CONTROL!$C$33, 0.0021, 0)</f>
        <v>248.01216579616502</v>
      </c>
    </row>
    <row r="507" spans="1:5" ht="15">
      <c r="A507" s="11">
        <v>56553</v>
      </c>
      <c r="B507" s="4">
        <f>37.6628 * CHOOSE(CONTROL!$C$14, $C$14, 100%, $E$14) + CHOOSE(CONTROL!$C$33, 0.0272, 0)</f>
        <v>37.69</v>
      </c>
      <c r="C507" s="4">
        <f>37.2995 * CHOOSE(CONTROL!$C$14, $C$14, 100%, $E$14) + CHOOSE(CONTROL!$C$33, 0.0272, 0)</f>
        <v>37.326700000000002</v>
      </c>
      <c r="D507" s="4">
        <f>50.7814 * CHOOSE(CONTROL!$C$14, $C$14, 100%, $E$14) + CHOOSE(CONTROL!$C$33, 0.0021, 0)</f>
        <v>50.783499999999997</v>
      </c>
      <c r="E507" s="4">
        <f>239.769817655365 * CHOOSE(CONTROL!$C$14, $C$14, 100%, $E$14) + CHOOSE(CONTROL!$C$33, 0.0021, 0)</f>
        <v>239.771917655365</v>
      </c>
    </row>
    <row r="508" spans="1:5" ht="15">
      <c r="A508" s="11">
        <v>56583</v>
      </c>
      <c r="B508" s="4">
        <f>36.8462 * CHOOSE(CONTROL!$C$14, $C$14, 100%, $E$14) + CHOOSE(CONTROL!$C$33, 0.0272, 0)</f>
        <v>36.873400000000004</v>
      </c>
      <c r="C508" s="4">
        <f>36.4829 * CHOOSE(CONTROL!$C$14, $C$14, 100%, $E$14) + CHOOSE(CONTROL!$C$33, 0.0272, 0)</f>
        <v>36.510100000000001</v>
      </c>
      <c r="D508" s="4">
        <f>50.5464 * CHOOSE(CONTROL!$C$14, $C$14, 100%, $E$14) + CHOOSE(CONTROL!$C$33, 0.0021, 0)</f>
        <v>50.548499999999997</v>
      </c>
      <c r="E508" s="4">
        <f>234.462482509484 * CHOOSE(CONTROL!$C$14, $C$14, 100%, $E$14) + CHOOSE(CONTROL!$C$33, 0.0021, 0)</f>
        <v>234.46458250948402</v>
      </c>
    </row>
    <row r="509" spans="1:5" ht="15">
      <c r="A509" s="11">
        <v>56614</v>
      </c>
      <c r="B509" s="4">
        <f>36.2813 * CHOOSE(CONTROL!$C$14, $C$14, 100%, $E$14) + CHOOSE(CONTROL!$C$33, 0.0272, 0)</f>
        <v>36.308500000000002</v>
      </c>
      <c r="C509" s="4">
        <f>35.918 * CHOOSE(CONTROL!$C$14, $C$14, 100%, $E$14) + CHOOSE(CONTROL!$C$33, 0.0272, 0)</f>
        <v>35.9452</v>
      </c>
      <c r="D509" s="4">
        <f>48.8161 * CHOOSE(CONTROL!$C$14, $C$14, 100%, $E$14) + CHOOSE(CONTROL!$C$33, 0.0021, 0)</f>
        <v>48.818199999999997</v>
      </c>
      <c r="E509" s="4">
        <f>230.790488816871 * CHOOSE(CONTROL!$C$14, $C$14, 100%, $E$14) + CHOOSE(CONTROL!$C$33, 0.0021, 0)</f>
        <v>230.79258881687102</v>
      </c>
    </row>
    <row r="510" spans="1:5" ht="15">
      <c r="A510" s="11">
        <v>56645</v>
      </c>
      <c r="B510" s="4">
        <f>34.8006 * CHOOSE(CONTROL!$C$14, $C$14, 100%, $E$14) + CHOOSE(CONTROL!$C$33, 0.0272, 0)</f>
        <v>34.827800000000003</v>
      </c>
      <c r="C510" s="4">
        <f>34.4373 * CHOOSE(CONTROL!$C$14, $C$14, 100%, $E$14) + CHOOSE(CONTROL!$C$33, 0.0272, 0)</f>
        <v>34.464500000000001</v>
      </c>
      <c r="D510" s="4">
        <f>46.824 * CHOOSE(CONTROL!$C$14, $C$14, 100%, $E$14) + CHOOSE(CONTROL!$C$33, 0.0021, 0)</f>
        <v>46.826099999999997</v>
      </c>
      <c r="E510" s="4">
        <f>221.17712716124 * CHOOSE(CONTROL!$C$14, $C$14, 100%, $E$14) + CHOOSE(CONTROL!$C$33, 0.0021, 0)</f>
        <v>221.17922716124002</v>
      </c>
    </row>
    <row r="511" spans="1:5" ht="15">
      <c r="A511" s="11">
        <v>56673</v>
      </c>
      <c r="B511" s="4">
        <f>35.6085 * CHOOSE(CONTROL!$C$14, $C$14, 100%, $E$14) + CHOOSE(CONTROL!$C$33, 0.0272, 0)</f>
        <v>35.6357</v>
      </c>
      <c r="C511" s="4">
        <f>35.2452 * CHOOSE(CONTROL!$C$14, $C$14, 100%, $E$14) + CHOOSE(CONTROL!$C$33, 0.0272, 0)</f>
        <v>35.272399999999998</v>
      </c>
      <c r="D511" s="4">
        <f>48.4113 * CHOOSE(CONTROL!$C$14, $C$14, 100%, $E$14) + CHOOSE(CONTROL!$C$33, 0.0021, 0)</f>
        <v>48.413399999999996</v>
      </c>
      <c r="E511" s="4">
        <f>226.428743799077 * CHOOSE(CONTROL!$C$14, $C$14, 100%, $E$14) + CHOOSE(CONTROL!$C$33, 0.0021, 0)</f>
        <v>226.43084379907702</v>
      </c>
    </row>
    <row r="512" spans="1:5" ht="15">
      <c r="A512" s="11">
        <v>56704</v>
      </c>
      <c r="B512" s="4">
        <f>37.7302 * CHOOSE(CONTROL!$C$14, $C$14, 100%, $E$14) + CHOOSE(CONTROL!$C$33, 0.0272, 0)</f>
        <v>37.757400000000004</v>
      </c>
      <c r="C512" s="4">
        <f>37.3669 * CHOOSE(CONTROL!$C$14, $C$14, 100%, $E$14) + CHOOSE(CONTROL!$C$33, 0.0272, 0)</f>
        <v>37.394100000000002</v>
      </c>
      <c r="D512" s="4">
        <f>50.896 * CHOOSE(CONTROL!$C$14, $C$14, 100%, $E$14) + CHOOSE(CONTROL!$C$33, 0.0021, 0)</f>
        <v>50.898099999999999</v>
      </c>
      <c r="E512" s="4">
        <f>240.219768177892 * CHOOSE(CONTROL!$C$14, $C$14, 100%, $E$14) + CHOOSE(CONTROL!$C$33, 0.0021, 0)</f>
        <v>240.22186817789202</v>
      </c>
    </row>
    <row r="513" spans="1:5" ht="15">
      <c r="A513" s="11">
        <v>56734</v>
      </c>
      <c r="B513" s="4">
        <f>39.2377 * CHOOSE(CONTROL!$C$14, $C$14, 100%, $E$14) + CHOOSE(CONTROL!$C$33, 0.0272, 0)</f>
        <v>39.264899999999997</v>
      </c>
      <c r="C513" s="4">
        <f>38.8744 * CHOOSE(CONTROL!$C$14, $C$14, 100%, $E$14) + CHOOSE(CONTROL!$C$33, 0.0272, 0)</f>
        <v>38.901600000000002</v>
      </c>
      <c r="D513" s="4">
        <f>52.3273 * CHOOSE(CONTROL!$C$14, $C$14, 100%, $E$14) + CHOOSE(CONTROL!$C$33, 0.0021, 0)</f>
        <v>52.3294</v>
      </c>
      <c r="E513" s="4">
        <f>250.018474788606 * CHOOSE(CONTROL!$C$14, $C$14, 100%, $E$14) + CHOOSE(CONTROL!$C$33, 0.0021, 0)</f>
        <v>250.02057478860601</v>
      </c>
    </row>
    <row r="514" spans="1:5" ht="15">
      <c r="A514" s="11">
        <v>56765</v>
      </c>
      <c r="B514" s="4">
        <f>40.1587 * CHOOSE(CONTROL!$C$14, $C$14, 100%, $E$14) + CHOOSE(CONTROL!$C$33, 0.0304, 0)</f>
        <v>40.189100000000003</v>
      </c>
      <c r="C514" s="4">
        <f>39.7954 * CHOOSE(CONTROL!$C$14, $C$14, 100%, $E$14) + CHOOSE(CONTROL!$C$33, 0.0304, 0)</f>
        <v>39.825800000000001</v>
      </c>
      <c r="D514" s="4">
        <f>51.7617 * CHOOSE(CONTROL!$C$14, $C$14, 100%, $E$14) + CHOOSE(CONTROL!$C$33, 0.0021, 0)</f>
        <v>51.763799999999996</v>
      </c>
      <c r="E514" s="4">
        <f>256.00524968553 * CHOOSE(CONTROL!$C$14, $C$14, 100%, $E$14) + CHOOSE(CONTROL!$C$33, 0.0021, 0)</f>
        <v>256.00734968552996</v>
      </c>
    </row>
    <row r="515" spans="1:5" ht="15">
      <c r="A515" s="11">
        <v>56795</v>
      </c>
      <c r="B515" s="4">
        <f>40.2833 * CHOOSE(CONTROL!$C$14, $C$14, 100%, $E$14) + CHOOSE(CONTROL!$C$33, 0.0304, 0)</f>
        <v>40.313699999999997</v>
      </c>
      <c r="C515" s="4">
        <f>39.9201 * CHOOSE(CONTROL!$C$14, $C$14, 100%, $E$14) + CHOOSE(CONTROL!$C$33, 0.0304, 0)</f>
        <v>39.950499999999998</v>
      </c>
      <c r="D515" s="4">
        <f>52.2223 * CHOOSE(CONTROL!$C$14, $C$14, 100%, $E$14) + CHOOSE(CONTROL!$C$33, 0.0021, 0)</f>
        <v>52.224399999999996</v>
      </c>
      <c r="E515" s="4">
        <f>256.81528517471 * CHOOSE(CONTROL!$C$14, $C$14, 100%, $E$14) + CHOOSE(CONTROL!$C$33, 0.0021, 0)</f>
        <v>256.81738517471001</v>
      </c>
    </row>
    <row r="516" spans="1:5" ht="15">
      <c r="A516" s="11">
        <v>56826</v>
      </c>
      <c r="B516" s="4">
        <f>40.2708 * CHOOSE(CONTROL!$C$14, $C$14, 100%, $E$14) + CHOOSE(CONTROL!$C$33, 0.0304, 0)</f>
        <v>40.301200000000001</v>
      </c>
      <c r="C516" s="4">
        <f>39.9075 * CHOOSE(CONTROL!$C$14, $C$14, 100%, $E$14) + CHOOSE(CONTROL!$C$33, 0.0304, 0)</f>
        <v>39.937899999999999</v>
      </c>
      <c r="D516" s="4">
        <f>53.0534 * CHOOSE(CONTROL!$C$14, $C$14, 100%, $E$14) + CHOOSE(CONTROL!$C$33, 0.0021, 0)</f>
        <v>53.055500000000002</v>
      </c>
      <c r="E516" s="4">
        <f>256.733600923701 * CHOOSE(CONTROL!$C$14, $C$14, 100%, $E$14) + CHOOSE(CONTROL!$C$33, 0.0021, 0)</f>
        <v>256.73570092370096</v>
      </c>
    </row>
    <row r="517" spans="1:5" ht="15">
      <c r="A517" s="11">
        <v>56857</v>
      </c>
      <c r="B517" s="4">
        <f>41.2164 * CHOOSE(CONTROL!$C$14, $C$14, 100%, $E$14) + CHOOSE(CONTROL!$C$33, 0.0304, 0)</f>
        <v>41.2468</v>
      </c>
      <c r="C517" s="4">
        <f>40.8531 * CHOOSE(CONTROL!$C$14, $C$14, 100%, $E$14) + CHOOSE(CONTROL!$C$33, 0.0304, 0)</f>
        <v>40.883499999999998</v>
      </c>
      <c r="D517" s="4">
        <f>52.5046 * CHOOSE(CONTROL!$C$14, $C$14, 100%, $E$14) + CHOOSE(CONTROL!$C$33, 0.0021, 0)</f>
        <v>52.506700000000002</v>
      </c>
      <c r="E517" s="4">
        <f>262.880340812186 * CHOOSE(CONTROL!$C$14, $C$14, 100%, $E$14) + CHOOSE(CONTROL!$C$33, 0.0021, 0)</f>
        <v>262.88244081218596</v>
      </c>
    </row>
    <row r="518" spans="1:5" ht="15">
      <c r="A518" s="11">
        <v>56887</v>
      </c>
      <c r="B518" s="4">
        <f>39.6047 * CHOOSE(CONTROL!$C$14, $C$14, 100%, $E$14) + CHOOSE(CONTROL!$C$33, 0.0304, 0)</f>
        <v>39.635100000000001</v>
      </c>
      <c r="C518" s="4">
        <f>39.2415 * CHOOSE(CONTROL!$C$14, $C$14, 100%, $E$14) + CHOOSE(CONTROL!$C$33, 0.0304, 0)</f>
        <v>39.271900000000002</v>
      </c>
      <c r="D518" s="4">
        <f>52.2452 * CHOOSE(CONTROL!$C$14, $C$14, 100%, $E$14) + CHOOSE(CONTROL!$C$33, 0.0021, 0)</f>
        <v>52.247299999999996</v>
      </c>
      <c r="E518" s="4">
        <f>252.404335620183 * CHOOSE(CONTROL!$C$14, $C$14, 100%, $E$14) + CHOOSE(CONTROL!$C$33, 0.0021, 0)</f>
        <v>252.406435620183</v>
      </c>
    </row>
    <row r="519" spans="1:5" ht="15">
      <c r="A519" s="11">
        <v>56918</v>
      </c>
      <c r="B519" s="4">
        <f>38.3145 * CHOOSE(CONTROL!$C$14, $C$14, 100%, $E$14) + CHOOSE(CONTROL!$C$33, 0.0272, 0)</f>
        <v>38.341700000000003</v>
      </c>
      <c r="C519" s="4">
        <f>37.9513 * CHOOSE(CONTROL!$C$14, $C$14, 100%, $E$14) + CHOOSE(CONTROL!$C$33, 0.0272, 0)</f>
        <v>37.978500000000004</v>
      </c>
      <c r="D519" s="4">
        <f>51.5509 * CHOOSE(CONTROL!$C$14, $C$14, 100%, $E$14) + CHOOSE(CONTROL!$C$33, 0.0021, 0)</f>
        <v>51.552999999999997</v>
      </c>
      <c r="E519" s="4">
        <f>244.018085849847 * CHOOSE(CONTROL!$C$14, $C$14, 100%, $E$14) + CHOOSE(CONTROL!$C$33, 0.0021, 0)</f>
        <v>244.02018584984702</v>
      </c>
    </row>
    <row r="520" spans="1:5" ht="15">
      <c r="A520" s="11">
        <v>56948</v>
      </c>
      <c r="B520" s="4">
        <f>37.4836 * CHOOSE(CONTROL!$C$14, $C$14, 100%, $E$14) + CHOOSE(CONTROL!$C$33, 0.0272, 0)</f>
        <v>37.510800000000003</v>
      </c>
      <c r="C520" s="4">
        <f>37.1203 * CHOOSE(CONTROL!$C$14, $C$14, 100%, $E$14) + CHOOSE(CONTROL!$C$33, 0.0272, 0)</f>
        <v>37.147500000000001</v>
      </c>
      <c r="D520" s="4">
        <f>51.3121 * CHOOSE(CONTROL!$C$14, $C$14, 100%, $E$14) + CHOOSE(CONTROL!$C$33, 0.0021, 0)</f>
        <v>51.3142</v>
      </c>
      <c r="E520" s="4">
        <f>238.616714751826 * CHOOSE(CONTROL!$C$14, $C$14, 100%, $E$14) + CHOOSE(CONTROL!$C$33, 0.0021, 0)</f>
        <v>238.61881475182602</v>
      </c>
    </row>
    <row r="521" spans="1:5" ht="15">
      <c r="A521" s="11">
        <v>56979</v>
      </c>
      <c r="B521" s="4">
        <f>36.9086 * CHOOSE(CONTROL!$C$14, $C$14, 100%, $E$14) + CHOOSE(CONTROL!$C$33, 0.0272, 0)</f>
        <v>36.9358</v>
      </c>
      <c r="C521" s="4">
        <f>36.5454 * CHOOSE(CONTROL!$C$14, $C$14, 100%, $E$14) + CHOOSE(CONTROL!$C$33, 0.0272, 0)</f>
        <v>36.572600000000001</v>
      </c>
      <c r="D521" s="4">
        <f>49.5546 * CHOOSE(CONTROL!$C$14, $C$14, 100%, $E$14) + CHOOSE(CONTROL!$C$33, 0.0021, 0)</f>
        <v>49.556699999999999</v>
      </c>
      <c r="E521" s="4">
        <f>234.879660268129 * CHOOSE(CONTROL!$C$14, $C$14, 100%, $E$14) + CHOOSE(CONTROL!$C$33, 0.0021, 0)</f>
        <v>234.881760268129</v>
      </c>
    </row>
    <row r="522" spans="1:5" ht="15">
      <c r="A522" s="11">
        <v>57010</v>
      </c>
      <c r="B522" s="4">
        <f>35.4018 * CHOOSE(CONTROL!$C$14, $C$14, 100%, $E$14) + CHOOSE(CONTROL!$C$33, 0.0272, 0)</f>
        <v>35.429000000000002</v>
      </c>
      <c r="C522" s="4">
        <f>35.0385 * CHOOSE(CONTROL!$C$14, $C$14, 100%, $E$14) + CHOOSE(CONTROL!$C$33, 0.0272, 0)</f>
        <v>35.0657</v>
      </c>
      <c r="D522" s="4">
        <f>47.5312 * CHOOSE(CONTROL!$C$14, $C$14, 100%, $E$14) + CHOOSE(CONTROL!$C$33, 0.0021, 0)</f>
        <v>47.533299999999997</v>
      </c>
      <c r="E522" s="4">
        <f>225.095968005573 * CHOOSE(CONTROL!$C$14, $C$14, 100%, $E$14) + CHOOSE(CONTROL!$C$33, 0.0021, 0)</f>
        <v>225.09806800557303</v>
      </c>
    </row>
    <row r="523" spans="1:5" ht="15">
      <c r="A523" s="11">
        <v>57038</v>
      </c>
      <c r="B523" s="4">
        <f>36.224 * CHOOSE(CONTROL!$C$14, $C$14, 100%, $E$14) + CHOOSE(CONTROL!$C$33, 0.0272, 0)</f>
        <v>36.251199999999997</v>
      </c>
      <c r="C523" s="4">
        <f>35.8607 * CHOOSE(CONTROL!$C$14, $C$14, 100%, $E$14) + CHOOSE(CONTROL!$C$33, 0.0272, 0)</f>
        <v>35.887900000000002</v>
      </c>
      <c r="D523" s="4">
        <f>49.1434 * CHOOSE(CONTROL!$C$14, $C$14, 100%, $E$14) + CHOOSE(CONTROL!$C$33, 0.0021, 0)</f>
        <v>49.145499999999998</v>
      </c>
      <c r="E523" s="4">
        <f>230.44063336885 * CHOOSE(CONTROL!$C$14, $C$14, 100%, $E$14) + CHOOSE(CONTROL!$C$33, 0.0021, 0)</f>
        <v>230.44273336885001</v>
      </c>
    </row>
    <row r="524" spans="1:5" ht="15">
      <c r="A524" s="11">
        <v>57070</v>
      </c>
      <c r="B524" s="4">
        <f>38.3832 * CHOOSE(CONTROL!$C$14, $C$14, 100%, $E$14) + CHOOSE(CONTROL!$C$33, 0.0272, 0)</f>
        <v>38.410400000000003</v>
      </c>
      <c r="C524" s="4">
        <f>38.0199 * CHOOSE(CONTROL!$C$14, $C$14, 100%, $E$14) + CHOOSE(CONTROL!$C$33, 0.0272, 0)</f>
        <v>38.0471</v>
      </c>
      <c r="D524" s="4">
        <f>51.6672 * CHOOSE(CONTROL!$C$14, $C$14, 100%, $E$14) + CHOOSE(CONTROL!$C$33, 0.0021, 0)</f>
        <v>51.6693</v>
      </c>
      <c r="E524" s="4">
        <f>244.476008645585 * CHOOSE(CONTROL!$C$14, $C$14, 100%, $E$14) + CHOOSE(CONTROL!$C$33, 0.0021, 0)</f>
        <v>244.47810864558502</v>
      </c>
    </row>
    <row r="525" spans="1:5" ht="15">
      <c r="A525" s="11">
        <v>57100</v>
      </c>
      <c r="B525" s="4">
        <f>39.9173 * CHOOSE(CONTROL!$C$14, $C$14, 100%, $E$14) + CHOOSE(CONTROL!$C$33, 0.0272, 0)</f>
        <v>39.944499999999998</v>
      </c>
      <c r="C525" s="4">
        <f>39.554 * CHOOSE(CONTROL!$C$14, $C$14, 100%, $E$14) + CHOOSE(CONTROL!$C$33, 0.0272, 0)</f>
        <v>39.581200000000003</v>
      </c>
      <c r="D525" s="4">
        <f>53.121 * CHOOSE(CONTROL!$C$14, $C$14, 100%, $E$14) + CHOOSE(CONTROL!$C$33, 0.0021, 0)</f>
        <v>53.123100000000001</v>
      </c>
      <c r="E525" s="4">
        <f>254.448329825673 * CHOOSE(CONTROL!$C$14, $C$14, 100%, $E$14) + CHOOSE(CONTROL!$C$33, 0.0021, 0)</f>
        <v>254.45042982567301</v>
      </c>
    </row>
    <row r="526" spans="1:5" ht="15">
      <c r="A526" s="11">
        <v>57131</v>
      </c>
      <c r="B526" s="4">
        <f>40.8546 * CHOOSE(CONTROL!$C$14, $C$14, 100%, $E$14) + CHOOSE(CONTROL!$C$33, 0.0304, 0)</f>
        <v>40.884999999999998</v>
      </c>
      <c r="C526" s="4">
        <f>40.4913 * CHOOSE(CONTROL!$C$14, $C$14, 100%, $E$14) + CHOOSE(CONTROL!$C$33, 0.0304, 0)</f>
        <v>40.521700000000003</v>
      </c>
      <c r="D526" s="4">
        <f>52.5465 * CHOOSE(CONTROL!$C$14, $C$14, 100%, $E$14) + CHOOSE(CONTROL!$C$33, 0.0021, 0)</f>
        <v>52.5486</v>
      </c>
      <c r="E526" s="4">
        <f>260.541179063525 * CHOOSE(CONTROL!$C$14, $C$14, 100%, $E$14) + CHOOSE(CONTROL!$C$33, 0.0021, 0)</f>
        <v>260.54327906352501</v>
      </c>
    </row>
    <row r="527" spans="1:5" ht="15">
      <c r="A527" s="11">
        <v>57161</v>
      </c>
      <c r="B527" s="4">
        <f>40.9814 * CHOOSE(CONTROL!$C$14, $C$14, 100%, $E$14) + CHOOSE(CONTROL!$C$33, 0.0304, 0)</f>
        <v>41.011800000000001</v>
      </c>
      <c r="C527" s="4">
        <f>40.6181 * CHOOSE(CONTROL!$C$14, $C$14, 100%, $E$14) + CHOOSE(CONTROL!$C$33, 0.0304, 0)</f>
        <v>40.648499999999999</v>
      </c>
      <c r="D527" s="4">
        <f>53.0144 * CHOOSE(CONTROL!$C$14, $C$14, 100%, $E$14) + CHOOSE(CONTROL!$C$33, 0.0021, 0)</f>
        <v>53.016500000000001</v>
      </c>
      <c r="E527" s="4">
        <f>261.36556685125 * CHOOSE(CONTROL!$C$14, $C$14, 100%, $E$14) + CHOOSE(CONTROL!$C$33, 0.0021, 0)</f>
        <v>261.36766685124996</v>
      </c>
    </row>
    <row r="528" spans="1:5" ht="15">
      <c r="A528" s="11">
        <v>57192</v>
      </c>
      <c r="B528" s="4">
        <f>40.9686 * CHOOSE(CONTROL!$C$14, $C$14, 100%, $E$14) + CHOOSE(CONTROL!$C$33, 0.0304, 0)</f>
        <v>40.999000000000002</v>
      </c>
      <c r="C528" s="4">
        <f>40.6053 * CHOOSE(CONTROL!$C$14, $C$14, 100%, $E$14) + CHOOSE(CONTROL!$C$33, 0.0304, 0)</f>
        <v>40.6357</v>
      </c>
      <c r="D528" s="4">
        <f>53.8586 * CHOOSE(CONTROL!$C$14, $C$14, 100%, $E$14) + CHOOSE(CONTROL!$C$33, 0.0021, 0)</f>
        <v>53.860700000000001</v>
      </c>
      <c r="E528" s="4">
        <f>261.282435309631 * CHOOSE(CONTROL!$C$14, $C$14, 100%, $E$14) + CHOOSE(CONTROL!$C$33, 0.0021, 0)</f>
        <v>261.284535309631</v>
      </c>
    </row>
    <row r="529" spans="1:5" ht="15">
      <c r="A529" s="11">
        <v>57223</v>
      </c>
      <c r="B529" s="4">
        <f>41.931 * CHOOSE(CONTROL!$C$14, $C$14, 100%, $E$14) + CHOOSE(CONTROL!$C$33, 0.0304, 0)</f>
        <v>41.961399999999998</v>
      </c>
      <c r="C529" s="4">
        <f>41.5677 * CHOOSE(CONTROL!$C$14, $C$14, 100%, $E$14) + CHOOSE(CONTROL!$C$33, 0.0304, 0)</f>
        <v>41.598100000000002</v>
      </c>
      <c r="D529" s="4">
        <f>53.3011 * CHOOSE(CONTROL!$C$14, $C$14, 100%, $E$14) + CHOOSE(CONTROL!$C$33, 0.0021, 0)</f>
        <v>53.303199999999997</v>
      </c>
      <c r="E529" s="4">
        <f>267.538083816487 * CHOOSE(CONTROL!$C$14, $C$14, 100%, $E$14) + CHOOSE(CONTROL!$C$33, 0.0021, 0)</f>
        <v>267.540183816487</v>
      </c>
    </row>
    <row r="530" spans="1:5" ht="15">
      <c r="A530" s="11">
        <v>57253</v>
      </c>
      <c r="B530" s="4">
        <f>40.2908 * CHOOSE(CONTROL!$C$14, $C$14, 100%, $E$14) + CHOOSE(CONTROL!$C$33, 0.0304, 0)</f>
        <v>40.321199999999997</v>
      </c>
      <c r="C530" s="4">
        <f>39.9275 * CHOOSE(CONTROL!$C$14, $C$14, 100%, $E$14) + CHOOSE(CONTROL!$C$33, 0.0304, 0)</f>
        <v>39.957900000000002</v>
      </c>
      <c r="D530" s="4">
        <f>53.0377 * CHOOSE(CONTROL!$C$14, $C$14, 100%, $E$14) + CHOOSE(CONTROL!$C$33, 0.0021, 0)</f>
        <v>53.0398</v>
      </c>
      <c r="E530" s="4">
        <f>256.876463603805 * CHOOSE(CONTROL!$C$14, $C$14, 100%, $E$14) + CHOOSE(CONTROL!$C$33, 0.0021, 0)</f>
        <v>256.87856360380499</v>
      </c>
    </row>
    <row r="531" spans="1:5" ht="15">
      <c r="A531" s="11">
        <v>57284</v>
      </c>
      <c r="B531" s="4">
        <f>38.9778 * CHOOSE(CONTROL!$C$14, $C$14, 100%, $E$14) + CHOOSE(CONTROL!$C$33, 0.0272, 0)</f>
        <v>39.005000000000003</v>
      </c>
      <c r="C531" s="4">
        <f>38.6146 * CHOOSE(CONTROL!$C$14, $C$14, 100%, $E$14) + CHOOSE(CONTROL!$C$33, 0.0272, 0)</f>
        <v>38.641800000000003</v>
      </c>
      <c r="D531" s="4">
        <f>52.3324 * CHOOSE(CONTROL!$C$14, $C$14, 100%, $E$14) + CHOOSE(CONTROL!$C$33, 0.0021, 0)</f>
        <v>52.334499999999998</v>
      </c>
      <c r="E531" s="4">
        <f>248.341625330885 * CHOOSE(CONTROL!$C$14, $C$14, 100%, $E$14) + CHOOSE(CONTROL!$C$33, 0.0021, 0)</f>
        <v>248.34372533088501</v>
      </c>
    </row>
    <row r="532" spans="1:5" ht="15">
      <c r="A532" s="11">
        <v>57314</v>
      </c>
      <c r="B532" s="4">
        <f>38.1322 * CHOOSE(CONTROL!$C$14, $C$14, 100%, $E$14) + CHOOSE(CONTROL!$C$33, 0.0272, 0)</f>
        <v>38.159399999999998</v>
      </c>
      <c r="C532" s="4">
        <f>37.7689 * CHOOSE(CONTROL!$C$14, $C$14, 100%, $E$14) + CHOOSE(CONTROL!$C$33, 0.0272, 0)</f>
        <v>37.796100000000003</v>
      </c>
      <c r="D532" s="4">
        <f>52.0899 * CHOOSE(CONTROL!$C$14, $C$14, 100%, $E$14) + CHOOSE(CONTROL!$C$33, 0.0021, 0)</f>
        <v>52.091999999999999</v>
      </c>
      <c r="E532" s="4">
        <f>242.844552141305 * CHOOSE(CONTROL!$C$14, $C$14, 100%, $E$14) + CHOOSE(CONTROL!$C$33, 0.0021, 0)</f>
        <v>242.84665214130501</v>
      </c>
    </row>
    <row r="533" spans="1:5" ht="15">
      <c r="A533" s="11">
        <v>57345</v>
      </c>
      <c r="B533" s="4">
        <f>37.5471 * CHOOSE(CONTROL!$C$14, $C$14, 100%, $E$14) + CHOOSE(CONTROL!$C$33, 0.0272, 0)</f>
        <v>37.574300000000001</v>
      </c>
      <c r="C533" s="4">
        <f>37.1838 * CHOOSE(CONTROL!$C$14, $C$14, 100%, $E$14) + CHOOSE(CONTROL!$C$33, 0.0272, 0)</f>
        <v>37.210999999999999</v>
      </c>
      <c r="D533" s="4">
        <f>50.3048 * CHOOSE(CONTROL!$C$14, $C$14, 100%, $E$14) + CHOOSE(CONTROL!$C$33, 0.0021, 0)</f>
        <v>50.306899999999999</v>
      </c>
      <c r="E533" s="4">
        <f>239.041284112219 * CHOOSE(CONTROL!$C$14, $C$14, 100%, $E$14) + CHOOSE(CONTROL!$C$33, 0.0021, 0)</f>
        <v>239.043384112219</v>
      </c>
    </row>
    <row r="534" spans="1:5" ht="15">
      <c r="A534" s="11">
        <v>57376</v>
      </c>
      <c r="B534" s="4">
        <f>36.0136 * CHOOSE(CONTROL!$C$14, $C$14, 100%, $E$14) + CHOOSE(CONTROL!$C$33, 0.0272, 0)</f>
        <v>36.040799999999997</v>
      </c>
      <c r="C534" s="4">
        <f>35.6503 * CHOOSE(CONTROL!$C$14, $C$14, 100%, $E$14) + CHOOSE(CONTROL!$C$33, 0.0272, 0)</f>
        <v>35.677500000000002</v>
      </c>
      <c r="D534" s="4">
        <f>48.2495 * CHOOSE(CONTROL!$C$14, $C$14, 100%, $E$14) + CHOOSE(CONTROL!$C$33, 0.0021, 0)</f>
        <v>48.251599999999996</v>
      </c>
      <c r="E534" s="4">
        <f>229.084243306172 * CHOOSE(CONTROL!$C$14, $C$14, 100%, $E$14) + CHOOSE(CONTROL!$C$33, 0.0021, 0)</f>
        <v>229.08634330617201</v>
      </c>
    </row>
    <row r="535" spans="1:5" ht="15">
      <c r="A535" s="11">
        <v>57404</v>
      </c>
      <c r="B535" s="4">
        <f>36.8503 * CHOOSE(CONTROL!$C$14, $C$14, 100%, $E$14) + CHOOSE(CONTROL!$C$33, 0.0272, 0)</f>
        <v>36.877499999999998</v>
      </c>
      <c r="C535" s="4">
        <f>36.4871 * CHOOSE(CONTROL!$C$14, $C$14, 100%, $E$14) + CHOOSE(CONTROL!$C$33, 0.0272, 0)</f>
        <v>36.514299999999999</v>
      </c>
      <c r="D535" s="4">
        <f>49.8871 * CHOOSE(CONTROL!$C$14, $C$14, 100%, $E$14) + CHOOSE(CONTROL!$C$33, 0.0021, 0)</f>
        <v>49.889199999999995</v>
      </c>
      <c r="E535" s="4">
        <f>234.523606042518 * CHOOSE(CONTROL!$C$14, $C$14, 100%, $E$14) + CHOOSE(CONTROL!$C$33, 0.0021, 0)</f>
        <v>234.52570604251801</v>
      </c>
    </row>
    <row r="536" spans="1:5" ht="15">
      <c r="A536" s="11">
        <v>57435</v>
      </c>
      <c r="B536" s="4">
        <f>39.0477 * CHOOSE(CONTROL!$C$14, $C$14, 100%, $E$14) + CHOOSE(CONTROL!$C$33, 0.0272, 0)</f>
        <v>39.0749</v>
      </c>
      <c r="C536" s="4">
        <f>38.6844 * CHOOSE(CONTROL!$C$14, $C$14, 100%, $E$14) + CHOOSE(CONTROL!$C$33, 0.0272, 0)</f>
        <v>38.711599999999997</v>
      </c>
      <c r="D536" s="4">
        <f>52.4506 * CHOOSE(CONTROL!$C$14, $C$14, 100%, $E$14) + CHOOSE(CONTROL!$C$33, 0.0021, 0)</f>
        <v>52.4527</v>
      </c>
      <c r="E536" s="4">
        <f>248.807661653453 * CHOOSE(CONTROL!$C$14, $C$14, 100%, $E$14) + CHOOSE(CONTROL!$C$33, 0.0021, 0)</f>
        <v>248.80976165345302</v>
      </c>
    </row>
    <row r="537" spans="1:5" ht="15">
      <c r="A537" s="11">
        <v>57465</v>
      </c>
      <c r="B537" s="4">
        <f>40.6089 * CHOOSE(CONTROL!$C$14, $C$14, 100%, $E$14) + CHOOSE(CONTROL!$C$33, 0.0272, 0)</f>
        <v>40.636099999999999</v>
      </c>
      <c r="C537" s="4">
        <f>40.2456 * CHOOSE(CONTROL!$C$14, $C$14, 100%, $E$14) + CHOOSE(CONTROL!$C$33, 0.0272, 0)</f>
        <v>40.272800000000004</v>
      </c>
      <c r="D537" s="4">
        <f>53.9272 * CHOOSE(CONTROL!$C$14, $C$14, 100%, $E$14) + CHOOSE(CONTROL!$C$33, 0.0021, 0)</f>
        <v>53.929299999999998</v>
      </c>
      <c r="E537" s="4">
        <f>258.956673525092 * CHOOSE(CONTROL!$C$14, $C$14, 100%, $E$14) + CHOOSE(CONTROL!$C$33, 0.0021, 0)</f>
        <v>258.958773525092</v>
      </c>
    </row>
    <row r="538" spans="1:5" ht="15">
      <c r="A538" s="11">
        <v>57496</v>
      </c>
      <c r="B538" s="4">
        <f>41.5628 * CHOOSE(CONTROL!$C$14, $C$14, 100%, $E$14) + CHOOSE(CONTROL!$C$33, 0.0304, 0)</f>
        <v>41.593200000000003</v>
      </c>
      <c r="C538" s="4">
        <f>41.1995 * CHOOSE(CONTROL!$C$14, $C$14, 100%, $E$14) + CHOOSE(CONTROL!$C$33, 0.0304, 0)</f>
        <v>41.229900000000001</v>
      </c>
      <c r="D538" s="4">
        <f>53.3437 * CHOOSE(CONTROL!$C$14, $C$14, 100%, $E$14) + CHOOSE(CONTROL!$C$33, 0.0021, 0)</f>
        <v>53.345799999999997</v>
      </c>
      <c r="E538" s="4">
        <f>265.157476540797 * CHOOSE(CONTROL!$C$14, $C$14, 100%, $E$14) + CHOOSE(CONTROL!$C$33, 0.0021, 0)</f>
        <v>265.15957654079699</v>
      </c>
    </row>
    <row r="539" spans="1:5" ht="15">
      <c r="A539" s="11">
        <v>57526</v>
      </c>
      <c r="B539" s="4">
        <f>41.6918 * CHOOSE(CONTROL!$C$14, $C$14, 100%, $E$14) + CHOOSE(CONTROL!$C$33, 0.0304, 0)</f>
        <v>41.722200000000001</v>
      </c>
      <c r="C539" s="4">
        <f>41.3285 * CHOOSE(CONTROL!$C$14, $C$14, 100%, $E$14) + CHOOSE(CONTROL!$C$33, 0.0304, 0)</f>
        <v>41.358899999999998</v>
      </c>
      <c r="D539" s="4">
        <f>53.8189 * CHOOSE(CONTROL!$C$14, $C$14, 100%, $E$14) + CHOOSE(CONTROL!$C$33, 0.0021, 0)</f>
        <v>53.820999999999998</v>
      </c>
      <c r="E539" s="4">
        <f>265.996470922683 * CHOOSE(CONTROL!$C$14, $C$14, 100%, $E$14) + CHOOSE(CONTROL!$C$33, 0.0021, 0)</f>
        <v>265.99857092268297</v>
      </c>
    </row>
    <row r="540" spans="1:5" ht="15">
      <c r="A540" s="11">
        <v>57557</v>
      </c>
      <c r="B540" s="4">
        <f>41.6788 * CHOOSE(CONTROL!$C$14, $C$14, 100%, $E$14) + CHOOSE(CONTROL!$C$33, 0.0304, 0)</f>
        <v>41.709200000000003</v>
      </c>
      <c r="C540" s="4">
        <f>41.3155 * CHOOSE(CONTROL!$C$14, $C$14, 100%, $E$14) + CHOOSE(CONTROL!$C$33, 0.0304, 0)</f>
        <v>41.3459</v>
      </c>
      <c r="D540" s="4">
        <f>54.6764 * CHOOSE(CONTROL!$C$14, $C$14, 100%, $E$14) + CHOOSE(CONTROL!$C$33, 0.0021, 0)</f>
        <v>54.6785</v>
      </c>
      <c r="E540" s="4">
        <f>265.911866447198 * CHOOSE(CONTROL!$C$14, $C$14, 100%, $E$14) + CHOOSE(CONTROL!$C$33, 0.0021, 0)</f>
        <v>265.91396644719799</v>
      </c>
    </row>
    <row r="541" spans="1:5" ht="15">
      <c r="A541" s="11">
        <v>57588</v>
      </c>
      <c r="B541" s="4">
        <f>42.6582 * CHOOSE(CONTROL!$C$14, $C$14, 100%, $E$14) + CHOOSE(CONTROL!$C$33, 0.0304, 0)</f>
        <v>42.688600000000001</v>
      </c>
      <c r="C541" s="4">
        <f>42.2949 * CHOOSE(CONTROL!$C$14, $C$14, 100%, $E$14) + CHOOSE(CONTROL!$C$33, 0.0304, 0)</f>
        <v>42.325299999999999</v>
      </c>
      <c r="D541" s="4">
        <f>54.1101 * CHOOSE(CONTROL!$C$14, $C$14, 100%, $E$14) + CHOOSE(CONTROL!$C$33, 0.0021, 0)</f>
        <v>54.112200000000001</v>
      </c>
      <c r="E541" s="4">
        <f>272.278353227393 * CHOOSE(CONTROL!$C$14, $C$14, 100%, $E$14) + CHOOSE(CONTROL!$C$33, 0.0021, 0)</f>
        <v>272.28045322739297</v>
      </c>
    </row>
    <row r="542" spans="1:5" ht="15">
      <c r="A542" s="11">
        <v>57618</v>
      </c>
      <c r="B542" s="4">
        <f>40.989 * CHOOSE(CONTROL!$C$14, $C$14, 100%, $E$14) + CHOOSE(CONTROL!$C$33, 0.0304, 0)</f>
        <v>41.019399999999997</v>
      </c>
      <c r="C542" s="4">
        <f>40.6257 * CHOOSE(CONTROL!$C$14, $C$14, 100%, $E$14) + CHOOSE(CONTROL!$C$33, 0.0304, 0)</f>
        <v>40.656100000000002</v>
      </c>
      <c r="D542" s="4">
        <f>53.8426 * CHOOSE(CONTROL!$C$14, $C$14, 100%, $E$14) + CHOOSE(CONTROL!$C$33, 0.0021, 0)</f>
        <v>53.844699999999996</v>
      </c>
      <c r="E542" s="4">
        <f>261.42782924653 * CHOOSE(CONTROL!$C$14, $C$14, 100%, $E$14) + CHOOSE(CONTROL!$C$33, 0.0021, 0)</f>
        <v>261.42992924652998</v>
      </c>
    </row>
    <row r="543" spans="1:5" ht="15">
      <c r="A543" s="11">
        <v>57649</v>
      </c>
      <c r="B543" s="4">
        <f>39.6528 * CHOOSE(CONTROL!$C$14, $C$14, 100%, $E$14) + CHOOSE(CONTROL!$C$33, 0.0272, 0)</f>
        <v>39.68</v>
      </c>
      <c r="C543" s="4">
        <f>39.2896 * CHOOSE(CONTROL!$C$14, $C$14, 100%, $E$14) + CHOOSE(CONTROL!$C$33, 0.0272, 0)</f>
        <v>39.316800000000001</v>
      </c>
      <c r="D543" s="4">
        <f>53.1262 * CHOOSE(CONTROL!$C$14, $C$14, 100%, $E$14) + CHOOSE(CONTROL!$C$33, 0.0021, 0)</f>
        <v>53.128299999999996</v>
      </c>
      <c r="E543" s="4">
        <f>252.741769763474 * CHOOSE(CONTROL!$C$14, $C$14, 100%, $E$14) + CHOOSE(CONTROL!$C$33, 0.0021, 0)</f>
        <v>252.74386976347401</v>
      </c>
    </row>
    <row r="544" spans="1:5" ht="15">
      <c r="A544" s="11">
        <v>57679</v>
      </c>
      <c r="B544" s="4">
        <f>38.7922 * CHOOSE(CONTROL!$C$14, $C$14, 100%, $E$14) + CHOOSE(CONTROL!$C$33, 0.0272, 0)</f>
        <v>38.819400000000002</v>
      </c>
      <c r="C544" s="4">
        <f>38.429 * CHOOSE(CONTROL!$C$14, $C$14, 100%, $E$14) + CHOOSE(CONTROL!$C$33, 0.0272, 0)</f>
        <v>38.456200000000003</v>
      </c>
      <c r="D544" s="4">
        <f>52.8799 * CHOOSE(CONTROL!$C$14, $C$14, 100%, $E$14) + CHOOSE(CONTROL!$C$33, 0.0021, 0)</f>
        <v>52.881999999999998</v>
      </c>
      <c r="E544" s="4">
        <f>247.147298822073 * CHOOSE(CONTROL!$C$14, $C$14, 100%, $E$14) + CHOOSE(CONTROL!$C$33, 0.0021, 0)</f>
        <v>247.14939882207301</v>
      </c>
    </row>
    <row r="545" spans="1:5" ht="15">
      <c r="A545" s="11">
        <v>57710</v>
      </c>
      <c r="B545" s="4">
        <f>38.1968 * CHOOSE(CONTROL!$C$14, $C$14, 100%, $E$14) + CHOOSE(CONTROL!$C$33, 0.0272, 0)</f>
        <v>38.224000000000004</v>
      </c>
      <c r="C545" s="4">
        <f>37.8335 * CHOOSE(CONTROL!$C$14, $C$14, 100%, $E$14) + CHOOSE(CONTROL!$C$33, 0.0272, 0)</f>
        <v>37.860700000000001</v>
      </c>
      <c r="D545" s="4">
        <f>51.0667 * CHOOSE(CONTROL!$C$14, $C$14, 100%, $E$14) + CHOOSE(CONTROL!$C$33, 0.0021, 0)</f>
        <v>51.068799999999996</v>
      </c>
      <c r="E545" s="4">
        <f>243.276644068666 * CHOOSE(CONTROL!$C$14, $C$14, 100%, $E$14) + CHOOSE(CONTROL!$C$33, 0.0021, 0)</f>
        <v>243.27874406866601</v>
      </c>
    </row>
    <row r="546" spans="1:5" ht="15">
      <c r="A546" s="11">
        <v>57741</v>
      </c>
      <c r="B546" s="4">
        <f>36.6362 * CHOOSE(CONTROL!$C$14, $C$14, 100%, $E$14) + CHOOSE(CONTROL!$C$33, 0.0272, 0)</f>
        <v>36.663400000000003</v>
      </c>
      <c r="C546" s="4">
        <f>36.2729 * CHOOSE(CONTROL!$C$14, $C$14, 100%, $E$14) + CHOOSE(CONTROL!$C$33, 0.0272, 0)</f>
        <v>36.3001</v>
      </c>
      <c r="D546" s="4">
        <f>48.9791 * CHOOSE(CONTROL!$C$14, $C$14, 100%, $E$14) + CHOOSE(CONTROL!$C$33, 0.0021, 0)</f>
        <v>48.981200000000001</v>
      </c>
      <c r="E546" s="4">
        <f>233.143183310428 * CHOOSE(CONTROL!$C$14, $C$14, 100%, $E$14) + CHOOSE(CONTROL!$C$33, 0.0021, 0)</f>
        <v>233.145283310428</v>
      </c>
    </row>
    <row r="547" spans="1:5" ht="15">
      <c r="A547" s="11">
        <v>57769</v>
      </c>
      <c r="B547" s="4">
        <f>37.4877 * CHOOSE(CONTROL!$C$14, $C$14, 100%, $E$14) + CHOOSE(CONTROL!$C$33, 0.0272, 0)</f>
        <v>37.514899999999997</v>
      </c>
      <c r="C547" s="4">
        <f>37.1245 * CHOOSE(CONTROL!$C$14, $C$14, 100%, $E$14) + CHOOSE(CONTROL!$C$33, 0.0272, 0)</f>
        <v>37.151699999999998</v>
      </c>
      <c r="D547" s="4">
        <f>50.6424 * CHOOSE(CONTROL!$C$14, $C$14, 100%, $E$14) + CHOOSE(CONTROL!$C$33, 0.0021, 0)</f>
        <v>50.644500000000001</v>
      </c>
      <c r="E547" s="4">
        <f>238.67892127839 * CHOOSE(CONTROL!$C$14, $C$14, 100%, $E$14) + CHOOSE(CONTROL!$C$33, 0.0021, 0)</f>
        <v>238.68102127839001</v>
      </c>
    </row>
    <row r="548" spans="1:5" ht="15">
      <c r="A548" s="11">
        <v>57800</v>
      </c>
      <c r="B548" s="4">
        <f>39.7239 * CHOOSE(CONTROL!$C$14, $C$14, 100%, $E$14) + CHOOSE(CONTROL!$C$33, 0.0272, 0)</f>
        <v>39.751100000000001</v>
      </c>
      <c r="C548" s="4">
        <f>39.3606 * CHOOSE(CONTROL!$C$14, $C$14, 100%, $E$14) + CHOOSE(CONTROL!$C$33, 0.0272, 0)</f>
        <v>39.387799999999999</v>
      </c>
      <c r="D548" s="4">
        <f>53.2462 * CHOOSE(CONTROL!$C$14, $C$14, 100%, $E$14) + CHOOSE(CONTROL!$C$33, 0.0021, 0)</f>
        <v>53.2483</v>
      </c>
      <c r="E548" s="4">
        <f>253.21606336924 * CHOOSE(CONTROL!$C$14, $C$14, 100%, $E$14) + CHOOSE(CONTROL!$C$33, 0.0021, 0)</f>
        <v>253.21816336924002</v>
      </c>
    </row>
    <row r="549" spans="1:5" ht="15">
      <c r="A549" s="11">
        <v>57830</v>
      </c>
      <c r="B549" s="4">
        <f>41.3127 * CHOOSE(CONTROL!$C$14, $C$14, 100%, $E$14) + CHOOSE(CONTROL!$C$33, 0.0272, 0)</f>
        <v>41.3399</v>
      </c>
      <c r="C549" s="4">
        <f>40.9494 * CHOOSE(CONTROL!$C$14, $C$14, 100%, $E$14) + CHOOSE(CONTROL!$C$33, 0.0272, 0)</f>
        <v>40.976599999999998</v>
      </c>
      <c r="D549" s="4">
        <f>54.7461 * CHOOSE(CONTROL!$C$14, $C$14, 100%, $E$14) + CHOOSE(CONTROL!$C$33, 0.0021, 0)</f>
        <v>54.748199999999997</v>
      </c>
      <c r="E549" s="4">
        <f>263.544896557679 * CHOOSE(CONTROL!$C$14, $C$14, 100%, $E$14) + CHOOSE(CONTROL!$C$33, 0.0021, 0)</f>
        <v>263.54699655767899</v>
      </c>
    </row>
    <row r="550" spans="1:5" ht="15">
      <c r="A550" s="11">
        <v>57861</v>
      </c>
      <c r="B550" s="4">
        <f>42.2834 * CHOOSE(CONTROL!$C$14, $C$14, 100%, $E$14) + CHOOSE(CONTROL!$C$33, 0.0304, 0)</f>
        <v>42.313800000000001</v>
      </c>
      <c r="C550" s="4">
        <f>41.9202 * CHOOSE(CONTROL!$C$14, $C$14, 100%, $E$14) + CHOOSE(CONTROL!$C$33, 0.0304, 0)</f>
        <v>41.950600000000001</v>
      </c>
      <c r="D550" s="4">
        <f>54.1534 * CHOOSE(CONTROL!$C$14, $C$14, 100%, $E$14) + CHOOSE(CONTROL!$C$33, 0.0021, 0)</f>
        <v>54.155499999999996</v>
      </c>
      <c r="E550" s="4">
        <f>269.855566088233 * CHOOSE(CONTROL!$C$14, $C$14, 100%, $E$14) + CHOOSE(CONTROL!$C$33, 0.0021, 0)</f>
        <v>269.85766608823297</v>
      </c>
    </row>
    <row r="551" spans="1:5" ht="15">
      <c r="A551" s="11">
        <v>57891</v>
      </c>
      <c r="B551" s="4">
        <f>42.4148 * CHOOSE(CONTROL!$C$14, $C$14, 100%, $E$14) + CHOOSE(CONTROL!$C$33, 0.0304, 0)</f>
        <v>42.4452</v>
      </c>
      <c r="C551" s="4">
        <f>42.0515 * CHOOSE(CONTROL!$C$14, $C$14, 100%, $E$14) + CHOOSE(CONTROL!$C$33, 0.0304, 0)</f>
        <v>42.081899999999997</v>
      </c>
      <c r="D551" s="4">
        <f>54.6361 * CHOOSE(CONTROL!$C$14, $C$14, 100%, $E$14) + CHOOSE(CONTROL!$C$33, 0.0021, 0)</f>
        <v>54.638199999999998</v>
      </c>
      <c r="E551" s="4">
        <f>270.709425865533 * CHOOSE(CONTROL!$C$14, $C$14, 100%, $E$14) + CHOOSE(CONTROL!$C$33, 0.0021, 0)</f>
        <v>270.71152586553296</v>
      </c>
    </row>
    <row r="552" spans="1:5" ht="15">
      <c r="A552" s="11">
        <v>57922</v>
      </c>
      <c r="B552" s="4">
        <f>42.4015 * CHOOSE(CONTROL!$C$14, $C$14, 100%, $E$14) + CHOOSE(CONTROL!$C$33, 0.0304, 0)</f>
        <v>42.431899999999999</v>
      </c>
      <c r="C552" s="4">
        <f>42.0383 * CHOOSE(CONTROL!$C$14, $C$14, 100%, $E$14) + CHOOSE(CONTROL!$C$33, 0.0304, 0)</f>
        <v>42.0687</v>
      </c>
      <c r="D552" s="4">
        <f>55.507 * CHOOSE(CONTROL!$C$14, $C$14, 100%, $E$14) + CHOOSE(CONTROL!$C$33, 0.0021, 0)</f>
        <v>55.509099999999997</v>
      </c>
      <c r="E552" s="4">
        <f>270.623322358579 * CHOOSE(CONTROL!$C$14, $C$14, 100%, $E$14) + CHOOSE(CONTROL!$C$33, 0.0021, 0)</f>
        <v>270.62542235857899</v>
      </c>
    </row>
    <row r="553" spans="1:5" ht="15">
      <c r="A553" s="11">
        <v>57953</v>
      </c>
      <c r="B553" s="4">
        <f>43.3982 * CHOOSE(CONTROL!$C$14, $C$14, 100%, $E$14) + CHOOSE(CONTROL!$C$33, 0.0304, 0)</f>
        <v>43.428600000000003</v>
      </c>
      <c r="C553" s="4">
        <f>43.0349 * CHOOSE(CONTROL!$C$14, $C$14, 100%, $E$14) + CHOOSE(CONTROL!$C$33, 0.0304, 0)</f>
        <v>43.065300000000001</v>
      </c>
      <c r="D553" s="4">
        <f>54.9319 * CHOOSE(CONTROL!$C$14, $C$14, 100%, $E$14) + CHOOSE(CONTROL!$C$33, 0.0021, 0)</f>
        <v>54.933999999999997</v>
      </c>
      <c r="E553" s="4">
        <f>277.102611256919 * CHOOSE(CONTROL!$C$14, $C$14, 100%, $E$14) + CHOOSE(CONTROL!$C$33, 0.0021, 0)</f>
        <v>277.10471125691896</v>
      </c>
    </row>
    <row r="554" spans="1:5" ht="15">
      <c r="A554" s="11">
        <v>57983</v>
      </c>
      <c r="B554" s="4">
        <f>41.6996 * CHOOSE(CONTROL!$C$14, $C$14, 100%, $E$14) + CHOOSE(CONTROL!$C$33, 0.0304, 0)</f>
        <v>41.73</v>
      </c>
      <c r="C554" s="4">
        <f>41.3363 * CHOOSE(CONTROL!$C$14, $C$14, 100%, $E$14) + CHOOSE(CONTROL!$C$33, 0.0304, 0)</f>
        <v>41.366700000000002</v>
      </c>
      <c r="D554" s="4">
        <f>54.6601 * CHOOSE(CONTROL!$C$14, $C$14, 100%, $E$14) + CHOOSE(CONTROL!$C$33, 0.0021, 0)</f>
        <v>54.662199999999999</v>
      </c>
      <c r="E554" s="4">
        <f>266.05983648998 * CHOOSE(CONTROL!$C$14, $C$14, 100%, $E$14) + CHOOSE(CONTROL!$C$33, 0.0021, 0)</f>
        <v>266.06193648997998</v>
      </c>
    </row>
    <row r="555" spans="1:5" ht="15">
      <c r="A555" s="11">
        <v>58014</v>
      </c>
      <c r="B555" s="4">
        <f>40.3398 * CHOOSE(CONTROL!$C$14, $C$14, 100%, $E$14) + CHOOSE(CONTROL!$C$33, 0.0272, 0)</f>
        <v>40.366999999999997</v>
      </c>
      <c r="C555" s="4">
        <f>39.9765 * CHOOSE(CONTROL!$C$14, $C$14, 100%, $E$14) + CHOOSE(CONTROL!$C$33, 0.0272, 0)</f>
        <v>40.003700000000002</v>
      </c>
      <c r="D555" s="4">
        <f>53.9325 * CHOOSE(CONTROL!$C$14, $C$14, 100%, $E$14) + CHOOSE(CONTROL!$C$33, 0.0021, 0)</f>
        <v>53.934599999999996</v>
      </c>
      <c r="E555" s="4">
        <f>257.219876442633 * CHOOSE(CONTROL!$C$14, $C$14, 100%, $E$14) + CHOOSE(CONTROL!$C$33, 0.0021, 0)</f>
        <v>257.22197644263298</v>
      </c>
    </row>
    <row r="556" spans="1:5" ht="15">
      <c r="A556" s="11">
        <v>58044</v>
      </c>
      <c r="B556" s="4">
        <f>39.464 * CHOOSE(CONTROL!$C$14, $C$14, 100%, $E$14) + CHOOSE(CONTROL!$C$33, 0.0272, 0)</f>
        <v>39.491199999999999</v>
      </c>
      <c r="C556" s="4">
        <f>39.1007 * CHOOSE(CONTROL!$C$14, $C$14, 100%, $E$14) + CHOOSE(CONTROL!$C$33, 0.0272, 0)</f>
        <v>39.127900000000004</v>
      </c>
      <c r="D556" s="4">
        <f>53.6823 * CHOOSE(CONTROL!$C$14, $C$14, 100%, $E$14) + CHOOSE(CONTROL!$C$33, 0.0021, 0)</f>
        <v>53.684399999999997</v>
      </c>
      <c r="E556" s="4">
        <f>251.526282045254 * CHOOSE(CONTROL!$C$14, $C$14, 100%, $E$14) + CHOOSE(CONTROL!$C$33, 0.0021, 0)</f>
        <v>251.52838204525401</v>
      </c>
    </row>
    <row r="557" spans="1:5" ht="15">
      <c r="A557" s="11">
        <v>58075</v>
      </c>
      <c r="B557" s="4">
        <f>38.858 * CHOOSE(CONTROL!$C$14, $C$14, 100%, $E$14) + CHOOSE(CONTROL!$C$33, 0.0272, 0)</f>
        <v>38.885199999999998</v>
      </c>
      <c r="C557" s="4">
        <f>38.4947 * CHOOSE(CONTROL!$C$14, $C$14, 100%, $E$14) + CHOOSE(CONTROL!$C$33, 0.0272, 0)</f>
        <v>38.521900000000002</v>
      </c>
      <c r="D557" s="4">
        <f>51.8406 * CHOOSE(CONTROL!$C$14, $C$14, 100%, $E$14) + CHOOSE(CONTROL!$C$33, 0.0021, 0)</f>
        <v>51.842700000000001</v>
      </c>
      <c r="E557" s="4">
        <f>247.587046602077 * CHOOSE(CONTROL!$C$14, $C$14, 100%, $E$14) + CHOOSE(CONTROL!$C$33, 0.0021, 0)</f>
        <v>247.58914660207702</v>
      </c>
    </row>
    <row r="558" spans="1:5" ht="15">
      <c r="A558" s="11">
        <v>58106</v>
      </c>
      <c r="B558" s="4">
        <f>37.2699 * CHOOSE(CONTROL!$C$14, $C$14, 100%, $E$14) + CHOOSE(CONTROL!$C$33, 0.0272, 0)</f>
        <v>37.2971</v>
      </c>
      <c r="C558" s="4">
        <f>36.9066 * CHOOSE(CONTROL!$C$14, $C$14, 100%, $E$14) + CHOOSE(CONTROL!$C$33, 0.0272, 0)</f>
        <v>36.933799999999998</v>
      </c>
      <c r="D558" s="4">
        <f>49.7202 * CHOOSE(CONTROL!$C$14, $C$14, 100%, $E$14) + CHOOSE(CONTROL!$C$33, 0.0021, 0)</f>
        <v>49.722299999999997</v>
      </c>
      <c r="E558" s="4">
        <f>237.27404006339 * CHOOSE(CONTROL!$C$14, $C$14, 100%, $E$14) + CHOOSE(CONTROL!$C$33, 0.0021, 0)</f>
        <v>237.27614006339002</v>
      </c>
    </row>
    <row r="559" spans="1:5" ht="15">
      <c r="A559" s="11">
        <v>58134</v>
      </c>
      <c r="B559" s="4">
        <f>38.1364 * CHOOSE(CONTROL!$C$14, $C$14, 100%, $E$14) + CHOOSE(CONTROL!$C$33, 0.0272, 0)</f>
        <v>38.163600000000002</v>
      </c>
      <c r="C559" s="4">
        <f>37.7731 * CHOOSE(CONTROL!$C$14, $C$14, 100%, $E$14) + CHOOSE(CONTROL!$C$33, 0.0272, 0)</f>
        <v>37.8003</v>
      </c>
      <c r="D559" s="4">
        <f>51.4097 * CHOOSE(CONTROL!$C$14, $C$14, 100%, $E$14) + CHOOSE(CONTROL!$C$33, 0.0021, 0)</f>
        <v>51.411799999999999</v>
      </c>
      <c r="E559" s="4">
        <f>242.907860849999 * CHOOSE(CONTROL!$C$14, $C$14, 100%, $E$14) + CHOOSE(CONTROL!$C$33, 0.0021, 0)</f>
        <v>242.90996084999901</v>
      </c>
    </row>
    <row r="560" spans="1:5" ht="15">
      <c r="A560" s="11">
        <v>58165</v>
      </c>
      <c r="B560" s="4">
        <f>40.4121 * CHOOSE(CONTROL!$C$14, $C$14, 100%, $E$14) + CHOOSE(CONTROL!$C$33, 0.0272, 0)</f>
        <v>40.439300000000003</v>
      </c>
      <c r="C560" s="4">
        <f>40.0488 * CHOOSE(CONTROL!$C$14, $C$14, 100%, $E$14) + CHOOSE(CONTROL!$C$33, 0.0272, 0)</f>
        <v>40.076000000000001</v>
      </c>
      <c r="D560" s="4">
        <f>54.0544 * CHOOSE(CONTROL!$C$14, $C$14, 100%, $E$14) + CHOOSE(CONTROL!$C$33, 0.0021, 0)</f>
        <v>54.0565</v>
      </c>
      <c r="E560" s="4">
        <f>257.702573635055 * CHOOSE(CONTROL!$C$14, $C$14, 100%, $E$14) + CHOOSE(CONTROL!$C$33, 0.0021, 0)</f>
        <v>257.70467363505497</v>
      </c>
    </row>
    <row r="561" spans="1:5" ht="15">
      <c r="A561" s="11">
        <v>58195</v>
      </c>
      <c r="B561" s="4">
        <f>42.029 * CHOOSE(CONTROL!$C$14, $C$14, 100%, $E$14) + CHOOSE(CONTROL!$C$33, 0.0272, 0)</f>
        <v>42.056200000000004</v>
      </c>
      <c r="C561" s="4">
        <f>41.6657 * CHOOSE(CONTROL!$C$14, $C$14, 100%, $E$14) + CHOOSE(CONTROL!$C$33, 0.0272, 0)</f>
        <v>41.692900000000002</v>
      </c>
      <c r="D561" s="4">
        <f>55.5778 * CHOOSE(CONTROL!$C$14, $C$14, 100%, $E$14) + CHOOSE(CONTROL!$C$33, 0.0021, 0)</f>
        <v>55.579900000000002</v>
      </c>
      <c r="E561" s="4">
        <f>268.214414234309 * CHOOSE(CONTROL!$C$14, $C$14, 100%, $E$14) + CHOOSE(CONTROL!$C$33, 0.0021, 0)</f>
        <v>268.21651423430899</v>
      </c>
    </row>
    <row r="562" spans="1:5" ht="15">
      <c r="A562" s="11">
        <v>58226</v>
      </c>
      <c r="B562" s="4">
        <f>43.0168 * CHOOSE(CONTROL!$C$14, $C$14, 100%, $E$14) + CHOOSE(CONTROL!$C$33, 0.0304, 0)</f>
        <v>43.047200000000004</v>
      </c>
      <c r="C562" s="4">
        <f>42.6536 * CHOOSE(CONTROL!$C$14, $C$14, 100%, $E$14) + CHOOSE(CONTROL!$C$33, 0.0304, 0)</f>
        <v>42.683999999999997</v>
      </c>
      <c r="D562" s="4">
        <f>54.9758 * CHOOSE(CONTROL!$C$14, $C$14, 100%, $E$14) + CHOOSE(CONTROL!$C$33, 0.0021, 0)</f>
        <v>54.977899999999998</v>
      </c>
      <c r="E562" s="4">
        <f>274.636896906795 * CHOOSE(CONTROL!$C$14, $C$14, 100%, $E$14) + CHOOSE(CONTROL!$C$33, 0.0021, 0)</f>
        <v>274.638996906795</v>
      </c>
    </row>
    <row r="563" spans="1:5" ht="15">
      <c r="A563" s="11">
        <v>58256</v>
      </c>
      <c r="B563" s="4">
        <f>43.1505 * CHOOSE(CONTROL!$C$14, $C$14, 100%, $E$14) + CHOOSE(CONTROL!$C$33, 0.0304, 0)</f>
        <v>43.180900000000001</v>
      </c>
      <c r="C563" s="4">
        <f>42.7872 * CHOOSE(CONTROL!$C$14, $C$14, 100%, $E$14) + CHOOSE(CONTROL!$C$33, 0.0304, 0)</f>
        <v>42.817599999999999</v>
      </c>
      <c r="D563" s="4">
        <f>55.4661 * CHOOSE(CONTROL!$C$14, $C$14, 100%, $E$14) + CHOOSE(CONTROL!$C$33, 0.0021, 0)</f>
        <v>55.468199999999996</v>
      </c>
      <c r="E563" s="4">
        <f>275.505885466233 * CHOOSE(CONTROL!$C$14, $C$14, 100%, $E$14) + CHOOSE(CONTROL!$C$33, 0.0021, 0)</f>
        <v>275.50798546623298</v>
      </c>
    </row>
    <row r="564" spans="1:5" ht="15">
      <c r="A564" s="11">
        <v>58287</v>
      </c>
      <c r="B564" s="4">
        <f>43.137 * CHOOSE(CONTROL!$C$14, $C$14, 100%, $E$14) + CHOOSE(CONTROL!$C$33, 0.0304, 0)</f>
        <v>43.167400000000001</v>
      </c>
      <c r="C564" s="4">
        <f>42.7737 * CHOOSE(CONTROL!$C$14, $C$14, 100%, $E$14) + CHOOSE(CONTROL!$C$33, 0.0304, 0)</f>
        <v>42.804099999999998</v>
      </c>
      <c r="D564" s="4">
        <f>56.3508 * CHOOSE(CONTROL!$C$14, $C$14, 100%, $E$14) + CHOOSE(CONTROL!$C$33, 0.0021, 0)</f>
        <v>56.352899999999998</v>
      </c>
      <c r="E564" s="4">
        <f>275.418256367802 * CHOOSE(CONTROL!$C$14, $C$14, 100%, $E$14) + CHOOSE(CONTROL!$C$33, 0.0021, 0)</f>
        <v>275.42035636780196</v>
      </c>
    </row>
    <row r="565" spans="1:5" ht="15">
      <c r="A565" s="11">
        <v>58318</v>
      </c>
      <c r="B565" s="4">
        <f>44.1513 * CHOOSE(CONTROL!$C$14, $C$14, 100%, $E$14) + CHOOSE(CONTROL!$C$33, 0.0304, 0)</f>
        <v>44.181699999999999</v>
      </c>
      <c r="C565" s="4">
        <f>43.788 * CHOOSE(CONTROL!$C$14, $C$14, 100%, $E$14) + CHOOSE(CONTROL!$C$33, 0.0304, 0)</f>
        <v>43.818399999999997</v>
      </c>
      <c r="D565" s="4">
        <f>55.7665 * CHOOSE(CONTROL!$C$14, $C$14, 100%, $E$14) + CHOOSE(CONTROL!$C$33, 0.0021, 0)</f>
        <v>55.768599999999999</v>
      </c>
      <c r="E565" s="4">
        <f>282.012346024715 * CHOOSE(CONTROL!$C$14, $C$14, 100%, $E$14) + CHOOSE(CONTROL!$C$33, 0.0021, 0)</f>
        <v>282.01444602471497</v>
      </c>
    </row>
    <row r="566" spans="1:5" ht="15">
      <c r="A566" s="11">
        <v>58348</v>
      </c>
      <c r="B566" s="4">
        <f>42.4227 * CHOOSE(CONTROL!$C$14, $C$14, 100%, $E$14) + CHOOSE(CONTROL!$C$33, 0.0304, 0)</f>
        <v>42.453099999999999</v>
      </c>
      <c r="C566" s="4">
        <f>42.0594 * CHOOSE(CONTROL!$C$14, $C$14, 100%, $E$14) + CHOOSE(CONTROL!$C$33, 0.0304, 0)</f>
        <v>42.089799999999997</v>
      </c>
      <c r="D566" s="4">
        <f>55.4905 * CHOOSE(CONTROL!$C$14, $C$14, 100%, $E$14) + CHOOSE(CONTROL!$C$33, 0.0021, 0)</f>
        <v>55.492599999999996</v>
      </c>
      <c r="E566" s="4">
        <f>270.773914150973 * CHOOSE(CONTROL!$C$14, $C$14, 100%, $E$14) + CHOOSE(CONTROL!$C$33, 0.0021, 0)</f>
        <v>270.77601415097297</v>
      </c>
    </row>
    <row r="567" spans="1:5" ht="15">
      <c r="A567" s="11">
        <v>58379</v>
      </c>
      <c r="B567" s="4">
        <f>41.0388 * CHOOSE(CONTROL!$C$14, $C$14, 100%, $E$14) + CHOOSE(CONTROL!$C$33, 0.0272, 0)</f>
        <v>41.066000000000003</v>
      </c>
      <c r="C567" s="4">
        <f>40.6756 * CHOOSE(CONTROL!$C$14, $C$14, 100%, $E$14) + CHOOSE(CONTROL!$C$33, 0.0272, 0)</f>
        <v>40.702800000000003</v>
      </c>
      <c r="D567" s="4">
        <f>54.7514 * CHOOSE(CONTROL!$C$14, $C$14, 100%, $E$14) + CHOOSE(CONTROL!$C$33, 0.0021, 0)</f>
        <v>54.753499999999995</v>
      </c>
      <c r="E567" s="4">
        <f>261.777326712084 * CHOOSE(CONTROL!$C$14, $C$14, 100%, $E$14) + CHOOSE(CONTROL!$C$33, 0.0021, 0)</f>
        <v>261.77942671208399</v>
      </c>
    </row>
    <row r="568" spans="1:5" ht="15">
      <c r="A568" s="11">
        <v>58409</v>
      </c>
      <c r="B568" s="4">
        <f>40.1476 * CHOOSE(CONTROL!$C$14, $C$14, 100%, $E$14) + CHOOSE(CONTROL!$C$33, 0.0272, 0)</f>
        <v>40.174799999999998</v>
      </c>
      <c r="C568" s="4">
        <f>39.7843 * CHOOSE(CONTROL!$C$14, $C$14, 100%, $E$14) + CHOOSE(CONTROL!$C$33, 0.0272, 0)</f>
        <v>39.811500000000002</v>
      </c>
      <c r="D568" s="4">
        <f>54.4973 * CHOOSE(CONTROL!$C$14, $C$14, 100%, $E$14) + CHOOSE(CONTROL!$C$33, 0.0021, 0)</f>
        <v>54.499400000000001</v>
      </c>
      <c r="E568" s="4">
        <f>255.982852578352 * CHOOSE(CONTROL!$C$14, $C$14, 100%, $E$14) + CHOOSE(CONTROL!$C$33, 0.0021, 0)</f>
        <v>255.98495257835202</v>
      </c>
    </row>
    <row r="569" spans="1:5" ht="15">
      <c r="A569" s="11">
        <v>58440</v>
      </c>
      <c r="B569" s="4">
        <f>39.5309 * CHOOSE(CONTROL!$C$14, $C$14, 100%, $E$14) + CHOOSE(CONTROL!$C$33, 0.0272, 0)</f>
        <v>39.558100000000003</v>
      </c>
      <c r="C569" s="4">
        <f>39.1676 * CHOOSE(CONTROL!$C$14, $C$14, 100%, $E$14) + CHOOSE(CONTROL!$C$33, 0.0272, 0)</f>
        <v>39.194800000000001</v>
      </c>
      <c r="D569" s="4">
        <f>52.6267 * CHOOSE(CONTROL!$C$14, $C$14, 100%, $E$14) + CHOOSE(CONTROL!$C$33, 0.0021, 0)</f>
        <v>52.628799999999998</v>
      </c>
      <c r="E569" s="4">
        <f>251.973821325146 * CHOOSE(CONTROL!$C$14, $C$14, 100%, $E$14) + CHOOSE(CONTROL!$C$33, 0.0021, 0)</f>
        <v>251.975921325146</v>
      </c>
    </row>
    <row r="570" spans="1:5" ht="15">
      <c r="A570" s="11">
        <v>58471</v>
      </c>
      <c r="B570" s="4">
        <f>37.9147 * CHOOSE(CONTROL!$C$14, $C$14, 100%, $E$14) + CHOOSE(CONTROL!$C$33, 0.0272, 0)</f>
        <v>37.941900000000004</v>
      </c>
      <c r="C570" s="4">
        <f>37.5514 * CHOOSE(CONTROL!$C$14, $C$14, 100%, $E$14) + CHOOSE(CONTROL!$C$33, 0.0272, 0)</f>
        <v>37.578600000000002</v>
      </c>
      <c r="D570" s="4">
        <f>50.4729 * CHOOSE(CONTROL!$C$14, $C$14, 100%, $E$14) + CHOOSE(CONTROL!$C$33, 0.0021, 0)</f>
        <v>50.475000000000001</v>
      </c>
      <c r="E570" s="4">
        <f>241.478087793978 * CHOOSE(CONTROL!$C$14, $C$14, 100%, $E$14) + CHOOSE(CONTROL!$C$33, 0.0021, 0)</f>
        <v>241.48018779397802</v>
      </c>
    </row>
    <row r="571" spans="1:5" ht="15">
      <c r="A571" s="11">
        <v>58499</v>
      </c>
      <c r="B571" s="4">
        <f>38.7966 * CHOOSE(CONTROL!$C$14, $C$14, 100%, $E$14) + CHOOSE(CONTROL!$C$33, 0.0272, 0)</f>
        <v>38.823799999999999</v>
      </c>
      <c r="C571" s="4">
        <f>38.4333 * CHOOSE(CONTROL!$C$14, $C$14, 100%, $E$14) + CHOOSE(CONTROL!$C$33, 0.0272, 0)</f>
        <v>38.460500000000003</v>
      </c>
      <c r="D571" s="4">
        <f>52.189 * CHOOSE(CONTROL!$C$14, $C$14, 100%, $E$14) + CHOOSE(CONTROL!$C$33, 0.0021, 0)</f>
        <v>52.191099999999999</v>
      </c>
      <c r="E571" s="4">
        <f>247.211729241483 * CHOOSE(CONTROL!$C$14, $C$14, 100%, $E$14) + CHOOSE(CONTROL!$C$33, 0.0021, 0)</f>
        <v>247.21382924148301</v>
      </c>
    </row>
    <row r="572" spans="1:5" ht="15">
      <c r="A572" s="11">
        <v>58531</v>
      </c>
      <c r="B572" s="4">
        <f>41.1124 * CHOOSE(CONTROL!$C$14, $C$14, 100%, $E$14) + CHOOSE(CONTROL!$C$33, 0.0272, 0)</f>
        <v>41.139600000000002</v>
      </c>
      <c r="C572" s="4">
        <f>40.7491 * CHOOSE(CONTROL!$C$14, $C$14, 100%, $E$14) + CHOOSE(CONTROL!$C$33, 0.0272, 0)</f>
        <v>40.776299999999999</v>
      </c>
      <c r="D572" s="4">
        <f>54.8753 * CHOOSE(CONTROL!$C$14, $C$14, 100%, $E$14) + CHOOSE(CONTROL!$C$33, 0.0021, 0)</f>
        <v>54.877400000000002</v>
      </c>
      <c r="E572" s="4">
        <f>262.268576386842 * CHOOSE(CONTROL!$C$14, $C$14, 100%, $E$14) + CHOOSE(CONTROL!$C$33, 0.0021, 0)</f>
        <v>262.27067638684201</v>
      </c>
    </row>
    <row r="573" spans="1:5" ht="15">
      <c r="A573" s="11">
        <v>58561</v>
      </c>
      <c r="B573" s="4">
        <f>42.7579 * CHOOSE(CONTROL!$C$14, $C$14, 100%, $E$14) + CHOOSE(CONTROL!$C$33, 0.0272, 0)</f>
        <v>42.7851</v>
      </c>
      <c r="C573" s="4">
        <f>42.3946 * CHOOSE(CONTROL!$C$14, $C$14, 100%, $E$14) + CHOOSE(CONTROL!$C$33, 0.0272, 0)</f>
        <v>42.421799999999998</v>
      </c>
      <c r="D573" s="4">
        <f>56.4227 * CHOOSE(CONTROL!$C$14, $C$14, 100%, $E$14) + CHOOSE(CONTROL!$C$33, 0.0021, 0)</f>
        <v>56.424799999999998</v>
      </c>
      <c r="E573" s="4">
        <f>272.966666942491 * CHOOSE(CONTROL!$C$14, $C$14, 100%, $E$14) + CHOOSE(CONTROL!$C$33, 0.0021, 0)</f>
        <v>272.96876694249096</v>
      </c>
    </row>
    <row r="574" spans="1:5" ht="15">
      <c r="A574" s="11">
        <v>58592</v>
      </c>
      <c r="B574" s="4">
        <f>43.7632 * CHOOSE(CONTROL!$C$14, $C$14, 100%, $E$14) + CHOOSE(CONTROL!$C$33, 0.0304, 0)</f>
        <v>43.793599999999998</v>
      </c>
      <c r="C574" s="4">
        <f>43.3999 * CHOOSE(CONTROL!$C$14, $C$14, 100%, $E$14) + CHOOSE(CONTROL!$C$33, 0.0304, 0)</f>
        <v>43.430300000000003</v>
      </c>
      <c r="D574" s="4">
        <f>55.8112 * CHOOSE(CONTROL!$C$14, $C$14, 100%, $E$14) + CHOOSE(CONTROL!$C$33, 0.0021, 0)</f>
        <v>55.813299999999998</v>
      </c>
      <c r="E574" s="4">
        <f>279.502943874546 * CHOOSE(CONTROL!$C$14, $C$14, 100%, $E$14) + CHOOSE(CONTROL!$C$33, 0.0021, 0)</f>
        <v>279.505043874546</v>
      </c>
    </row>
    <row r="575" spans="1:5" ht="15">
      <c r="A575" s="11">
        <v>58622</v>
      </c>
      <c r="B575" s="4">
        <f>43.8992 * CHOOSE(CONTROL!$C$14, $C$14, 100%, $E$14) + CHOOSE(CONTROL!$C$33, 0.0304, 0)</f>
        <v>43.929600000000001</v>
      </c>
      <c r="C575" s="4">
        <f>43.536 * CHOOSE(CONTROL!$C$14, $C$14, 100%, $E$14) + CHOOSE(CONTROL!$C$33, 0.0304, 0)</f>
        <v>43.566400000000002</v>
      </c>
      <c r="D575" s="4">
        <f>56.3092 * CHOOSE(CONTROL!$C$14, $C$14, 100%, $E$14) + CHOOSE(CONTROL!$C$33, 0.0021, 0)</f>
        <v>56.311299999999996</v>
      </c>
      <c r="E575" s="4">
        <f>280.38732926956 * CHOOSE(CONTROL!$C$14, $C$14, 100%, $E$14) + CHOOSE(CONTROL!$C$33, 0.0021, 0)</f>
        <v>280.38942926955997</v>
      </c>
    </row>
    <row r="576" spans="1:5" ht="15">
      <c r="A576" s="11">
        <v>58653</v>
      </c>
      <c r="B576" s="4">
        <f>43.8855 * CHOOSE(CONTROL!$C$14, $C$14, 100%, $E$14) + CHOOSE(CONTROL!$C$33, 0.0304, 0)</f>
        <v>43.915900000000001</v>
      </c>
      <c r="C576" s="4">
        <f>43.5222 * CHOOSE(CONTROL!$C$14, $C$14, 100%, $E$14) + CHOOSE(CONTROL!$C$33, 0.0304, 0)</f>
        <v>43.552599999999998</v>
      </c>
      <c r="D576" s="4">
        <f>57.2078 * CHOOSE(CONTROL!$C$14, $C$14, 100%, $E$14) + CHOOSE(CONTROL!$C$33, 0.0021, 0)</f>
        <v>57.209899999999998</v>
      </c>
      <c r="E576" s="4">
        <f>280.298147549055 * CHOOSE(CONTROL!$C$14, $C$14, 100%, $E$14) + CHOOSE(CONTROL!$C$33, 0.0021, 0)</f>
        <v>280.30024754905497</v>
      </c>
    </row>
    <row r="577" spans="1:5" ht="15">
      <c r="A577" s="11">
        <v>58684</v>
      </c>
      <c r="B577" s="4">
        <f>44.9177 * CHOOSE(CONTROL!$C$14, $C$14, 100%, $E$14) + CHOOSE(CONTROL!$C$33, 0.0304, 0)</f>
        <v>44.948100000000004</v>
      </c>
      <c r="C577" s="4">
        <f>44.5544 * CHOOSE(CONTROL!$C$14, $C$14, 100%, $E$14) + CHOOSE(CONTROL!$C$33, 0.0304, 0)</f>
        <v>44.584800000000001</v>
      </c>
      <c r="D577" s="4">
        <f>56.6143 * CHOOSE(CONTROL!$C$14, $C$14, 100%, $E$14) + CHOOSE(CONTROL!$C$33, 0.0021, 0)</f>
        <v>56.616399999999999</v>
      </c>
      <c r="E577" s="4">
        <f>287.0090720171 * CHOOSE(CONTROL!$C$14, $C$14, 100%, $E$14) + CHOOSE(CONTROL!$C$33, 0.0021, 0)</f>
        <v>287.01117201709997</v>
      </c>
    </row>
    <row r="578" spans="1:5" ht="15">
      <c r="A578" s="11">
        <v>58714</v>
      </c>
      <c r="B578" s="4">
        <f>43.1585 * CHOOSE(CONTROL!$C$14, $C$14, 100%, $E$14) + CHOOSE(CONTROL!$C$33, 0.0304, 0)</f>
        <v>43.188899999999997</v>
      </c>
      <c r="C578" s="4">
        <f>42.7952 * CHOOSE(CONTROL!$C$14, $C$14, 100%, $E$14) + CHOOSE(CONTROL!$C$33, 0.0304, 0)</f>
        <v>42.825600000000001</v>
      </c>
      <c r="D578" s="4">
        <f>56.334 * CHOOSE(CONTROL!$C$14, $C$14, 100%, $E$14) + CHOOSE(CONTROL!$C$33, 0.0021, 0)</f>
        <v>56.336100000000002</v>
      </c>
      <c r="E578" s="4">
        <f>275.571516362259 * CHOOSE(CONTROL!$C$14, $C$14, 100%, $E$14) + CHOOSE(CONTROL!$C$33, 0.0021, 0)</f>
        <v>275.57361636225897</v>
      </c>
    </row>
    <row r="579" spans="1:5" ht="15">
      <c r="A579" s="11">
        <v>58745</v>
      </c>
      <c r="B579" s="4">
        <f>41.7503 * CHOOSE(CONTROL!$C$14, $C$14, 100%, $E$14) + CHOOSE(CONTROL!$C$33, 0.0272, 0)</f>
        <v>41.777500000000003</v>
      </c>
      <c r="C579" s="4">
        <f>41.387 * CHOOSE(CONTROL!$C$14, $C$14, 100%, $E$14) + CHOOSE(CONTROL!$C$33, 0.0272, 0)</f>
        <v>41.414200000000001</v>
      </c>
      <c r="D579" s="4">
        <f>55.5833 * CHOOSE(CONTROL!$C$14, $C$14, 100%, $E$14) + CHOOSE(CONTROL!$C$33, 0.0021, 0)</f>
        <v>55.5854</v>
      </c>
      <c r="E579" s="4">
        <f>266.415526390352 * CHOOSE(CONTROL!$C$14, $C$14, 100%, $E$14) + CHOOSE(CONTROL!$C$33, 0.0021, 0)</f>
        <v>266.41762639035198</v>
      </c>
    </row>
    <row r="580" spans="1:5" ht="15">
      <c r="A580" s="11">
        <v>58775</v>
      </c>
      <c r="B580" s="4">
        <f>40.8432 * CHOOSE(CONTROL!$C$14, $C$14, 100%, $E$14) + CHOOSE(CONTROL!$C$33, 0.0272, 0)</f>
        <v>40.870400000000004</v>
      </c>
      <c r="C580" s="4">
        <f>40.48 * CHOOSE(CONTROL!$C$14, $C$14, 100%, $E$14) + CHOOSE(CONTROL!$C$33, 0.0272, 0)</f>
        <v>40.507199999999997</v>
      </c>
      <c r="D580" s="4">
        <f>55.3252 * CHOOSE(CONTROL!$C$14, $C$14, 100%, $E$14) + CHOOSE(CONTROL!$C$33, 0.0021, 0)</f>
        <v>55.327300000000001</v>
      </c>
      <c r="E580" s="4">
        <f>260.51838512192 * CHOOSE(CONTROL!$C$14, $C$14, 100%, $E$14) + CHOOSE(CONTROL!$C$33, 0.0021, 0)</f>
        <v>260.52048512191999</v>
      </c>
    </row>
    <row r="581" spans="1:5" ht="15">
      <c r="A581" s="11">
        <v>58806</v>
      </c>
      <c r="B581" s="4">
        <f>40.2157 * CHOOSE(CONTROL!$C$14, $C$14, 100%, $E$14) + CHOOSE(CONTROL!$C$33, 0.0272, 0)</f>
        <v>40.242899999999999</v>
      </c>
      <c r="C581" s="4">
        <f>39.8524 * CHOOSE(CONTROL!$C$14, $C$14, 100%, $E$14) + CHOOSE(CONTROL!$C$33, 0.0272, 0)</f>
        <v>39.879600000000003</v>
      </c>
      <c r="D581" s="4">
        <f>53.4251 * CHOOSE(CONTROL!$C$14, $C$14, 100%, $E$14) + CHOOSE(CONTROL!$C$33, 0.0021, 0)</f>
        <v>53.427199999999999</v>
      </c>
      <c r="E581" s="4">
        <f>256.438321408789 * CHOOSE(CONTROL!$C$14, $C$14, 100%, $E$14) + CHOOSE(CONTROL!$C$33, 0.0021, 0)</f>
        <v>256.44042140878901</v>
      </c>
    </row>
    <row r="582" spans="1:5" ht="15">
      <c r="A582" s="11">
        <v>58837</v>
      </c>
      <c r="B582" s="4">
        <f>38.5709 * CHOOSE(CONTROL!$C$14, $C$14, 100%, $E$14) + CHOOSE(CONTROL!$C$33, 0.0272, 0)</f>
        <v>38.598100000000002</v>
      </c>
      <c r="C582" s="4">
        <f>38.2076 * CHOOSE(CONTROL!$C$14, $C$14, 100%, $E$14) + CHOOSE(CONTROL!$C$33, 0.0272, 0)</f>
        <v>38.2348</v>
      </c>
      <c r="D582" s="4">
        <f>51.2375 * CHOOSE(CONTROL!$C$14, $C$14, 100%, $E$14) + CHOOSE(CONTROL!$C$33, 0.0021, 0)</f>
        <v>51.239599999999996</v>
      </c>
      <c r="E582" s="4">
        <f>245.756623308043 * CHOOSE(CONTROL!$C$14, $C$14, 100%, $E$14) + CHOOSE(CONTROL!$C$33, 0.0021, 0)</f>
        <v>245.75872330804302</v>
      </c>
    </row>
    <row r="583" spans="1:5" ht="15">
      <c r="A583" s="11">
        <v>58865</v>
      </c>
      <c r="B583" s="4">
        <f>39.4684 * CHOOSE(CONTROL!$C$14, $C$14, 100%, $E$14) + CHOOSE(CONTROL!$C$33, 0.0272, 0)</f>
        <v>39.495600000000003</v>
      </c>
      <c r="C583" s="4">
        <f>39.1051 * CHOOSE(CONTROL!$C$14, $C$14, 100%, $E$14) + CHOOSE(CONTROL!$C$33, 0.0272, 0)</f>
        <v>39.132300000000001</v>
      </c>
      <c r="D583" s="4">
        <f>52.9805 * CHOOSE(CONTROL!$C$14, $C$14, 100%, $E$14) + CHOOSE(CONTROL!$C$33, 0.0021, 0)</f>
        <v>52.982599999999998</v>
      </c>
      <c r="E583" s="4">
        <f>251.591854049973 * CHOOSE(CONTROL!$C$14, $C$14, 100%, $E$14) + CHOOSE(CONTROL!$C$33, 0.0021, 0)</f>
        <v>251.59395404997301</v>
      </c>
    </row>
    <row r="584" spans="1:5" ht="15">
      <c r="A584" s="11">
        <v>58893</v>
      </c>
      <c r="B584" s="4">
        <f>41.8252 * CHOOSE(CONTROL!$C$14, $C$14, 100%, $E$14) + CHOOSE(CONTROL!$C$33, 0.0272, 0)</f>
        <v>41.852400000000003</v>
      </c>
      <c r="C584" s="4">
        <f>41.4619 * CHOOSE(CONTROL!$C$14, $C$14, 100%, $E$14) + CHOOSE(CONTROL!$C$33, 0.0272, 0)</f>
        <v>41.489100000000001</v>
      </c>
      <c r="D584" s="4">
        <f>55.7091 * CHOOSE(CONTROL!$C$14, $C$14, 100%, $E$14) + CHOOSE(CONTROL!$C$33, 0.0021, 0)</f>
        <v>55.711199999999998</v>
      </c>
      <c r="E584" s="4">
        <f>266.915480081275 * CHOOSE(CONTROL!$C$14, $C$14, 100%, $E$14) + CHOOSE(CONTROL!$C$33, 0.0021, 0)</f>
        <v>266.91758008127499</v>
      </c>
    </row>
    <row r="585" spans="1:5" ht="15">
      <c r="A585" s="11">
        <v>58926</v>
      </c>
      <c r="B585" s="4">
        <f>43.4997 * CHOOSE(CONTROL!$C$14, $C$14, 100%, $E$14) + CHOOSE(CONTROL!$C$33, 0.0272, 0)</f>
        <v>43.526899999999998</v>
      </c>
      <c r="C585" s="4">
        <f>43.1364 * CHOOSE(CONTROL!$C$14, $C$14, 100%, $E$14) + CHOOSE(CONTROL!$C$33, 0.0272, 0)</f>
        <v>43.163600000000002</v>
      </c>
      <c r="D585" s="4">
        <f>57.2808 * CHOOSE(CONTROL!$C$14, $C$14, 100%, $E$14) + CHOOSE(CONTROL!$C$33, 0.0021, 0)</f>
        <v>57.282899999999998</v>
      </c>
      <c r="E585" s="4">
        <f>277.803120590683 * CHOOSE(CONTROL!$C$14, $C$14, 100%, $E$14) + CHOOSE(CONTROL!$C$33, 0.0021, 0)</f>
        <v>277.80522059068301</v>
      </c>
    </row>
    <row r="586" spans="1:5" ht="15">
      <c r="A586" s="11">
        <v>58957</v>
      </c>
      <c r="B586" s="4">
        <f>44.5228 * CHOOSE(CONTROL!$C$14, $C$14, 100%, $E$14) + CHOOSE(CONTROL!$C$33, 0.0304, 0)</f>
        <v>44.553199999999997</v>
      </c>
      <c r="C586" s="4">
        <f>44.1595 * CHOOSE(CONTROL!$C$14, $C$14, 100%, $E$14) + CHOOSE(CONTROL!$C$33, 0.0304, 0)</f>
        <v>44.189900000000002</v>
      </c>
      <c r="D586" s="4">
        <f>56.6597 * CHOOSE(CONTROL!$C$14, $C$14, 100%, $E$14) + CHOOSE(CONTROL!$C$33, 0.0021, 0)</f>
        <v>56.661799999999999</v>
      </c>
      <c r="E586" s="4">
        <f>284.455208001606 * CHOOSE(CONTROL!$C$14, $C$14, 100%, $E$14) + CHOOSE(CONTROL!$C$33, 0.0021, 0)</f>
        <v>284.45730800160601</v>
      </c>
    </row>
    <row r="587" spans="1:5" ht="15">
      <c r="A587" s="11">
        <v>58987</v>
      </c>
      <c r="B587" s="4">
        <f>44.6612 * CHOOSE(CONTROL!$C$14, $C$14, 100%, $E$14) + CHOOSE(CONTROL!$C$33, 0.0304, 0)</f>
        <v>44.691600000000001</v>
      </c>
      <c r="C587" s="4">
        <f>44.2979 * CHOOSE(CONTROL!$C$14, $C$14, 100%, $E$14) + CHOOSE(CONTROL!$C$33, 0.0304, 0)</f>
        <v>44.328299999999999</v>
      </c>
      <c r="D587" s="4">
        <f>57.1655 * CHOOSE(CONTROL!$C$14, $C$14, 100%, $E$14) + CHOOSE(CONTROL!$C$33, 0.0021, 0)</f>
        <v>57.1676</v>
      </c>
      <c r="E587" s="4">
        <f>285.355263035034 * CHOOSE(CONTROL!$C$14, $C$14, 100%, $E$14) + CHOOSE(CONTROL!$C$33, 0.0021, 0)</f>
        <v>285.35736303503398</v>
      </c>
    </row>
    <row r="588" spans="1:5" ht="15">
      <c r="A588" s="11">
        <v>59018</v>
      </c>
      <c r="B588" s="4">
        <f>44.6472 * CHOOSE(CONTROL!$C$14, $C$14, 100%, $E$14) + CHOOSE(CONTROL!$C$33, 0.0304, 0)</f>
        <v>44.677599999999998</v>
      </c>
      <c r="C588" s="4">
        <f>44.284 * CHOOSE(CONTROL!$C$14, $C$14, 100%, $E$14) + CHOOSE(CONTROL!$C$33, 0.0304, 0)</f>
        <v>44.314399999999999</v>
      </c>
      <c r="D588" s="4">
        <f>58.0782 * CHOOSE(CONTROL!$C$14, $C$14, 100%, $E$14) + CHOOSE(CONTROL!$C$33, 0.0021, 0)</f>
        <v>58.080300000000001</v>
      </c>
      <c r="E588" s="4">
        <f>285.264501182924 * CHOOSE(CONTROL!$C$14, $C$14, 100%, $E$14) + CHOOSE(CONTROL!$C$33, 0.0021, 0)</f>
        <v>285.26660118292398</v>
      </c>
    </row>
    <row r="589" spans="1:5" ht="15">
      <c r="A589" s="11">
        <v>59049</v>
      </c>
      <c r="B589" s="4">
        <f>45.6977 * CHOOSE(CONTROL!$C$14, $C$14, 100%, $E$14) + CHOOSE(CONTROL!$C$33, 0.0304, 0)</f>
        <v>45.728099999999998</v>
      </c>
      <c r="C589" s="4">
        <f>45.3344 * CHOOSE(CONTROL!$C$14, $C$14, 100%, $E$14) + CHOOSE(CONTROL!$C$33, 0.0304, 0)</f>
        <v>45.364800000000002</v>
      </c>
      <c r="D589" s="4">
        <f>57.4755 * CHOOSE(CONTROL!$C$14, $C$14, 100%, $E$14) + CHOOSE(CONTROL!$C$33, 0.0021, 0)</f>
        <v>57.477599999999995</v>
      </c>
      <c r="E589" s="4">
        <f>292.09433055423 * CHOOSE(CONTROL!$C$14, $C$14, 100%, $E$14) + CHOOSE(CONTROL!$C$33, 0.0021, 0)</f>
        <v>292.09643055422998</v>
      </c>
    </row>
    <row r="590" spans="1:5" ht="15">
      <c r="A590" s="11">
        <v>59079</v>
      </c>
      <c r="B590" s="4">
        <f>43.9074 * CHOOSE(CONTROL!$C$14, $C$14, 100%, $E$14) + CHOOSE(CONTROL!$C$33, 0.0304, 0)</f>
        <v>43.937800000000003</v>
      </c>
      <c r="C590" s="4">
        <f>43.5441 * CHOOSE(CONTROL!$C$14, $C$14, 100%, $E$14) + CHOOSE(CONTROL!$C$33, 0.0304, 0)</f>
        <v>43.5745</v>
      </c>
      <c r="D590" s="4">
        <f>57.1907 * CHOOSE(CONTROL!$C$14, $C$14, 100%, $E$14) + CHOOSE(CONTROL!$C$33, 0.0021, 0)</f>
        <v>57.192799999999998</v>
      </c>
      <c r="E590" s="4">
        <f>280.454123021074 * CHOOSE(CONTROL!$C$14, $C$14, 100%, $E$14) + CHOOSE(CONTROL!$C$33, 0.0021, 0)</f>
        <v>280.45622302107398</v>
      </c>
    </row>
    <row r="591" spans="1:5" ht="15">
      <c r="A591" s="11">
        <v>59110</v>
      </c>
      <c r="B591" s="4">
        <f>42.4743 * CHOOSE(CONTROL!$C$14, $C$14, 100%, $E$14) + CHOOSE(CONTROL!$C$33, 0.0272, 0)</f>
        <v>42.5015</v>
      </c>
      <c r="C591" s="4">
        <f>42.111 * CHOOSE(CONTROL!$C$14, $C$14, 100%, $E$14) + CHOOSE(CONTROL!$C$33, 0.0272, 0)</f>
        <v>42.138199999999998</v>
      </c>
      <c r="D591" s="4">
        <f>56.4282 * CHOOSE(CONTROL!$C$14, $C$14, 100%, $E$14) + CHOOSE(CONTROL!$C$33, 0.0021, 0)</f>
        <v>56.430299999999995</v>
      </c>
      <c r="E591" s="4">
        <f>271.135906204408 * CHOOSE(CONTROL!$C$14, $C$14, 100%, $E$14) + CHOOSE(CONTROL!$C$33, 0.0021, 0)</f>
        <v>271.13800620440799</v>
      </c>
    </row>
    <row r="592" spans="1:5" ht="15">
      <c r="A592" s="11">
        <v>59140</v>
      </c>
      <c r="B592" s="4">
        <f>41.5512 * CHOOSE(CONTROL!$C$14, $C$14, 100%, $E$14) + CHOOSE(CONTROL!$C$33, 0.0272, 0)</f>
        <v>41.578400000000002</v>
      </c>
      <c r="C592" s="4">
        <f>41.1879 * CHOOSE(CONTROL!$C$14, $C$14, 100%, $E$14) + CHOOSE(CONTROL!$C$33, 0.0272, 0)</f>
        <v>41.2151</v>
      </c>
      <c r="D592" s="4">
        <f>56.166 * CHOOSE(CONTROL!$C$14, $C$14, 100%, $E$14) + CHOOSE(CONTROL!$C$33, 0.0021, 0)</f>
        <v>56.168099999999995</v>
      </c>
      <c r="E592" s="4">
        <f>265.134278733609 * CHOOSE(CONTROL!$C$14, $C$14, 100%, $E$14) + CHOOSE(CONTROL!$C$33, 0.0021, 0)</f>
        <v>265.13637873360898</v>
      </c>
    </row>
    <row r="593" spans="1:5" ht="15">
      <c r="A593" s="11">
        <v>59171</v>
      </c>
      <c r="B593" s="4">
        <f>40.9126 * CHOOSE(CONTROL!$C$14, $C$14, 100%, $E$14) + CHOOSE(CONTROL!$C$33, 0.0272, 0)</f>
        <v>40.939799999999998</v>
      </c>
      <c r="C593" s="4">
        <f>40.5493 * CHOOSE(CONTROL!$C$14, $C$14, 100%, $E$14) + CHOOSE(CONTROL!$C$33, 0.0272, 0)</f>
        <v>40.576500000000003</v>
      </c>
      <c r="D593" s="4">
        <f>54.2361 * CHOOSE(CONTROL!$C$14, $C$14, 100%, $E$14) + CHOOSE(CONTROL!$C$33, 0.0021, 0)</f>
        <v>54.238199999999999</v>
      </c>
      <c r="E593" s="4">
        <f>260.981923999559 * CHOOSE(CONTROL!$C$14, $C$14, 100%, $E$14) + CHOOSE(CONTROL!$C$33, 0.0021, 0)</f>
        <v>260.98402399955899</v>
      </c>
    </row>
    <row r="594" spans="1:5" ht="15">
      <c r="A594" s="11">
        <v>59202</v>
      </c>
      <c r="B594" s="4">
        <f>39.2387 * CHOOSE(CONTROL!$C$14, $C$14, 100%, $E$14) + CHOOSE(CONTROL!$C$33, 0.0272, 0)</f>
        <v>39.265900000000002</v>
      </c>
      <c r="C594" s="4">
        <f>38.8754 * CHOOSE(CONTROL!$C$14, $C$14, 100%, $E$14) + CHOOSE(CONTROL!$C$33, 0.0272, 0)</f>
        <v>38.9026</v>
      </c>
      <c r="D594" s="4">
        <f>52.0141 * CHOOSE(CONTROL!$C$14, $C$14, 100%, $E$14) + CHOOSE(CONTROL!$C$33, 0.0021, 0)</f>
        <v>52.016199999999998</v>
      </c>
      <c r="E594" s="4">
        <f>250.110966388386 * CHOOSE(CONTROL!$C$14, $C$14, 100%, $E$14) + CHOOSE(CONTROL!$C$33, 0.0021, 0)</f>
        <v>250.11306638838602</v>
      </c>
    </row>
    <row r="595" spans="1:5" ht="15">
      <c r="A595" s="11">
        <v>59230</v>
      </c>
      <c r="B595" s="4">
        <f>40.152 * CHOOSE(CONTROL!$C$14, $C$14, 100%, $E$14) + CHOOSE(CONTROL!$C$33, 0.0272, 0)</f>
        <v>40.179200000000002</v>
      </c>
      <c r="C595" s="4">
        <f>39.7888 * CHOOSE(CONTROL!$C$14, $C$14, 100%, $E$14) + CHOOSE(CONTROL!$C$33, 0.0272, 0)</f>
        <v>39.816000000000003</v>
      </c>
      <c r="D595" s="4">
        <f>53.7845 * CHOOSE(CONTROL!$C$14, $C$14, 100%, $E$14) + CHOOSE(CONTROL!$C$33, 0.0021, 0)</f>
        <v>53.7866</v>
      </c>
      <c r="E595" s="4">
        <f>256.049586395115 * CHOOSE(CONTROL!$C$14, $C$14, 100%, $E$14) + CHOOSE(CONTROL!$C$33, 0.0021, 0)</f>
        <v>256.05168639511498</v>
      </c>
    </row>
    <row r="596" spans="1:5" ht="15">
      <c r="A596" s="11">
        <v>59261</v>
      </c>
      <c r="B596" s="4">
        <f>42.5505 * CHOOSE(CONTROL!$C$14, $C$14, 100%, $E$14) + CHOOSE(CONTROL!$C$33, 0.0272, 0)</f>
        <v>42.5777</v>
      </c>
      <c r="C596" s="4">
        <f>42.1872 * CHOOSE(CONTROL!$C$14, $C$14, 100%, $E$14) + CHOOSE(CONTROL!$C$33, 0.0272, 0)</f>
        <v>42.214399999999998</v>
      </c>
      <c r="D596" s="4">
        <f>56.556 * CHOOSE(CONTROL!$C$14, $C$14, 100%, $E$14) + CHOOSE(CONTROL!$C$33, 0.0021, 0)</f>
        <v>56.558099999999996</v>
      </c>
      <c r="E596" s="4">
        <f>271.644718130219 * CHOOSE(CONTROL!$C$14, $C$14, 100%, $E$14) + CHOOSE(CONTROL!$C$33, 0.0021, 0)</f>
        <v>271.646818130219</v>
      </c>
    </row>
    <row r="597" spans="1:5" ht="15">
      <c r="A597" s="11">
        <v>59291</v>
      </c>
      <c r="B597" s="4">
        <f>44.2546 * CHOOSE(CONTROL!$C$14, $C$14, 100%, $E$14) + CHOOSE(CONTROL!$C$33, 0.0272, 0)</f>
        <v>44.281800000000004</v>
      </c>
      <c r="C597" s="4">
        <f>43.8913 * CHOOSE(CONTROL!$C$14, $C$14, 100%, $E$14) + CHOOSE(CONTROL!$C$33, 0.0272, 0)</f>
        <v>43.918500000000002</v>
      </c>
      <c r="D597" s="4">
        <f>58.1524 * CHOOSE(CONTROL!$C$14, $C$14, 100%, $E$14) + CHOOSE(CONTROL!$C$33, 0.0021, 0)</f>
        <v>58.154499999999999</v>
      </c>
      <c r="E597" s="4">
        <f>282.725267060467 * CHOOSE(CONTROL!$C$14, $C$14, 100%, $E$14) + CHOOSE(CONTROL!$C$33, 0.0021, 0)</f>
        <v>282.72736706046697</v>
      </c>
    </row>
    <row r="598" spans="1:5" ht="15">
      <c r="A598" s="11">
        <v>59322</v>
      </c>
      <c r="B598" s="4">
        <f>45.2957 * CHOOSE(CONTROL!$C$14, $C$14, 100%, $E$14) + CHOOSE(CONTROL!$C$33, 0.0304, 0)</f>
        <v>45.326099999999997</v>
      </c>
      <c r="C598" s="4">
        <f>44.9325 * CHOOSE(CONTROL!$C$14, $C$14, 100%, $E$14) + CHOOSE(CONTROL!$C$33, 0.0304, 0)</f>
        <v>44.962899999999998</v>
      </c>
      <c r="D598" s="4">
        <f>57.5216 * CHOOSE(CONTROL!$C$14, $C$14, 100%, $E$14) + CHOOSE(CONTROL!$C$33, 0.0021, 0)</f>
        <v>57.523699999999998</v>
      </c>
      <c r="E598" s="4">
        <f>289.495216893154 * CHOOSE(CONTROL!$C$14, $C$14, 100%, $E$14) + CHOOSE(CONTROL!$C$33, 0.0021, 0)</f>
        <v>289.49731689315399</v>
      </c>
    </row>
    <row r="599" spans="1:5" ht="15">
      <c r="A599" s="11">
        <v>59352</v>
      </c>
      <c r="B599" s="4">
        <f>45.4366 * CHOOSE(CONTROL!$C$14, $C$14, 100%, $E$14) + CHOOSE(CONTROL!$C$33, 0.0304, 0)</f>
        <v>45.466999999999999</v>
      </c>
      <c r="C599" s="4">
        <f>45.0733 * CHOOSE(CONTROL!$C$14, $C$14, 100%, $E$14) + CHOOSE(CONTROL!$C$33, 0.0304, 0)</f>
        <v>45.103700000000003</v>
      </c>
      <c r="D599" s="4">
        <f>58.0353 * CHOOSE(CONTROL!$C$14, $C$14, 100%, $E$14) + CHOOSE(CONTROL!$C$33, 0.0021, 0)</f>
        <v>58.037399999999998</v>
      </c>
      <c r="E599" s="4">
        <f>290.411219201386 * CHOOSE(CONTROL!$C$14, $C$14, 100%, $E$14) + CHOOSE(CONTROL!$C$33, 0.0021, 0)</f>
        <v>290.413319201386</v>
      </c>
    </row>
    <row r="600" spans="1:5" ht="15">
      <c r="A600" s="11">
        <v>59383</v>
      </c>
      <c r="B600" s="4">
        <f>45.4224 * CHOOSE(CONTROL!$C$14, $C$14, 100%, $E$14) + CHOOSE(CONTROL!$C$33, 0.0304, 0)</f>
        <v>45.452800000000003</v>
      </c>
      <c r="C600" s="4">
        <f>45.0591 * CHOOSE(CONTROL!$C$14, $C$14, 100%, $E$14) + CHOOSE(CONTROL!$C$33, 0.0304, 0)</f>
        <v>45.089500000000001</v>
      </c>
      <c r="D600" s="4">
        <f>58.9624 * CHOOSE(CONTROL!$C$14, $C$14, 100%, $E$14) + CHOOSE(CONTROL!$C$33, 0.0021, 0)</f>
        <v>58.964500000000001</v>
      </c>
      <c r="E600" s="4">
        <f>290.318849220724 * CHOOSE(CONTROL!$C$14, $C$14, 100%, $E$14) + CHOOSE(CONTROL!$C$33, 0.0021, 0)</f>
        <v>290.320949220724</v>
      </c>
    </row>
    <row r="601" spans="1:5" ht="15">
      <c r="A601" s="11">
        <v>59414</v>
      </c>
      <c r="B601" s="4">
        <f>46.4914 * CHOOSE(CONTROL!$C$14, $C$14, 100%, $E$14) + CHOOSE(CONTROL!$C$33, 0.0304, 0)</f>
        <v>46.521799999999999</v>
      </c>
      <c r="C601" s="4">
        <f>46.1281 * CHOOSE(CONTROL!$C$14, $C$14, 100%, $E$14) + CHOOSE(CONTROL!$C$33, 0.0304, 0)</f>
        <v>46.158500000000004</v>
      </c>
      <c r="D601" s="4">
        <f>58.3502 * CHOOSE(CONTROL!$C$14, $C$14, 100%, $E$14) + CHOOSE(CONTROL!$C$33, 0.0021, 0)</f>
        <v>58.3523</v>
      </c>
      <c r="E601" s="4">
        <f>297.269690265541 * CHOOSE(CONTROL!$C$14, $C$14, 100%, $E$14) + CHOOSE(CONTROL!$C$33, 0.0021, 0)</f>
        <v>297.27179026554097</v>
      </c>
    </row>
    <row r="602" spans="1:5" ht="15">
      <c r="A602" s="11">
        <v>59444</v>
      </c>
      <c r="B602" s="4">
        <f>44.6695 * CHOOSE(CONTROL!$C$14, $C$14, 100%, $E$14) + CHOOSE(CONTROL!$C$33, 0.0304, 0)</f>
        <v>44.6999</v>
      </c>
      <c r="C602" s="4">
        <f>44.3062 * CHOOSE(CONTROL!$C$14, $C$14, 100%, $E$14) + CHOOSE(CONTROL!$C$33, 0.0304, 0)</f>
        <v>44.336599999999997</v>
      </c>
      <c r="D602" s="4">
        <f>58.0609 * CHOOSE(CONTROL!$C$14, $C$14, 100%, $E$14) + CHOOSE(CONTROL!$C$33, 0.0021, 0)</f>
        <v>58.062999999999995</v>
      </c>
      <c r="E602" s="4">
        <f>285.423240245637 * CHOOSE(CONTROL!$C$14, $C$14, 100%, $E$14) + CHOOSE(CONTROL!$C$33, 0.0021, 0)</f>
        <v>285.42534024563696</v>
      </c>
    </row>
    <row r="603" spans="1:5" ht="15">
      <c r="A603" s="11">
        <v>59475</v>
      </c>
      <c r="B603" s="4">
        <f>43.211 * CHOOSE(CONTROL!$C$14, $C$14, 100%, $E$14) + CHOOSE(CONTROL!$C$33, 0.0272, 0)</f>
        <v>43.238199999999999</v>
      </c>
      <c r="C603" s="4">
        <f>42.8478 * CHOOSE(CONTROL!$C$14, $C$14, 100%, $E$14) + CHOOSE(CONTROL!$C$33, 0.0272, 0)</f>
        <v>42.875</v>
      </c>
      <c r="D603" s="4">
        <f>57.2864 * CHOOSE(CONTROL!$C$14, $C$14, 100%, $E$14) + CHOOSE(CONTROL!$C$33, 0.0021, 0)</f>
        <v>57.288499999999999</v>
      </c>
      <c r="E603" s="4">
        <f>275.939922231003 * CHOOSE(CONTROL!$C$14, $C$14, 100%, $E$14) + CHOOSE(CONTROL!$C$33, 0.0021, 0)</f>
        <v>275.94202223100297</v>
      </c>
    </row>
    <row r="604" spans="1:5" ht="15">
      <c r="A604" s="11">
        <v>59505</v>
      </c>
      <c r="B604" s="4">
        <f>42.2717 * CHOOSE(CONTROL!$C$14, $C$14, 100%, $E$14) + CHOOSE(CONTROL!$C$33, 0.0272, 0)</f>
        <v>42.298900000000003</v>
      </c>
      <c r="C604" s="4">
        <f>41.9084 * CHOOSE(CONTROL!$C$14, $C$14, 100%, $E$14) + CHOOSE(CONTROL!$C$33, 0.0272, 0)</f>
        <v>41.935600000000001</v>
      </c>
      <c r="D604" s="4">
        <f>57.0201 * CHOOSE(CONTROL!$C$14, $C$14, 100%, $E$14) + CHOOSE(CONTROL!$C$33, 0.0021, 0)</f>
        <v>57.022199999999998</v>
      </c>
      <c r="E604" s="4">
        <f>269.831957259727 * CHOOSE(CONTROL!$C$14, $C$14, 100%, $E$14) + CHOOSE(CONTROL!$C$33, 0.0021, 0)</f>
        <v>269.83405725972699</v>
      </c>
    </row>
    <row r="605" spans="1:5" ht="15">
      <c r="A605" s="11">
        <v>59536</v>
      </c>
      <c r="B605" s="4">
        <f>41.6218 * CHOOSE(CONTROL!$C$14, $C$14, 100%, $E$14) + CHOOSE(CONTROL!$C$33, 0.0272, 0)</f>
        <v>41.649000000000001</v>
      </c>
      <c r="C605" s="4">
        <f>41.2585 * CHOOSE(CONTROL!$C$14, $C$14, 100%, $E$14) + CHOOSE(CONTROL!$C$33, 0.0272, 0)</f>
        <v>41.285699999999999</v>
      </c>
      <c r="D605" s="4">
        <f>55.0598 * CHOOSE(CONTROL!$C$14, $C$14, 100%, $E$14) + CHOOSE(CONTROL!$C$33, 0.0021, 0)</f>
        <v>55.061900000000001</v>
      </c>
      <c r="E605" s="4">
        <f>265.60603064444 * CHOOSE(CONTROL!$C$14, $C$14, 100%, $E$14) + CHOOSE(CONTROL!$C$33, 0.0021, 0)</f>
        <v>265.60813064444</v>
      </c>
    </row>
    <row r="606" spans="1:5" ht="15">
      <c r="A606" s="11">
        <v>59567</v>
      </c>
      <c r="B606" s="4">
        <f>39.9183 * CHOOSE(CONTROL!$C$14, $C$14, 100%, $E$14) + CHOOSE(CONTROL!$C$33, 0.0272, 0)</f>
        <v>39.945500000000003</v>
      </c>
      <c r="C606" s="4">
        <f>39.5551 * CHOOSE(CONTROL!$C$14, $C$14, 100%, $E$14) + CHOOSE(CONTROL!$C$33, 0.0272, 0)</f>
        <v>39.582300000000004</v>
      </c>
      <c r="D606" s="4">
        <f>52.8029 * CHOOSE(CONTROL!$C$14, $C$14, 100%, $E$14) + CHOOSE(CONTROL!$C$33, 0.0021, 0)</f>
        <v>52.805</v>
      </c>
      <c r="E606" s="4">
        <f>254.542460201866 * CHOOSE(CONTROL!$C$14, $C$14, 100%, $E$14) + CHOOSE(CONTROL!$C$33, 0.0021, 0)</f>
        <v>254.54456020186601</v>
      </c>
    </row>
    <row r="607" spans="1:5" ht="15">
      <c r="A607" s="11">
        <v>59595</v>
      </c>
      <c r="B607" s="4">
        <f>40.8478 * CHOOSE(CONTROL!$C$14, $C$14, 100%, $E$14) + CHOOSE(CONTROL!$C$33, 0.0272, 0)</f>
        <v>40.875</v>
      </c>
      <c r="C607" s="4">
        <f>40.4845 * CHOOSE(CONTROL!$C$14, $C$14, 100%, $E$14) + CHOOSE(CONTROL!$C$33, 0.0272, 0)</f>
        <v>40.511699999999998</v>
      </c>
      <c r="D607" s="4">
        <f>54.6011 * CHOOSE(CONTROL!$C$14, $C$14, 100%, $E$14) + CHOOSE(CONTROL!$C$33, 0.0021, 0)</f>
        <v>54.603200000000001</v>
      </c>
      <c r="E607" s="4">
        <f>260.586301335843 * CHOOSE(CONTROL!$C$14, $C$14, 100%, $E$14) + CHOOSE(CONTROL!$C$33, 0.0021, 0)</f>
        <v>260.588401335843</v>
      </c>
    </row>
    <row r="608" spans="1:5" ht="15">
      <c r="A608" s="11">
        <v>59626</v>
      </c>
      <c r="B608" s="4">
        <f>43.2886 * CHOOSE(CONTROL!$C$14, $C$14, 100%, $E$14) + CHOOSE(CONTROL!$C$33, 0.0272, 0)</f>
        <v>43.315800000000003</v>
      </c>
      <c r="C608" s="4">
        <f>42.9253 * CHOOSE(CONTROL!$C$14, $C$14, 100%, $E$14) + CHOOSE(CONTROL!$C$33, 0.0272, 0)</f>
        <v>42.952500000000001</v>
      </c>
      <c r="D608" s="4">
        <f>57.4162 * CHOOSE(CONTROL!$C$14, $C$14, 100%, $E$14) + CHOOSE(CONTROL!$C$33, 0.0021, 0)</f>
        <v>57.418300000000002</v>
      </c>
      <c r="E608" s="4">
        <f>276.45774934289 * CHOOSE(CONTROL!$C$14, $C$14, 100%, $E$14) + CHOOSE(CONTROL!$C$33, 0.0021, 0)</f>
        <v>276.45984934288998</v>
      </c>
    </row>
    <row r="609" spans="1:5" ht="15">
      <c r="A609" s="11">
        <v>59656</v>
      </c>
      <c r="B609" s="4">
        <f>45.0228 * CHOOSE(CONTROL!$C$14, $C$14, 100%, $E$14) + CHOOSE(CONTROL!$C$33, 0.0272, 0)</f>
        <v>45.05</v>
      </c>
      <c r="C609" s="4">
        <f>44.6595 * CHOOSE(CONTROL!$C$14, $C$14, 100%, $E$14) + CHOOSE(CONTROL!$C$33, 0.0272, 0)</f>
        <v>44.686700000000002</v>
      </c>
      <c r="D609" s="4">
        <f>59.0377 * CHOOSE(CONTROL!$C$14, $C$14, 100%, $E$14) + CHOOSE(CONTROL!$C$33, 0.0021, 0)</f>
        <v>59.0398</v>
      </c>
      <c r="E609" s="4">
        <f>287.734624666752 * CHOOSE(CONTROL!$C$14, $C$14, 100%, $E$14) + CHOOSE(CONTROL!$C$33, 0.0021, 0)</f>
        <v>287.73672466675197</v>
      </c>
    </row>
    <row r="610" spans="1:5" ht="15">
      <c r="A610" s="11">
        <v>59687</v>
      </c>
      <c r="B610" s="4">
        <f>46.0824 * CHOOSE(CONTROL!$C$14, $C$14, 100%, $E$14) + CHOOSE(CONTROL!$C$33, 0.0304, 0)</f>
        <v>46.1128</v>
      </c>
      <c r="C610" s="4">
        <f>45.7191 * CHOOSE(CONTROL!$C$14, $C$14, 100%, $E$14) + CHOOSE(CONTROL!$C$33, 0.0304, 0)</f>
        <v>45.749499999999998</v>
      </c>
      <c r="D610" s="4">
        <f>58.397 * CHOOSE(CONTROL!$C$14, $C$14, 100%, $E$14) + CHOOSE(CONTROL!$C$33, 0.0021, 0)</f>
        <v>58.399099999999997</v>
      </c>
      <c r="E610" s="4">
        <f>294.62452522065 * CHOOSE(CONTROL!$C$14, $C$14, 100%, $E$14) + CHOOSE(CONTROL!$C$33, 0.0021, 0)</f>
        <v>294.62662522065</v>
      </c>
    </row>
    <row r="611" spans="1:5" ht="15">
      <c r="A611" s="11">
        <v>59717</v>
      </c>
      <c r="B611" s="4">
        <f>46.2257 * CHOOSE(CONTROL!$C$14, $C$14, 100%, $E$14) + CHOOSE(CONTROL!$C$33, 0.0304, 0)</f>
        <v>46.256100000000004</v>
      </c>
      <c r="C611" s="4">
        <f>45.8625 * CHOOSE(CONTROL!$C$14, $C$14, 100%, $E$14) + CHOOSE(CONTROL!$C$33, 0.0304, 0)</f>
        <v>45.892899999999997</v>
      </c>
      <c r="D611" s="4">
        <f>58.9188 * CHOOSE(CONTROL!$C$14, $C$14, 100%, $E$14) + CHOOSE(CONTROL!$C$33, 0.0021, 0)</f>
        <v>58.920899999999996</v>
      </c>
      <c r="E611" s="4">
        <f>295.556757359267 * CHOOSE(CONTROL!$C$14, $C$14, 100%, $E$14) + CHOOSE(CONTROL!$C$33, 0.0021, 0)</f>
        <v>295.55885735926699</v>
      </c>
    </row>
    <row r="612" spans="1:5" ht="15">
      <c r="A612" s="11">
        <v>59748</v>
      </c>
      <c r="B612" s="4">
        <f>46.2113 * CHOOSE(CONTROL!$C$14, $C$14, 100%, $E$14) + CHOOSE(CONTROL!$C$33, 0.0304, 0)</f>
        <v>46.241700000000002</v>
      </c>
      <c r="C612" s="4">
        <f>45.848 * CHOOSE(CONTROL!$C$14, $C$14, 100%, $E$14) + CHOOSE(CONTROL!$C$33, 0.0304, 0)</f>
        <v>45.878399999999999</v>
      </c>
      <c r="D612" s="4">
        <f>59.8604 * CHOOSE(CONTROL!$C$14, $C$14, 100%, $E$14) + CHOOSE(CONTROL!$C$33, 0.0021, 0)</f>
        <v>59.862499999999997</v>
      </c>
      <c r="E612" s="4">
        <f>295.462750757054 * CHOOSE(CONTROL!$C$14, $C$14, 100%, $E$14) + CHOOSE(CONTROL!$C$33, 0.0021, 0)</f>
        <v>295.46485075705397</v>
      </c>
    </row>
    <row r="613" spans="1:5" ht="15">
      <c r="A613" s="11">
        <v>59779</v>
      </c>
      <c r="B613" s="4">
        <f>47.2992 * CHOOSE(CONTROL!$C$14, $C$14, 100%, $E$14) + CHOOSE(CONTROL!$C$33, 0.0304, 0)</f>
        <v>47.329599999999999</v>
      </c>
      <c r="C613" s="4">
        <f>46.9359 * CHOOSE(CONTROL!$C$14, $C$14, 100%, $E$14) + CHOOSE(CONTROL!$C$33, 0.0304, 0)</f>
        <v>46.966299999999997</v>
      </c>
      <c r="D613" s="4">
        <f>59.2386 * CHOOSE(CONTROL!$C$14, $C$14, 100%, $E$14) + CHOOSE(CONTROL!$C$33, 0.0021, 0)</f>
        <v>59.240699999999997</v>
      </c>
      <c r="E613" s="4">
        <f>302.53674757362 * CHOOSE(CONTROL!$C$14, $C$14, 100%, $E$14) + CHOOSE(CONTROL!$C$33, 0.0021, 0)</f>
        <v>302.53884757361999</v>
      </c>
    </row>
    <row r="614" spans="1:5" ht="15">
      <c r="A614" s="11">
        <v>59809</v>
      </c>
      <c r="B614" s="4">
        <f>45.4451 * CHOOSE(CONTROL!$C$14, $C$14, 100%, $E$14) + CHOOSE(CONTROL!$C$33, 0.0304, 0)</f>
        <v>45.475499999999997</v>
      </c>
      <c r="C614" s="4">
        <f>45.0818 * CHOOSE(CONTROL!$C$14, $C$14, 100%, $E$14) + CHOOSE(CONTROL!$C$33, 0.0304, 0)</f>
        <v>45.112200000000001</v>
      </c>
      <c r="D614" s="4">
        <f>58.9448 * CHOOSE(CONTROL!$C$14, $C$14, 100%, $E$14) + CHOOSE(CONTROL!$C$33, 0.0021, 0)</f>
        <v>58.946899999999999</v>
      </c>
      <c r="E614" s="4">
        <f>290.480400839738 * CHOOSE(CONTROL!$C$14, $C$14, 100%, $E$14) + CHOOSE(CONTROL!$C$33, 0.0021, 0)</f>
        <v>290.48250083973801</v>
      </c>
    </row>
    <row r="615" spans="1:5" ht="15">
      <c r="A615" s="11">
        <v>59840</v>
      </c>
      <c r="B615" s="4">
        <f>43.9608 * CHOOSE(CONTROL!$C$14, $C$14, 100%, $E$14) + CHOOSE(CONTROL!$C$33, 0.0272, 0)</f>
        <v>43.988</v>
      </c>
      <c r="C615" s="4">
        <f>43.5976 * CHOOSE(CONTROL!$C$14, $C$14, 100%, $E$14) + CHOOSE(CONTROL!$C$33, 0.0272, 0)</f>
        <v>43.6248</v>
      </c>
      <c r="D615" s="4">
        <f>58.1581 * CHOOSE(CONTROL!$C$14, $C$14, 100%, $E$14) + CHOOSE(CONTROL!$C$33, 0.0021, 0)</f>
        <v>58.160199999999996</v>
      </c>
      <c r="E615" s="4">
        <f>280.829056345818 * CHOOSE(CONTROL!$C$14, $C$14, 100%, $E$14) + CHOOSE(CONTROL!$C$33, 0.0021, 0)</f>
        <v>280.83115634581799</v>
      </c>
    </row>
    <row r="616" spans="1:5" ht="15">
      <c r="A616" s="11">
        <v>59870</v>
      </c>
      <c r="B616" s="4">
        <f>43.0049 * CHOOSE(CONTROL!$C$14, $C$14, 100%, $E$14) + CHOOSE(CONTROL!$C$33, 0.0272, 0)</f>
        <v>43.0321</v>
      </c>
      <c r="C616" s="4">
        <f>42.6416 * CHOOSE(CONTROL!$C$14, $C$14, 100%, $E$14) + CHOOSE(CONTROL!$C$33, 0.0272, 0)</f>
        <v>42.668799999999997</v>
      </c>
      <c r="D616" s="4">
        <f>57.8876 * CHOOSE(CONTROL!$C$14, $C$14, 100%, $E$14) + CHOOSE(CONTROL!$C$33, 0.0021, 0)</f>
        <v>57.889699999999998</v>
      </c>
      <c r="E616" s="4">
        <f>274.61286977445 * CHOOSE(CONTROL!$C$14, $C$14, 100%, $E$14) + CHOOSE(CONTROL!$C$33, 0.0021, 0)</f>
        <v>274.61496977445</v>
      </c>
    </row>
    <row r="617" spans="1:5" ht="15">
      <c r="A617" s="11">
        <v>59901</v>
      </c>
      <c r="B617" s="4">
        <f>42.3435 * CHOOSE(CONTROL!$C$14, $C$14, 100%, $E$14) + CHOOSE(CONTROL!$C$33, 0.0272, 0)</f>
        <v>42.370699999999999</v>
      </c>
      <c r="C617" s="4">
        <f>41.9802 * CHOOSE(CONTROL!$C$14, $C$14, 100%, $E$14) + CHOOSE(CONTROL!$C$33, 0.0272, 0)</f>
        <v>42.007400000000004</v>
      </c>
      <c r="D617" s="4">
        <f>55.8965 * CHOOSE(CONTROL!$C$14, $C$14, 100%, $E$14) + CHOOSE(CONTROL!$C$33, 0.0021, 0)</f>
        <v>55.898600000000002</v>
      </c>
      <c r="E617" s="4">
        <f>270.312067723182 * CHOOSE(CONTROL!$C$14, $C$14, 100%, $E$14) + CHOOSE(CONTROL!$C$33, 0.0021, 0)</f>
        <v>270.31416772318198</v>
      </c>
    </row>
    <row r="618" spans="1:5" ht="15">
      <c r="A618" s="11">
        <v>59932</v>
      </c>
      <c r="B618" s="4">
        <f>40.61 * CHOOSE(CONTROL!$C$14, $C$14, 100%, $E$14) + CHOOSE(CONTROL!$C$33, 0.0272, 0)</f>
        <v>40.6372</v>
      </c>
      <c r="C618" s="4">
        <f>40.2467 * CHOOSE(CONTROL!$C$14, $C$14, 100%, $E$14) + CHOOSE(CONTROL!$C$33, 0.0272, 0)</f>
        <v>40.273899999999998</v>
      </c>
      <c r="D618" s="4">
        <f>53.6041 * CHOOSE(CONTROL!$C$14, $C$14, 100%, $E$14) + CHOOSE(CONTROL!$C$33, 0.0021, 0)</f>
        <v>53.606200000000001</v>
      </c>
      <c r="E618" s="4">
        <f>259.052471713719 * CHOOSE(CONTROL!$C$14, $C$14, 100%, $E$14) + CHOOSE(CONTROL!$C$33, 0.0021, 0)</f>
        <v>259.05457171371899</v>
      </c>
    </row>
    <row r="619" spans="1:5" ht="15">
      <c r="A619" s="11">
        <v>59961</v>
      </c>
      <c r="B619" s="4">
        <f>41.5558 * CHOOSE(CONTROL!$C$14, $C$14, 100%, $E$14) + CHOOSE(CONTROL!$C$33, 0.0272, 0)</f>
        <v>41.582999999999998</v>
      </c>
      <c r="C619" s="4">
        <f>41.1926 * CHOOSE(CONTROL!$C$14, $C$14, 100%, $E$14) + CHOOSE(CONTROL!$C$33, 0.0272, 0)</f>
        <v>41.219799999999999</v>
      </c>
      <c r="D619" s="4">
        <f>55.4306 * CHOOSE(CONTROL!$C$14, $C$14, 100%, $E$14) + CHOOSE(CONTROL!$C$33, 0.0021, 0)</f>
        <v>55.432699999999997</v>
      </c>
      <c r="E619" s="4">
        <f>265.203398294535 * CHOOSE(CONTROL!$C$14, $C$14, 100%, $E$14) + CHOOSE(CONTROL!$C$33, 0.0021, 0)</f>
        <v>265.205498294535</v>
      </c>
    </row>
    <row r="620" spans="1:5" ht="15">
      <c r="A620" s="11">
        <v>59992</v>
      </c>
      <c r="B620" s="4">
        <f>44.0398 * CHOOSE(CONTROL!$C$14, $C$14, 100%, $E$14) + CHOOSE(CONTROL!$C$33, 0.0272, 0)</f>
        <v>44.067</v>
      </c>
      <c r="C620" s="4">
        <f>43.6765 * CHOOSE(CONTROL!$C$14, $C$14, 100%, $E$14) + CHOOSE(CONTROL!$C$33, 0.0272, 0)</f>
        <v>43.703699999999998</v>
      </c>
      <c r="D620" s="4">
        <f>58.2899 * CHOOSE(CONTROL!$C$14, $C$14, 100%, $E$14) + CHOOSE(CONTROL!$C$33, 0.0021, 0)</f>
        <v>58.292000000000002</v>
      </c>
      <c r="E620" s="4">
        <f>281.356058375846 * CHOOSE(CONTROL!$C$14, $C$14, 100%, $E$14) + CHOOSE(CONTROL!$C$33, 0.0021, 0)</f>
        <v>281.35815837584596</v>
      </c>
    </row>
    <row r="621" spans="1:5" ht="15">
      <c r="A621" s="11">
        <v>60022</v>
      </c>
      <c r="B621" s="4">
        <f>45.8046 * CHOOSE(CONTROL!$C$14, $C$14, 100%, $E$14) + CHOOSE(CONTROL!$C$33, 0.0272, 0)</f>
        <v>45.831800000000001</v>
      </c>
      <c r="C621" s="4">
        <f>45.4413 * CHOOSE(CONTROL!$C$14, $C$14, 100%, $E$14) + CHOOSE(CONTROL!$C$33, 0.0272, 0)</f>
        <v>45.468499999999999</v>
      </c>
      <c r="D621" s="4">
        <f>59.937 * CHOOSE(CONTROL!$C$14, $C$14, 100%, $E$14) + CHOOSE(CONTROL!$C$33, 0.0021, 0)</f>
        <v>59.939099999999996</v>
      </c>
      <c r="E621" s="4">
        <f>292.832738626116 * CHOOSE(CONTROL!$C$14, $C$14, 100%, $E$14) + CHOOSE(CONTROL!$C$33, 0.0021, 0)</f>
        <v>292.83483862611598</v>
      </c>
    </row>
    <row r="622" spans="1:5" ht="15">
      <c r="A622" s="11">
        <v>60053</v>
      </c>
      <c r="B622" s="4">
        <f>46.8829 * CHOOSE(CONTROL!$C$14, $C$14, 100%, $E$14) + CHOOSE(CONTROL!$C$33, 0.0304, 0)</f>
        <v>46.9133</v>
      </c>
      <c r="C622" s="4">
        <f>46.5196 * CHOOSE(CONTROL!$C$14, $C$14, 100%, $E$14) + CHOOSE(CONTROL!$C$33, 0.0304, 0)</f>
        <v>46.55</v>
      </c>
      <c r="D622" s="4">
        <f>59.2861 * CHOOSE(CONTROL!$C$14, $C$14, 100%, $E$14) + CHOOSE(CONTROL!$C$33, 0.0021, 0)</f>
        <v>59.288199999999996</v>
      </c>
      <c r="E622" s="4">
        <f>299.844715201393 * CHOOSE(CONTROL!$C$14, $C$14, 100%, $E$14) + CHOOSE(CONTROL!$C$33, 0.0021, 0)</f>
        <v>299.84681520139299</v>
      </c>
    </row>
    <row r="623" spans="1:5" ht="15">
      <c r="A623" s="11">
        <v>60083</v>
      </c>
      <c r="B623" s="4">
        <f>47.0288 * CHOOSE(CONTROL!$C$14, $C$14, 100%, $E$14) + CHOOSE(CONTROL!$C$33, 0.0304, 0)</f>
        <v>47.059199999999997</v>
      </c>
      <c r="C623" s="4">
        <f>46.6655 * CHOOSE(CONTROL!$C$14, $C$14, 100%, $E$14) + CHOOSE(CONTROL!$C$33, 0.0304, 0)</f>
        <v>46.695900000000002</v>
      </c>
      <c r="D623" s="4">
        <f>59.8162 * CHOOSE(CONTROL!$C$14, $C$14, 100%, $E$14) + CHOOSE(CONTROL!$C$33, 0.0021, 0)</f>
        <v>59.818300000000001</v>
      </c>
      <c r="E623" s="4">
        <f>300.793464732329 * CHOOSE(CONTROL!$C$14, $C$14, 100%, $E$14) + CHOOSE(CONTROL!$C$33, 0.0021, 0)</f>
        <v>300.79556473232901</v>
      </c>
    </row>
    <row r="624" spans="1:5" ht="15">
      <c r="A624" s="11">
        <v>60114</v>
      </c>
      <c r="B624" s="4">
        <f>47.0141 * CHOOSE(CONTROL!$C$14, $C$14, 100%, $E$14) + CHOOSE(CONTROL!$C$33, 0.0304, 0)</f>
        <v>47.044499999999999</v>
      </c>
      <c r="C624" s="4">
        <f>46.6508 * CHOOSE(CONTROL!$C$14, $C$14, 100%, $E$14) + CHOOSE(CONTROL!$C$33, 0.0304, 0)</f>
        <v>46.681199999999997</v>
      </c>
      <c r="D624" s="4">
        <f>60.7726 * CHOOSE(CONTROL!$C$14, $C$14, 100%, $E$14) + CHOOSE(CONTROL!$C$33, 0.0021, 0)</f>
        <v>60.774699999999996</v>
      </c>
      <c r="E624" s="4">
        <f>300.697792510722 * CHOOSE(CONTROL!$C$14, $C$14, 100%, $E$14) + CHOOSE(CONTROL!$C$33, 0.0021, 0)</f>
        <v>300.69989251072201</v>
      </c>
    </row>
    <row r="625" spans="1:5" ht="15">
      <c r="A625" s="11">
        <v>60145</v>
      </c>
      <c r="B625" s="4">
        <f>48.1212 * CHOOSE(CONTROL!$C$14, $C$14, 100%, $E$14) + CHOOSE(CONTROL!$C$33, 0.0304, 0)</f>
        <v>48.151600000000002</v>
      </c>
      <c r="C625" s="4">
        <f>47.7579 * CHOOSE(CONTROL!$C$14, $C$14, 100%, $E$14) + CHOOSE(CONTROL!$C$33, 0.0304, 0)</f>
        <v>47.7883</v>
      </c>
      <c r="D625" s="4">
        <f>60.141 * CHOOSE(CONTROL!$C$14, $C$14, 100%, $E$14) + CHOOSE(CONTROL!$C$33, 0.0021, 0)</f>
        <v>60.143099999999997</v>
      </c>
      <c r="E625" s="4">
        <f>307.897127186647 * CHOOSE(CONTROL!$C$14, $C$14, 100%, $E$14) + CHOOSE(CONTROL!$C$33, 0.0021, 0)</f>
        <v>307.89922718664701</v>
      </c>
    </row>
    <row r="626" spans="1:5" ht="15">
      <c r="A626" s="11">
        <v>60175</v>
      </c>
      <c r="B626" s="4">
        <f>46.2343 * CHOOSE(CONTROL!$C$14, $C$14, 100%, $E$14) + CHOOSE(CONTROL!$C$33, 0.0304, 0)</f>
        <v>46.264699999999998</v>
      </c>
      <c r="C626" s="4">
        <f>45.8711 * CHOOSE(CONTROL!$C$14, $C$14, 100%, $E$14) + CHOOSE(CONTROL!$C$33, 0.0304, 0)</f>
        <v>45.901499999999999</v>
      </c>
      <c r="D626" s="4">
        <f>59.8426 * CHOOSE(CONTROL!$C$14, $C$14, 100%, $E$14) + CHOOSE(CONTROL!$C$33, 0.0021, 0)</f>
        <v>59.844699999999996</v>
      </c>
      <c r="E626" s="4">
        <f>295.627164765553 * CHOOSE(CONTROL!$C$14, $C$14, 100%, $E$14) + CHOOSE(CONTROL!$C$33, 0.0021, 0)</f>
        <v>295.62926476555299</v>
      </c>
    </row>
    <row r="627" spans="1:5" ht="15">
      <c r="A627" s="11">
        <v>60206</v>
      </c>
      <c r="B627" s="4">
        <f>44.7239 * CHOOSE(CONTROL!$C$14, $C$14, 100%, $E$14) + CHOOSE(CONTROL!$C$33, 0.0272, 0)</f>
        <v>44.751100000000001</v>
      </c>
      <c r="C627" s="4">
        <f>44.3606 * CHOOSE(CONTROL!$C$14, $C$14, 100%, $E$14) + CHOOSE(CONTROL!$C$33, 0.0272, 0)</f>
        <v>44.387799999999999</v>
      </c>
      <c r="D627" s="4">
        <f>59.0435 * CHOOSE(CONTROL!$C$14, $C$14, 100%, $E$14) + CHOOSE(CONTROL!$C$33, 0.0021, 0)</f>
        <v>59.0456</v>
      </c>
      <c r="E627" s="4">
        <f>285.80481668057 * CHOOSE(CONTROL!$C$14, $C$14, 100%, $E$14) + CHOOSE(CONTROL!$C$33, 0.0021, 0)</f>
        <v>285.80691668057</v>
      </c>
    </row>
    <row r="628" spans="1:5" ht="15">
      <c r="A628" s="11">
        <v>60236</v>
      </c>
      <c r="B628" s="4">
        <f>43.751 * CHOOSE(CONTROL!$C$14, $C$14, 100%, $E$14) + CHOOSE(CONTROL!$C$33, 0.0272, 0)</f>
        <v>43.778199999999998</v>
      </c>
      <c r="C628" s="4">
        <f>43.3878 * CHOOSE(CONTROL!$C$14, $C$14, 100%, $E$14) + CHOOSE(CONTROL!$C$33, 0.0272, 0)</f>
        <v>43.414999999999999</v>
      </c>
      <c r="D628" s="4">
        <f>58.7688 * CHOOSE(CONTROL!$C$14, $C$14, 100%, $E$14) + CHOOSE(CONTROL!$C$33, 0.0021, 0)</f>
        <v>58.770899999999997</v>
      </c>
      <c r="E628" s="4">
        <f>279.478491026809 * CHOOSE(CONTROL!$C$14, $C$14, 100%, $E$14) + CHOOSE(CONTROL!$C$33, 0.0021, 0)</f>
        <v>279.48059102680901</v>
      </c>
    </row>
    <row r="629" spans="1:5" ht="15">
      <c r="A629" s="11">
        <v>60267</v>
      </c>
      <c r="B629" s="4">
        <f>43.0779 * CHOOSE(CONTROL!$C$14, $C$14, 100%, $E$14) + CHOOSE(CONTROL!$C$33, 0.0272, 0)</f>
        <v>43.1051</v>
      </c>
      <c r="C629" s="4">
        <f>42.7147 * CHOOSE(CONTROL!$C$14, $C$14, 100%, $E$14) + CHOOSE(CONTROL!$C$33, 0.0272, 0)</f>
        <v>42.741900000000001</v>
      </c>
      <c r="D629" s="4">
        <f>56.7463 * CHOOSE(CONTROL!$C$14, $C$14, 100%, $E$14) + CHOOSE(CONTROL!$C$33, 0.0021, 0)</f>
        <v>56.748399999999997</v>
      </c>
      <c r="E629" s="4">
        <f>275.10148688829 * CHOOSE(CONTROL!$C$14, $C$14, 100%, $E$14) + CHOOSE(CONTROL!$C$33, 0.0021, 0)</f>
        <v>275.10358688829001</v>
      </c>
    </row>
    <row r="630" spans="1:5" ht="15">
      <c r="A630" s="11">
        <v>60298</v>
      </c>
      <c r="B630" s="4">
        <f>41.3138 * CHOOSE(CONTROL!$C$14, $C$14, 100%, $E$14) + CHOOSE(CONTROL!$C$33, 0.0272, 0)</f>
        <v>41.341000000000001</v>
      </c>
      <c r="C630" s="4">
        <f>40.9505 * CHOOSE(CONTROL!$C$14, $C$14, 100%, $E$14) + CHOOSE(CONTROL!$C$33, 0.0272, 0)</f>
        <v>40.977699999999999</v>
      </c>
      <c r="D630" s="4">
        <f>54.4179 * CHOOSE(CONTROL!$C$14, $C$14, 100%, $E$14) + CHOOSE(CONTROL!$C$33, 0.0021, 0)</f>
        <v>54.42</v>
      </c>
      <c r="E630" s="4">
        <f>263.642392109226 * CHOOSE(CONTROL!$C$14, $C$14, 100%, $E$14) + CHOOSE(CONTROL!$C$33, 0.0021, 0)</f>
        <v>263.64449210922601</v>
      </c>
    </row>
    <row r="631" spans="1:5" ht="15">
      <c r="A631" s="11">
        <v>60326</v>
      </c>
      <c r="B631" s="4">
        <f>42.2764 * CHOOSE(CONTROL!$C$14, $C$14, 100%, $E$14) + CHOOSE(CONTROL!$C$33, 0.0272, 0)</f>
        <v>42.303600000000003</v>
      </c>
      <c r="C631" s="4">
        <f>41.9131 * CHOOSE(CONTROL!$C$14, $C$14, 100%, $E$14) + CHOOSE(CONTROL!$C$33, 0.0272, 0)</f>
        <v>41.940300000000001</v>
      </c>
      <c r="D631" s="4">
        <f>56.2731 * CHOOSE(CONTROL!$C$14, $C$14, 100%, $E$14) + CHOOSE(CONTROL!$C$33, 0.0021, 0)</f>
        <v>56.275199999999998</v>
      </c>
      <c r="E631" s="4">
        <f>269.902301488691 * CHOOSE(CONTROL!$C$14, $C$14, 100%, $E$14) + CHOOSE(CONTROL!$C$33, 0.0021, 0)</f>
        <v>269.90440148869101</v>
      </c>
    </row>
    <row r="632" spans="1:5" ht="15">
      <c r="A632" s="11">
        <v>60357</v>
      </c>
      <c r="B632" s="4">
        <f>44.8042 * CHOOSE(CONTROL!$C$14, $C$14, 100%, $E$14) + CHOOSE(CONTROL!$C$33, 0.0272, 0)</f>
        <v>44.831400000000002</v>
      </c>
      <c r="C632" s="4">
        <f>44.4409 * CHOOSE(CONTROL!$C$14, $C$14, 100%, $E$14) + CHOOSE(CONTROL!$C$33, 0.0272, 0)</f>
        <v>44.4681</v>
      </c>
      <c r="D632" s="4">
        <f>59.1774 * CHOOSE(CONTROL!$C$14, $C$14, 100%, $E$14) + CHOOSE(CONTROL!$C$33, 0.0021, 0)</f>
        <v>59.179499999999997</v>
      </c>
      <c r="E632" s="4">
        <f>286.341156190955 * CHOOSE(CONTROL!$C$14, $C$14, 100%, $E$14) + CHOOSE(CONTROL!$C$33, 0.0021, 0)</f>
        <v>286.343256190955</v>
      </c>
    </row>
    <row r="633" spans="1:5" ht="15">
      <c r="A633" s="11">
        <v>60387</v>
      </c>
      <c r="B633" s="4">
        <f>46.6002 * CHOOSE(CONTROL!$C$14, $C$14, 100%, $E$14) + CHOOSE(CONTROL!$C$33, 0.0272, 0)</f>
        <v>46.627400000000002</v>
      </c>
      <c r="C633" s="4">
        <f>46.237 * CHOOSE(CONTROL!$C$14, $C$14, 100%, $E$14) + CHOOSE(CONTROL!$C$33, 0.0272, 0)</f>
        <v>46.264200000000002</v>
      </c>
      <c r="D633" s="4">
        <f>60.8504 * CHOOSE(CONTROL!$C$14, $C$14, 100%, $E$14) + CHOOSE(CONTROL!$C$33, 0.0021, 0)</f>
        <v>60.852499999999999</v>
      </c>
      <c r="E633" s="4">
        <f>298.021181533456 * CHOOSE(CONTROL!$C$14, $C$14, 100%, $E$14) + CHOOSE(CONTROL!$C$33, 0.0021, 0)</f>
        <v>298.02328153345599</v>
      </c>
    </row>
    <row r="634" spans="1:5" ht="15">
      <c r="A634" s="11">
        <v>60418</v>
      </c>
      <c r="B634" s="4">
        <f>47.6976 * CHOOSE(CONTROL!$C$14, $C$14, 100%, $E$14) + CHOOSE(CONTROL!$C$33, 0.0304, 0)</f>
        <v>47.728000000000002</v>
      </c>
      <c r="C634" s="4">
        <f>47.3343 * CHOOSE(CONTROL!$C$14, $C$14, 100%, $E$14) + CHOOSE(CONTROL!$C$33, 0.0304, 0)</f>
        <v>47.364699999999999</v>
      </c>
      <c r="D634" s="4">
        <f>60.1893 * CHOOSE(CONTROL!$C$14, $C$14, 100%, $E$14) + CHOOSE(CONTROL!$C$33, 0.0021, 0)</f>
        <v>60.191400000000002</v>
      </c>
      <c r="E634" s="4">
        <f>305.157397086586 * CHOOSE(CONTROL!$C$14, $C$14, 100%, $E$14) + CHOOSE(CONTROL!$C$33, 0.0021, 0)</f>
        <v>305.15949708658599</v>
      </c>
    </row>
    <row r="635" spans="1:5" ht="15">
      <c r="A635" s="11">
        <v>60448</v>
      </c>
      <c r="B635" s="4">
        <f>47.8461 * CHOOSE(CONTROL!$C$14, $C$14, 100%, $E$14) + CHOOSE(CONTROL!$C$33, 0.0304, 0)</f>
        <v>47.8765</v>
      </c>
      <c r="C635" s="4">
        <f>47.4828 * CHOOSE(CONTROL!$C$14, $C$14, 100%, $E$14) + CHOOSE(CONTROL!$C$33, 0.0304, 0)</f>
        <v>47.513199999999998</v>
      </c>
      <c r="D635" s="4">
        <f>60.7277 * CHOOSE(CONTROL!$C$14, $C$14, 100%, $E$14) + CHOOSE(CONTROL!$C$33, 0.0021, 0)</f>
        <v>60.729799999999997</v>
      </c>
      <c r="E635" s="4">
        <f>306.122956666827 * CHOOSE(CONTROL!$C$14, $C$14, 100%, $E$14) + CHOOSE(CONTROL!$C$33, 0.0021, 0)</f>
        <v>306.12505666682699</v>
      </c>
    </row>
    <row r="636" spans="1:5" ht="15">
      <c r="A636" s="11">
        <v>60479</v>
      </c>
      <c r="B636" s="4">
        <f>47.8311 * CHOOSE(CONTROL!$C$14, $C$14, 100%, $E$14) + CHOOSE(CONTROL!$C$33, 0.0304, 0)</f>
        <v>47.861499999999999</v>
      </c>
      <c r="C636" s="4">
        <f>47.4678 * CHOOSE(CONTROL!$C$14, $C$14, 100%, $E$14) + CHOOSE(CONTROL!$C$33, 0.0304, 0)</f>
        <v>47.498199999999997</v>
      </c>
      <c r="D636" s="4">
        <f>61.6991 * CHOOSE(CONTROL!$C$14, $C$14, 100%, $E$14) + CHOOSE(CONTROL!$C$33, 0.0021, 0)</f>
        <v>61.7012</v>
      </c>
      <c r="E636" s="4">
        <f>306.025589314198 * CHOOSE(CONTROL!$C$14, $C$14, 100%, $E$14) + CHOOSE(CONTROL!$C$33, 0.0021, 0)</f>
        <v>306.02768931419797</v>
      </c>
    </row>
    <row r="637" spans="1:5" ht="15">
      <c r="A637" s="11">
        <v>60510</v>
      </c>
      <c r="B637" s="4">
        <f>48.9577 * CHOOSE(CONTROL!$C$14, $C$14, 100%, $E$14) + CHOOSE(CONTROL!$C$33, 0.0304, 0)</f>
        <v>48.988100000000003</v>
      </c>
      <c r="C637" s="4">
        <f>48.5945 * CHOOSE(CONTROL!$C$14, $C$14, 100%, $E$14) + CHOOSE(CONTROL!$C$33, 0.0304, 0)</f>
        <v>48.624899999999997</v>
      </c>
      <c r="D637" s="4">
        <f>61.0576 * CHOOSE(CONTROL!$C$14, $C$14, 100%, $E$14) + CHOOSE(CONTROL!$C$33, 0.0021, 0)</f>
        <v>61.059699999999999</v>
      </c>
      <c r="E637" s="4">
        <f>313.35248259956 * CHOOSE(CONTROL!$C$14, $C$14, 100%, $E$14) + CHOOSE(CONTROL!$C$33, 0.0021, 0)</f>
        <v>313.35458259955999</v>
      </c>
    </row>
    <row r="638" spans="1:5" ht="15">
      <c r="A638" s="11">
        <v>60540</v>
      </c>
      <c r="B638" s="4">
        <f>47.0376 * CHOOSE(CONTROL!$C$14, $C$14, 100%, $E$14) + CHOOSE(CONTROL!$C$33, 0.0304, 0)</f>
        <v>47.067999999999998</v>
      </c>
      <c r="C638" s="4">
        <f>46.6743 * CHOOSE(CONTROL!$C$14, $C$14, 100%, $E$14) + CHOOSE(CONTROL!$C$33, 0.0304, 0)</f>
        <v>46.704700000000003</v>
      </c>
      <c r="D638" s="4">
        <f>60.7545 * CHOOSE(CONTROL!$C$14, $C$14, 100%, $E$14) + CHOOSE(CONTROL!$C$33, 0.0021, 0)</f>
        <v>60.756599999999999</v>
      </c>
      <c r="E638" s="4">
        <f>300.86511962484 * CHOOSE(CONTROL!$C$14, $C$14, 100%, $E$14) + CHOOSE(CONTROL!$C$33, 0.0021, 0)</f>
        <v>300.86721962484</v>
      </c>
    </row>
    <row r="639" spans="1:5" ht="15">
      <c r="A639" s="11">
        <v>60571</v>
      </c>
      <c r="B639" s="4">
        <f>45.5004 * CHOOSE(CONTROL!$C$14, $C$14, 100%, $E$14) + CHOOSE(CONTROL!$C$33, 0.0272, 0)</f>
        <v>45.5276</v>
      </c>
      <c r="C639" s="4">
        <f>45.1371 * CHOOSE(CONTROL!$C$14, $C$14, 100%, $E$14) + CHOOSE(CONTROL!$C$33, 0.0272, 0)</f>
        <v>45.164299999999997</v>
      </c>
      <c r="D639" s="4">
        <f>59.9429 * CHOOSE(CONTROL!$C$14, $C$14, 100%, $E$14) + CHOOSE(CONTROL!$C$33, 0.0021, 0)</f>
        <v>59.945</v>
      </c>
      <c r="E639" s="4">
        <f>290.868738088222 * CHOOSE(CONTROL!$C$14, $C$14, 100%, $E$14) + CHOOSE(CONTROL!$C$33, 0.0021, 0)</f>
        <v>290.870838088222</v>
      </c>
    </row>
    <row r="640" spans="1:5" ht="15">
      <c r="A640" s="11">
        <v>60601</v>
      </c>
      <c r="B640" s="4">
        <f>44.5104 * CHOOSE(CONTROL!$C$14, $C$14, 100%, $E$14) + CHOOSE(CONTROL!$C$33, 0.0272, 0)</f>
        <v>44.537599999999998</v>
      </c>
      <c r="C640" s="4">
        <f>44.1471 * CHOOSE(CONTROL!$C$14, $C$14, 100%, $E$14) + CHOOSE(CONTROL!$C$33, 0.0272, 0)</f>
        <v>44.174300000000002</v>
      </c>
      <c r="D640" s="4">
        <f>59.6638 * CHOOSE(CONTROL!$C$14, $C$14, 100%, $E$14) + CHOOSE(CONTROL!$C$33, 0.0021, 0)</f>
        <v>59.665900000000001</v>
      </c>
      <c r="E640" s="4">
        <f>284.430321895603 * CHOOSE(CONTROL!$C$14, $C$14, 100%, $E$14) + CHOOSE(CONTROL!$C$33, 0.0021, 0)</f>
        <v>284.432421895603</v>
      </c>
    </row>
    <row r="641" spans="1:5" ht="15">
      <c r="A641" s="11">
        <v>60632</v>
      </c>
      <c r="B641" s="4">
        <f>43.8254 * CHOOSE(CONTROL!$C$14, $C$14, 100%, $E$14) + CHOOSE(CONTROL!$C$33, 0.0272, 0)</f>
        <v>43.852600000000002</v>
      </c>
      <c r="C641" s="4">
        <f>43.4621 * CHOOSE(CONTROL!$C$14, $C$14, 100%, $E$14) + CHOOSE(CONTROL!$C$33, 0.0272, 0)</f>
        <v>43.4893</v>
      </c>
      <c r="D641" s="4">
        <f>57.6096 * CHOOSE(CONTROL!$C$14, $C$14, 100%, $E$14) + CHOOSE(CONTROL!$C$33, 0.0021, 0)</f>
        <v>57.611699999999999</v>
      </c>
      <c r="E641" s="4">
        <f>279.975765512808 * CHOOSE(CONTROL!$C$14, $C$14, 100%, $E$14) + CHOOSE(CONTROL!$C$33, 0.0021, 0)</f>
        <v>279.97786551280797</v>
      </c>
    </row>
    <row r="642" spans="1:5" ht="15">
      <c r="A642" s="11">
        <v>60663</v>
      </c>
      <c r="B642" s="4">
        <f>42.0301 * CHOOSE(CONTROL!$C$14, $C$14, 100%, $E$14) + CHOOSE(CONTROL!$C$33, 0.0272, 0)</f>
        <v>42.057299999999998</v>
      </c>
      <c r="C642" s="4">
        <f>41.6668 * CHOOSE(CONTROL!$C$14, $C$14, 100%, $E$14) + CHOOSE(CONTROL!$C$33, 0.0272, 0)</f>
        <v>41.694000000000003</v>
      </c>
      <c r="D642" s="4">
        <f>55.2445 * CHOOSE(CONTROL!$C$14, $C$14, 100%, $E$14) + CHOOSE(CONTROL!$C$33, 0.0021, 0)</f>
        <v>55.246600000000001</v>
      </c>
      <c r="E642" s="4">
        <f>268.31363722284 * CHOOSE(CONTROL!$C$14, $C$14, 100%, $E$14) + CHOOSE(CONTROL!$C$33, 0.0021, 0)</f>
        <v>268.31573722283997</v>
      </c>
    </row>
    <row r="643" spans="1:5" ht="15">
      <c r="A643" s="11">
        <v>60691</v>
      </c>
      <c r="B643" s="4">
        <f>43.0097 * CHOOSE(CONTROL!$C$14, $C$14, 100%, $E$14) + CHOOSE(CONTROL!$C$33, 0.0272, 0)</f>
        <v>43.036900000000003</v>
      </c>
      <c r="C643" s="4">
        <f>42.6464 * CHOOSE(CONTROL!$C$14, $C$14, 100%, $E$14) + CHOOSE(CONTROL!$C$33, 0.0272, 0)</f>
        <v>42.6736</v>
      </c>
      <c r="D643" s="4">
        <f>57.1289 * CHOOSE(CONTROL!$C$14, $C$14, 100%, $E$14) + CHOOSE(CONTROL!$C$33, 0.0021, 0)</f>
        <v>57.131</v>
      </c>
      <c r="E643" s="4">
        <f>274.684460370256 * CHOOSE(CONTROL!$C$14, $C$14, 100%, $E$14) + CHOOSE(CONTROL!$C$33, 0.0021, 0)</f>
        <v>274.68656037025596</v>
      </c>
    </row>
    <row r="644" spans="1:5" ht="15">
      <c r="A644" s="11">
        <v>60722</v>
      </c>
      <c r="B644" s="4">
        <f>45.5822 * CHOOSE(CONTROL!$C$14, $C$14, 100%, $E$14) + CHOOSE(CONTROL!$C$33, 0.0272, 0)</f>
        <v>45.609400000000001</v>
      </c>
      <c r="C644" s="4">
        <f>45.2189 * CHOOSE(CONTROL!$C$14, $C$14, 100%, $E$14) + CHOOSE(CONTROL!$C$33, 0.0272, 0)</f>
        <v>45.246099999999998</v>
      </c>
      <c r="D644" s="4">
        <f>60.0789 * CHOOSE(CONTROL!$C$14, $C$14, 100%, $E$14) + CHOOSE(CONTROL!$C$33, 0.0021, 0)</f>
        <v>60.080999999999996</v>
      </c>
      <c r="E644" s="4">
        <f>291.414580521475 * CHOOSE(CONTROL!$C$14, $C$14, 100%, $E$14) + CHOOSE(CONTROL!$C$33, 0.0021, 0)</f>
        <v>291.41668052147497</v>
      </c>
    </row>
    <row r="645" spans="1:5" ht="15">
      <c r="A645" s="11">
        <v>60752</v>
      </c>
      <c r="B645" s="4">
        <f>47.4099 * CHOOSE(CONTROL!$C$14, $C$14, 100%, $E$14) + CHOOSE(CONTROL!$C$33, 0.0272, 0)</f>
        <v>47.437100000000001</v>
      </c>
      <c r="C645" s="4">
        <f>47.0466 * CHOOSE(CONTROL!$C$14, $C$14, 100%, $E$14) + CHOOSE(CONTROL!$C$33, 0.0272, 0)</f>
        <v>47.073799999999999</v>
      </c>
      <c r="D645" s="4">
        <f>61.7781 * CHOOSE(CONTROL!$C$14, $C$14, 100%, $E$14) + CHOOSE(CONTROL!$C$33, 0.0021, 0)</f>
        <v>61.780200000000001</v>
      </c>
      <c r="E645" s="4">
        <f>303.301553847082 * CHOOSE(CONTROL!$C$14, $C$14, 100%, $E$14) + CHOOSE(CONTROL!$C$33, 0.0021, 0)</f>
        <v>303.30365384708199</v>
      </c>
    </row>
    <row r="646" spans="1:5" ht="15">
      <c r="A646" s="11">
        <v>60783</v>
      </c>
      <c r="B646" s="4">
        <f>48.5267 * CHOOSE(CONTROL!$C$14, $C$14, 100%, $E$14) + CHOOSE(CONTROL!$C$33, 0.0304, 0)</f>
        <v>48.557099999999998</v>
      </c>
      <c r="C646" s="4">
        <f>48.1634 * CHOOSE(CONTROL!$C$14, $C$14, 100%, $E$14) + CHOOSE(CONTROL!$C$33, 0.0304, 0)</f>
        <v>48.193800000000003</v>
      </c>
      <c r="D646" s="4">
        <f>61.1067 * CHOOSE(CONTROL!$C$14, $C$14, 100%, $E$14) + CHOOSE(CONTROL!$C$33, 0.0021, 0)</f>
        <v>61.108799999999995</v>
      </c>
      <c r="E646" s="4">
        <f>310.564209658038 * CHOOSE(CONTROL!$C$14, $C$14, 100%, $E$14) + CHOOSE(CONTROL!$C$33, 0.0021, 0)</f>
        <v>310.56630965803799</v>
      </c>
    </row>
    <row r="647" spans="1:5" ht="15">
      <c r="A647" s="11">
        <v>60813</v>
      </c>
      <c r="B647" s="4">
        <f>48.6777 * CHOOSE(CONTROL!$C$14, $C$14, 100%, $E$14) + CHOOSE(CONTROL!$C$33, 0.0304, 0)</f>
        <v>48.708100000000002</v>
      </c>
      <c r="C647" s="4">
        <f>48.3145 * CHOOSE(CONTROL!$C$14, $C$14, 100%, $E$14) + CHOOSE(CONTROL!$C$33, 0.0304, 0)</f>
        <v>48.344900000000003</v>
      </c>
      <c r="D647" s="4">
        <f>61.6535 * CHOOSE(CONTROL!$C$14, $C$14, 100%, $E$14) + CHOOSE(CONTROL!$C$33, 0.0021, 0)</f>
        <v>61.6556</v>
      </c>
      <c r="E647" s="4">
        <f>311.546877129901 * CHOOSE(CONTROL!$C$14, $C$14, 100%, $E$14) + CHOOSE(CONTROL!$C$33, 0.0021, 0)</f>
        <v>311.548977129901</v>
      </c>
    </row>
    <row r="648" spans="1:5" ht="15">
      <c r="A648" s="11">
        <v>60844</v>
      </c>
      <c r="B648" s="4">
        <f>48.6625 * CHOOSE(CONTROL!$C$14, $C$14, 100%, $E$14) + CHOOSE(CONTROL!$C$33, 0.0304, 0)</f>
        <v>48.692900000000002</v>
      </c>
      <c r="C648" s="4">
        <f>48.2992 * CHOOSE(CONTROL!$C$14, $C$14, 100%, $E$14) + CHOOSE(CONTROL!$C$33, 0.0304, 0)</f>
        <v>48.329599999999999</v>
      </c>
      <c r="D648" s="4">
        <f>62.6402 * CHOOSE(CONTROL!$C$14, $C$14, 100%, $E$14) + CHOOSE(CONTROL!$C$33, 0.0021, 0)</f>
        <v>62.642299999999999</v>
      </c>
      <c r="E648" s="4">
        <f>311.44778461173 * CHOOSE(CONTROL!$C$14, $C$14, 100%, $E$14) + CHOOSE(CONTROL!$C$33, 0.0021, 0)</f>
        <v>311.44988461173</v>
      </c>
    </row>
    <row r="649" spans="1:5" ht="15">
      <c r="A649" s="11">
        <v>60875</v>
      </c>
      <c r="B649" s="4">
        <f>49.8091 * CHOOSE(CONTROL!$C$14, $C$14, 100%, $E$14) + CHOOSE(CONTROL!$C$33, 0.0304, 0)</f>
        <v>49.839500000000001</v>
      </c>
      <c r="C649" s="4">
        <f>49.4458 * CHOOSE(CONTROL!$C$14, $C$14, 100%, $E$14) + CHOOSE(CONTROL!$C$33, 0.0304, 0)</f>
        <v>49.476199999999999</v>
      </c>
      <c r="D649" s="4">
        <f>61.9886 * CHOOSE(CONTROL!$C$14, $C$14, 100%, $E$14) + CHOOSE(CONTROL!$C$33, 0.0021, 0)</f>
        <v>61.990699999999997</v>
      </c>
      <c r="E649" s="4">
        <f>318.904496604105 * CHOOSE(CONTROL!$C$14, $C$14, 100%, $E$14) + CHOOSE(CONTROL!$C$33, 0.0021, 0)</f>
        <v>318.906596604105</v>
      </c>
    </row>
    <row r="650" spans="1:5" ht="15">
      <c r="A650" s="11">
        <v>60905</v>
      </c>
      <c r="B650" s="4">
        <f>47.855 * CHOOSE(CONTROL!$C$14, $C$14, 100%, $E$14) + CHOOSE(CONTROL!$C$33, 0.0304, 0)</f>
        <v>47.885399999999997</v>
      </c>
      <c r="C650" s="4">
        <f>47.4917 * CHOOSE(CONTROL!$C$14, $C$14, 100%, $E$14) + CHOOSE(CONTROL!$C$33, 0.0304, 0)</f>
        <v>47.522100000000002</v>
      </c>
      <c r="D650" s="4">
        <f>61.6807 * CHOOSE(CONTROL!$C$14, $C$14, 100%, $E$14) + CHOOSE(CONTROL!$C$33, 0.0021, 0)</f>
        <v>61.6828</v>
      </c>
      <c r="E650" s="4">
        <f>306.195881148663 * CHOOSE(CONTROL!$C$14, $C$14, 100%, $E$14) + CHOOSE(CONTROL!$C$33, 0.0021, 0)</f>
        <v>306.19798114866296</v>
      </c>
    </row>
    <row r="651" spans="1:5" ht="15">
      <c r="A651" s="11">
        <v>60936</v>
      </c>
      <c r="B651" s="4">
        <f>46.2907 * CHOOSE(CONTROL!$C$14, $C$14, 100%, $E$14) + CHOOSE(CONTROL!$C$33, 0.0272, 0)</f>
        <v>46.317900000000002</v>
      </c>
      <c r="C651" s="4">
        <f>45.9274 * CHOOSE(CONTROL!$C$14, $C$14, 100%, $E$14) + CHOOSE(CONTROL!$C$33, 0.0272, 0)</f>
        <v>45.954599999999999</v>
      </c>
      <c r="D651" s="4">
        <f>60.8563 * CHOOSE(CONTROL!$C$14, $C$14, 100%, $E$14) + CHOOSE(CONTROL!$C$33, 0.0021, 0)</f>
        <v>60.858399999999996</v>
      </c>
      <c r="E651" s="4">
        <f>296.022382616431 * CHOOSE(CONTROL!$C$14, $C$14, 100%, $E$14) + CHOOSE(CONTROL!$C$33, 0.0021, 0)</f>
        <v>296.02448261643099</v>
      </c>
    </row>
    <row r="652" spans="1:5" ht="15">
      <c r="A652" s="11">
        <v>60966</v>
      </c>
      <c r="B652" s="4">
        <f>45.2831 * CHOOSE(CONTROL!$C$14, $C$14, 100%, $E$14) + CHOOSE(CONTROL!$C$33, 0.0272, 0)</f>
        <v>45.310299999999998</v>
      </c>
      <c r="C652" s="4">
        <f>44.9198 * CHOOSE(CONTROL!$C$14, $C$14, 100%, $E$14) + CHOOSE(CONTROL!$C$33, 0.0272, 0)</f>
        <v>44.947000000000003</v>
      </c>
      <c r="D652" s="4">
        <f>60.5729 * CHOOSE(CONTROL!$C$14, $C$14, 100%, $E$14) + CHOOSE(CONTROL!$C$33, 0.0021, 0)</f>
        <v>60.574999999999996</v>
      </c>
      <c r="E652" s="4">
        <f>289.469889852368 * CHOOSE(CONTROL!$C$14, $C$14, 100%, $E$14) + CHOOSE(CONTROL!$C$33, 0.0021, 0)</f>
        <v>289.47198985236798</v>
      </c>
    </row>
    <row r="653" spans="1:5" ht="15">
      <c r="A653" s="11">
        <v>60997</v>
      </c>
      <c r="B653" s="4">
        <f>44.586 * CHOOSE(CONTROL!$C$14, $C$14, 100%, $E$14) + CHOOSE(CONTROL!$C$33, 0.0272, 0)</f>
        <v>44.613199999999999</v>
      </c>
      <c r="C653" s="4">
        <f>44.2228 * CHOOSE(CONTROL!$C$14, $C$14, 100%, $E$14) + CHOOSE(CONTROL!$C$33, 0.0272, 0)</f>
        <v>44.25</v>
      </c>
      <c r="D653" s="4">
        <f>58.4863 * CHOOSE(CONTROL!$C$14, $C$14, 100%, $E$14) + CHOOSE(CONTROL!$C$33, 0.0021, 0)</f>
        <v>58.488399999999999</v>
      </c>
      <c r="E653" s="4">
        <f>284.93640714604 * CHOOSE(CONTROL!$C$14, $C$14, 100%, $E$14) + CHOOSE(CONTROL!$C$33, 0.0021, 0)</f>
        <v>284.93850714603997</v>
      </c>
    </row>
    <row r="654" spans="1:5" ht="15">
      <c r="A654" s="11">
        <v>61028</v>
      </c>
      <c r="B654" s="4">
        <f>42.759 * CHOOSE(CONTROL!$C$14, $C$14, 100%, $E$14) + CHOOSE(CONTROL!$C$33, 0.0272, 0)</f>
        <v>42.786200000000001</v>
      </c>
      <c r="C654" s="4">
        <f>42.3957 * CHOOSE(CONTROL!$C$14, $C$14, 100%, $E$14) + CHOOSE(CONTROL!$C$33, 0.0272, 0)</f>
        <v>42.422899999999998</v>
      </c>
      <c r="D654" s="4">
        <f>56.0841 * CHOOSE(CONTROL!$C$14, $C$14, 100%, $E$14) + CHOOSE(CONTROL!$C$33, 0.0021, 0)</f>
        <v>56.086199999999998</v>
      </c>
      <c r="E654" s="4">
        <f>273.067647974927 * CHOOSE(CONTROL!$C$14, $C$14, 100%, $E$14) + CHOOSE(CONTROL!$C$33, 0.0021, 0)</f>
        <v>273.069747974927</v>
      </c>
    </row>
    <row r="655" spans="1:5" ht="15">
      <c r="A655" s="11">
        <v>61056</v>
      </c>
      <c r="B655" s="4">
        <f>43.7559 * CHOOSE(CONTROL!$C$14, $C$14, 100%, $E$14) + CHOOSE(CONTROL!$C$33, 0.0272, 0)</f>
        <v>43.783099999999997</v>
      </c>
      <c r="C655" s="4">
        <f>43.3926 * CHOOSE(CONTROL!$C$14, $C$14, 100%, $E$14) + CHOOSE(CONTROL!$C$33, 0.0272, 0)</f>
        <v>43.419800000000002</v>
      </c>
      <c r="D655" s="4">
        <f>57.9981 * CHOOSE(CONTROL!$C$14, $C$14, 100%, $E$14) + CHOOSE(CONTROL!$C$33, 0.0021, 0)</f>
        <v>58.0002</v>
      </c>
      <c r="E655" s="4">
        <f>279.551350072724 * CHOOSE(CONTROL!$C$14, $C$14, 100%, $E$14) + CHOOSE(CONTROL!$C$33, 0.0021, 0)</f>
        <v>279.55345007272399</v>
      </c>
    </row>
    <row r="656" spans="1:5" ht="15">
      <c r="A656" s="11">
        <v>61087</v>
      </c>
      <c r="B656" s="4">
        <f>46.3738 * CHOOSE(CONTROL!$C$14, $C$14, 100%, $E$14) + CHOOSE(CONTROL!$C$33, 0.0272, 0)</f>
        <v>46.401000000000003</v>
      </c>
      <c r="C656" s="4">
        <f>46.0106 * CHOOSE(CONTROL!$C$14, $C$14, 100%, $E$14) + CHOOSE(CONTROL!$C$33, 0.0272, 0)</f>
        <v>46.037799999999997</v>
      </c>
      <c r="D656" s="4">
        <f>60.9945 * CHOOSE(CONTROL!$C$14, $C$14, 100%, $E$14) + CHOOSE(CONTROL!$C$33, 0.0021, 0)</f>
        <v>60.996600000000001</v>
      </c>
      <c r="E656" s="4">
        <f>296.577896346393 * CHOOSE(CONTROL!$C$14, $C$14, 100%, $E$14) + CHOOSE(CONTROL!$C$33, 0.0021, 0)</f>
        <v>296.57999634639299</v>
      </c>
    </row>
    <row r="657" spans="1:5" ht="15">
      <c r="A657" s="11">
        <v>61117</v>
      </c>
      <c r="B657" s="4">
        <f>48.2339 * CHOOSE(CONTROL!$C$14, $C$14, 100%, $E$14) + CHOOSE(CONTROL!$C$33, 0.0272, 0)</f>
        <v>48.261099999999999</v>
      </c>
      <c r="C657" s="4">
        <f>47.8706 * CHOOSE(CONTROL!$C$14, $C$14, 100%, $E$14) + CHOOSE(CONTROL!$C$33, 0.0272, 0)</f>
        <v>47.897800000000004</v>
      </c>
      <c r="D657" s="4">
        <f>62.7205 * CHOOSE(CONTROL!$C$14, $C$14, 100%, $E$14) + CHOOSE(CONTROL!$C$33, 0.0021, 0)</f>
        <v>62.7226</v>
      </c>
      <c r="E657" s="4">
        <f>308.675484382399 * CHOOSE(CONTROL!$C$14, $C$14, 100%, $E$14) + CHOOSE(CONTROL!$C$33, 0.0021, 0)</f>
        <v>308.677584382399</v>
      </c>
    </row>
    <row r="658" spans="1:5" ht="15">
      <c r="A658" s="11">
        <v>61148</v>
      </c>
      <c r="B658" s="4">
        <f>49.3704 * CHOOSE(CONTROL!$C$14, $C$14, 100%, $E$14) + CHOOSE(CONTROL!$C$33, 0.0304, 0)</f>
        <v>49.400799999999997</v>
      </c>
      <c r="C658" s="4">
        <f>49.0071 * CHOOSE(CONTROL!$C$14, $C$14, 100%, $E$14) + CHOOSE(CONTROL!$C$33, 0.0304, 0)</f>
        <v>49.037500000000001</v>
      </c>
      <c r="D658" s="4">
        <f>62.0384 * CHOOSE(CONTROL!$C$14, $C$14, 100%, $E$14) + CHOOSE(CONTROL!$C$33, 0.0021, 0)</f>
        <v>62.040500000000002</v>
      </c>
      <c r="E658" s="4">
        <f>316.066820733678 * CHOOSE(CONTROL!$C$14, $C$14, 100%, $E$14) + CHOOSE(CONTROL!$C$33, 0.0021, 0)</f>
        <v>316.068920733678</v>
      </c>
    </row>
    <row r="659" spans="1:5" ht="15">
      <c r="A659" s="11">
        <v>61178</v>
      </c>
      <c r="B659" s="4">
        <f>49.5241 * CHOOSE(CONTROL!$C$14, $C$14, 100%, $E$14) + CHOOSE(CONTROL!$C$33, 0.0304, 0)</f>
        <v>49.554499999999997</v>
      </c>
      <c r="C659" s="4">
        <f>49.1609 * CHOOSE(CONTROL!$C$14, $C$14, 100%, $E$14) + CHOOSE(CONTROL!$C$33, 0.0304, 0)</f>
        <v>49.191299999999998</v>
      </c>
      <c r="D659" s="4">
        <f>62.5939 * CHOOSE(CONTROL!$C$14, $C$14, 100%, $E$14) + CHOOSE(CONTROL!$C$33, 0.0021, 0)</f>
        <v>62.595999999999997</v>
      </c>
      <c r="E659" s="4">
        <f>317.066899216682 * CHOOSE(CONTROL!$C$14, $C$14, 100%, $E$14) + CHOOSE(CONTROL!$C$33, 0.0021, 0)</f>
        <v>317.06899921668196</v>
      </c>
    </row>
    <row r="660" spans="1:5" ht="15">
      <c r="A660" s="11">
        <v>61209</v>
      </c>
      <c r="B660" s="4">
        <f>49.5086 * CHOOSE(CONTROL!$C$14, $C$14, 100%, $E$14) + CHOOSE(CONTROL!$C$33, 0.0304, 0)</f>
        <v>49.539000000000001</v>
      </c>
      <c r="C660" s="4">
        <f>49.1453 * CHOOSE(CONTROL!$C$14, $C$14, 100%, $E$14) + CHOOSE(CONTROL!$C$33, 0.0304, 0)</f>
        <v>49.175699999999999</v>
      </c>
      <c r="D660" s="4">
        <f>63.5961 * CHOOSE(CONTROL!$C$14, $C$14, 100%, $E$14) + CHOOSE(CONTROL!$C$33, 0.0021, 0)</f>
        <v>63.598199999999999</v>
      </c>
      <c r="E660" s="4">
        <f>316.966050966295 * CHOOSE(CONTROL!$C$14, $C$14, 100%, $E$14) + CHOOSE(CONTROL!$C$33, 0.0021, 0)</f>
        <v>316.96815096629496</v>
      </c>
    </row>
    <row r="661" spans="1:5" ht="15">
      <c r="A661" s="11">
        <v>61240</v>
      </c>
      <c r="B661" s="4">
        <f>50.6755 * CHOOSE(CONTROL!$C$14, $C$14, 100%, $E$14) + CHOOSE(CONTROL!$C$33, 0.0304, 0)</f>
        <v>50.7059</v>
      </c>
      <c r="C661" s="4">
        <f>50.3122 * CHOOSE(CONTROL!$C$14, $C$14, 100%, $E$14) + CHOOSE(CONTROL!$C$33, 0.0304, 0)</f>
        <v>50.342599999999997</v>
      </c>
      <c r="D661" s="4">
        <f>62.9342 * CHOOSE(CONTROL!$C$14, $C$14, 100%, $E$14) + CHOOSE(CONTROL!$C$33, 0.0021, 0)</f>
        <v>62.936299999999996</v>
      </c>
      <c r="E661" s="4">
        <f>324.554881807916 * CHOOSE(CONTROL!$C$14, $C$14, 100%, $E$14) + CHOOSE(CONTROL!$C$33, 0.0021, 0)</f>
        <v>324.55698180791597</v>
      </c>
    </row>
    <row r="662" spans="1:5" ht="15">
      <c r="A662" s="11">
        <v>61270</v>
      </c>
      <c r="B662" s="4">
        <f>48.6868 * CHOOSE(CONTROL!$C$14, $C$14, 100%, $E$14) + CHOOSE(CONTROL!$C$33, 0.0304, 0)</f>
        <v>48.717199999999998</v>
      </c>
      <c r="C662" s="4">
        <f>48.3235 * CHOOSE(CONTROL!$C$14, $C$14, 100%, $E$14) + CHOOSE(CONTROL!$C$33, 0.0304, 0)</f>
        <v>48.353900000000003</v>
      </c>
      <c r="D662" s="4">
        <f>62.6215 * CHOOSE(CONTROL!$C$14, $C$14, 100%, $E$14) + CHOOSE(CONTROL!$C$33, 0.0021, 0)</f>
        <v>62.623599999999996</v>
      </c>
      <c r="E662" s="4">
        <f>311.621093695785 * CHOOSE(CONTROL!$C$14, $C$14, 100%, $E$14) + CHOOSE(CONTROL!$C$33, 0.0021, 0)</f>
        <v>311.62319369578501</v>
      </c>
    </row>
    <row r="663" spans="1:5" ht="15">
      <c r="A663" s="11">
        <v>61301</v>
      </c>
      <c r="B663" s="4">
        <f>47.0949 * CHOOSE(CONTROL!$C$14, $C$14, 100%, $E$14) + CHOOSE(CONTROL!$C$33, 0.0272, 0)</f>
        <v>47.122100000000003</v>
      </c>
      <c r="C663" s="4">
        <f>46.7316 * CHOOSE(CONTROL!$C$14, $C$14, 100%, $E$14) + CHOOSE(CONTROL!$C$33, 0.0272, 0)</f>
        <v>46.758800000000001</v>
      </c>
      <c r="D663" s="4">
        <f>61.7842 * CHOOSE(CONTROL!$C$14, $C$14, 100%, $E$14) + CHOOSE(CONTROL!$C$33, 0.0021, 0)</f>
        <v>61.786299999999997</v>
      </c>
      <c r="E663" s="4">
        <f>301.267339989388 * CHOOSE(CONTROL!$C$14, $C$14, 100%, $E$14) + CHOOSE(CONTROL!$C$33, 0.0021, 0)</f>
        <v>301.26943998938799</v>
      </c>
    </row>
    <row r="664" spans="1:5" ht="15">
      <c r="A664" s="11">
        <v>61331</v>
      </c>
      <c r="B664" s="4">
        <f>46.0695 * CHOOSE(CONTROL!$C$14, $C$14, 100%, $E$14) + CHOOSE(CONTROL!$C$33, 0.0272, 0)</f>
        <v>46.096699999999998</v>
      </c>
      <c r="C664" s="4">
        <f>45.7063 * CHOOSE(CONTROL!$C$14, $C$14, 100%, $E$14) + CHOOSE(CONTROL!$C$33, 0.0272, 0)</f>
        <v>45.733499999999999</v>
      </c>
      <c r="D664" s="4">
        <f>61.4963 * CHOOSE(CONTROL!$C$14, $C$14, 100%, $E$14) + CHOOSE(CONTROL!$C$33, 0.0021, 0)</f>
        <v>61.498399999999997</v>
      </c>
      <c r="E664" s="4">
        <f>294.598749432549 * CHOOSE(CONTROL!$C$14, $C$14, 100%, $E$14) + CHOOSE(CONTROL!$C$33, 0.0021, 0)</f>
        <v>294.60084943254901</v>
      </c>
    </row>
    <row r="665" spans="1:5" ht="15">
      <c r="A665" s="11">
        <v>61362</v>
      </c>
      <c r="B665" s="4">
        <f>45.3601 * CHOOSE(CONTROL!$C$14, $C$14, 100%, $E$14) + CHOOSE(CONTROL!$C$33, 0.0272, 0)</f>
        <v>45.387300000000003</v>
      </c>
      <c r="C665" s="4">
        <f>44.9969 * CHOOSE(CONTROL!$C$14, $C$14, 100%, $E$14) + CHOOSE(CONTROL!$C$33, 0.0272, 0)</f>
        <v>45.024099999999997</v>
      </c>
      <c r="D665" s="4">
        <f>59.3769 * CHOOSE(CONTROL!$C$14, $C$14, 100%, $E$14) + CHOOSE(CONTROL!$C$33, 0.0021, 0)</f>
        <v>59.378999999999998</v>
      </c>
      <c r="E665" s="4">
        <f>289.984941977344 * CHOOSE(CONTROL!$C$14, $C$14, 100%, $E$14) + CHOOSE(CONTROL!$C$33, 0.0021, 0)</f>
        <v>289.98704197734401</v>
      </c>
    </row>
    <row r="666" spans="1:5" ht="15">
      <c r="A666" s="11">
        <v>61393</v>
      </c>
      <c r="B666" s="4">
        <f>43.5008 * CHOOSE(CONTROL!$C$14, $C$14, 100%, $E$14) + CHOOSE(CONTROL!$C$33, 0.0272, 0)</f>
        <v>43.527999999999999</v>
      </c>
      <c r="C666" s="4">
        <f>43.1376 * CHOOSE(CONTROL!$C$14, $C$14, 100%, $E$14) + CHOOSE(CONTROL!$C$33, 0.0272, 0)</f>
        <v>43.1648</v>
      </c>
      <c r="D666" s="4">
        <f>56.9369 * CHOOSE(CONTROL!$C$14, $C$14, 100%, $E$14) + CHOOSE(CONTROL!$C$33, 0.0021, 0)</f>
        <v>56.939</v>
      </c>
      <c r="E666" s="4">
        <f>277.90589081624 * CHOOSE(CONTROL!$C$14, $C$14, 100%, $E$14) + CHOOSE(CONTROL!$C$33, 0.0021, 0)</f>
        <v>277.90799081623999</v>
      </c>
    </row>
    <row r="667" spans="1:5" ht="15">
      <c r="A667" s="11">
        <v>61422</v>
      </c>
      <c r="B667" s="4">
        <f>44.5153 * CHOOSE(CONTROL!$C$14, $C$14, 100%, $E$14) + CHOOSE(CONTROL!$C$33, 0.0272, 0)</f>
        <v>44.542500000000004</v>
      </c>
      <c r="C667" s="4">
        <f>44.1521 * CHOOSE(CONTROL!$C$14, $C$14, 100%, $E$14) + CHOOSE(CONTROL!$C$33, 0.0272, 0)</f>
        <v>44.179299999999998</v>
      </c>
      <c r="D667" s="4">
        <f>58.881 * CHOOSE(CONTROL!$C$14, $C$14, 100%, $E$14) + CHOOSE(CONTROL!$C$33, 0.0021, 0)</f>
        <v>58.883099999999999</v>
      </c>
      <c r="E667" s="4">
        <f>284.504471866166 * CHOOSE(CONTROL!$C$14, $C$14, 100%, $E$14) + CHOOSE(CONTROL!$C$33, 0.0021, 0)</f>
        <v>284.50657186616598</v>
      </c>
    </row>
    <row r="668" spans="1:5" ht="15">
      <c r="A668" s="11">
        <v>61453</v>
      </c>
      <c r="B668" s="4">
        <f>47.1795 * CHOOSE(CONTROL!$C$14, $C$14, 100%, $E$14) + CHOOSE(CONTROL!$C$33, 0.0272, 0)</f>
        <v>47.206699999999998</v>
      </c>
      <c r="C668" s="4">
        <f>46.8162 * CHOOSE(CONTROL!$C$14, $C$14, 100%, $E$14) + CHOOSE(CONTROL!$C$33, 0.0272, 0)</f>
        <v>46.843400000000003</v>
      </c>
      <c r="D668" s="4">
        <f>61.9245 * CHOOSE(CONTROL!$C$14, $C$14, 100%, $E$14) + CHOOSE(CONTROL!$C$33, 0.0021, 0)</f>
        <v>61.926600000000001</v>
      </c>
      <c r="E668" s="4">
        <f>301.832696373166 * CHOOSE(CONTROL!$C$14, $C$14, 100%, $E$14) + CHOOSE(CONTROL!$C$33, 0.0021, 0)</f>
        <v>301.834796373166</v>
      </c>
    </row>
    <row r="669" spans="1:5" ht="15">
      <c r="A669" s="11">
        <v>61483</v>
      </c>
      <c r="B669" s="4">
        <f>49.0725 * CHOOSE(CONTROL!$C$14, $C$14, 100%, $E$14) + CHOOSE(CONTROL!$C$33, 0.0272, 0)</f>
        <v>49.099699999999999</v>
      </c>
      <c r="C669" s="4">
        <f>48.7092 * CHOOSE(CONTROL!$C$14, $C$14, 100%, $E$14) + CHOOSE(CONTROL!$C$33, 0.0272, 0)</f>
        <v>48.736400000000003</v>
      </c>
      <c r="D669" s="4">
        <f>63.6776 * CHOOSE(CONTROL!$C$14, $C$14, 100%, $E$14) + CHOOSE(CONTROL!$C$33, 0.0021, 0)</f>
        <v>63.679699999999997</v>
      </c>
      <c r="E669" s="4">
        <f>314.144630814344 * CHOOSE(CONTROL!$C$14, $C$14, 100%, $E$14) + CHOOSE(CONTROL!$C$33, 0.0021, 0)</f>
        <v>314.14673081434398</v>
      </c>
    </row>
    <row r="670" spans="1:5" ht="15">
      <c r="A670" s="11">
        <v>61514</v>
      </c>
      <c r="B670" s="4">
        <f>50.229 * CHOOSE(CONTROL!$C$14, $C$14, 100%, $E$14) + CHOOSE(CONTROL!$C$33, 0.0304, 0)</f>
        <v>50.259399999999999</v>
      </c>
      <c r="C670" s="4">
        <f>49.8657 * CHOOSE(CONTROL!$C$14, $C$14, 100%, $E$14) + CHOOSE(CONTROL!$C$33, 0.0304, 0)</f>
        <v>49.896099999999997</v>
      </c>
      <c r="D670" s="4">
        <f>62.9849 * CHOOSE(CONTROL!$C$14, $C$14, 100%, $E$14) + CHOOSE(CONTROL!$C$33, 0.0021, 0)</f>
        <v>62.987000000000002</v>
      </c>
      <c r="E670" s="4">
        <f>321.666927682018 * CHOOSE(CONTROL!$C$14, $C$14, 100%, $E$14) + CHOOSE(CONTROL!$C$33, 0.0021, 0)</f>
        <v>321.669027682018</v>
      </c>
    </row>
    <row r="671" spans="1:5" ht="15">
      <c r="A671" s="11">
        <v>61544</v>
      </c>
      <c r="B671" s="4">
        <f>50.3855 * CHOOSE(CONTROL!$C$14, $C$14, 100%, $E$14) + CHOOSE(CONTROL!$C$33, 0.0304, 0)</f>
        <v>50.415900000000001</v>
      </c>
      <c r="C671" s="4">
        <f>50.0222 * CHOOSE(CONTROL!$C$14, $C$14, 100%, $E$14) + CHOOSE(CONTROL!$C$33, 0.0304, 0)</f>
        <v>50.052599999999998</v>
      </c>
      <c r="D671" s="4">
        <f>63.549 * CHOOSE(CONTROL!$C$14, $C$14, 100%, $E$14) + CHOOSE(CONTROL!$C$33, 0.0021, 0)</f>
        <v>63.551099999999998</v>
      </c>
      <c r="E671" s="4">
        <f>322.684725666387 * CHOOSE(CONTROL!$C$14, $C$14, 100%, $E$14) + CHOOSE(CONTROL!$C$33, 0.0021, 0)</f>
        <v>322.68682566638699</v>
      </c>
    </row>
    <row r="672" spans="1:5" ht="15">
      <c r="A672" s="11">
        <v>61575</v>
      </c>
      <c r="B672" s="4">
        <f>50.3697 * CHOOSE(CONTROL!$C$14, $C$14, 100%, $E$14) + CHOOSE(CONTROL!$C$33, 0.0304, 0)</f>
        <v>50.400100000000002</v>
      </c>
      <c r="C672" s="4">
        <f>50.0064 * CHOOSE(CONTROL!$C$14, $C$14, 100%, $E$14) + CHOOSE(CONTROL!$C$33, 0.0304, 0)</f>
        <v>50.036799999999999</v>
      </c>
      <c r="D672" s="4">
        <f>64.5671 * CHOOSE(CONTROL!$C$14, $C$14, 100%, $E$14) + CHOOSE(CONTROL!$C$33, 0.0021, 0)</f>
        <v>64.569199999999995</v>
      </c>
      <c r="E672" s="4">
        <f>322.582090575526 * CHOOSE(CONTROL!$C$14, $C$14, 100%, $E$14) + CHOOSE(CONTROL!$C$33, 0.0021, 0)</f>
        <v>322.58419057552601</v>
      </c>
    </row>
    <row r="673" spans="1:5" ht="15">
      <c r="A673" s="11">
        <v>61606</v>
      </c>
      <c r="B673" s="4">
        <f>51.5571 * CHOOSE(CONTROL!$C$14, $C$14, 100%, $E$14) + CHOOSE(CONTROL!$C$33, 0.0304, 0)</f>
        <v>51.587499999999999</v>
      </c>
      <c r="C673" s="4">
        <f>51.1939 * CHOOSE(CONTROL!$C$14, $C$14, 100%, $E$14) + CHOOSE(CONTROL!$C$33, 0.0304, 0)</f>
        <v>51.224299999999999</v>
      </c>
      <c r="D673" s="4">
        <f>63.8948 * CHOOSE(CONTROL!$C$14, $C$14, 100%, $E$14) + CHOOSE(CONTROL!$C$33, 0.0021, 0)</f>
        <v>63.896899999999995</v>
      </c>
      <c r="E673" s="4">
        <f>330.305381162802 * CHOOSE(CONTROL!$C$14, $C$14, 100%, $E$14) + CHOOSE(CONTROL!$C$33, 0.0021, 0)</f>
        <v>330.30748116280199</v>
      </c>
    </row>
    <row r="674" spans="1:5" ht="15">
      <c r="A674" s="11">
        <v>61636</v>
      </c>
      <c r="B674" s="4">
        <f>49.5334 * CHOOSE(CONTROL!$C$14, $C$14, 100%, $E$14) + CHOOSE(CONTROL!$C$33, 0.0304, 0)</f>
        <v>49.563800000000001</v>
      </c>
      <c r="C674" s="4">
        <f>49.1701 * CHOOSE(CONTROL!$C$14, $C$14, 100%, $E$14) + CHOOSE(CONTROL!$C$33, 0.0304, 0)</f>
        <v>49.200499999999998</v>
      </c>
      <c r="D674" s="4">
        <f>63.5771 * CHOOSE(CONTROL!$C$14, $C$14, 100%, $E$14) + CHOOSE(CONTROL!$C$33, 0.0021, 0)</f>
        <v>63.5792</v>
      </c>
      <c r="E674" s="4">
        <f>317.142430759904 * CHOOSE(CONTROL!$C$14, $C$14, 100%, $E$14) + CHOOSE(CONTROL!$C$33, 0.0021, 0)</f>
        <v>317.144530759904</v>
      </c>
    </row>
    <row r="675" spans="1:5" ht="15">
      <c r="A675" s="11">
        <v>61667</v>
      </c>
      <c r="B675" s="4">
        <f>47.9133 * CHOOSE(CONTROL!$C$14, $C$14, 100%, $E$14) + CHOOSE(CONTROL!$C$33, 0.0272, 0)</f>
        <v>47.9405</v>
      </c>
      <c r="C675" s="4">
        <f>47.55 * CHOOSE(CONTROL!$C$14, $C$14, 100%, $E$14) + CHOOSE(CONTROL!$C$33, 0.0272, 0)</f>
        <v>47.577199999999998</v>
      </c>
      <c r="D675" s="4">
        <f>62.7266 * CHOOSE(CONTROL!$C$14, $C$14, 100%, $E$14) + CHOOSE(CONTROL!$C$33, 0.0021, 0)</f>
        <v>62.728699999999996</v>
      </c>
      <c r="E675" s="4">
        <f>306.605228098194 * CHOOSE(CONTROL!$C$14, $C$14, 100%, $E$14) + CHOOSE(CONTROL!$C$33, 0.0021, 0)</f>
        <v>306.60732809819399</v>
      </c>
    </row>
    <row r="676" spans="1:5" ht="15">
      <c r="A676" s="11">
        <v>61697</v>
      </c>
      <c r="B676" s="4">
        <f>46.8698 * CHOOSE(CONTROL!$C$14, $C$14, 100%, $E$14) + CHOOSE(CONTROL!$C$33, 0.0272, 0)</f>
        <v>46.896999999999998</v>
      </c>
      <c r="C676" s="4">
        <f>46.5066 * CHOOSE(CONTROL!$C$14, $C$14, 100%, $E$14) + CHOOSE(CONTROL!$C$33, 0.0272, 0)</f>
        <v>46.533799999999999</v>
      </c>
      <c r="D676" s="4">
        <f>62.4342 * CHOOSE(CONTROL!$C$14, $C$14, 100%, $E$14) + CHOOSE(CONTROL!$C$33, 0.0021, 0)</f>
        <v>62.436299999999996</v>
      </c>
      <c r="E676" s="4">
        <f>299.818482715023 * CHOOSE(CONTROL!$C$14, $C$14, 100%, $E$14) + CHOOSE(CONTROL!$C$33, 0.0021, 0)</f>
        <v>299.82058271502297</v>
      </c>
    </row>
    <row r="677" spans="1:5" ht="15">
      <c r="A677" s="11">
        <v>61728</v>
      </c>
      <c r="B677" s="4">
        <f>46.1479 * CHOOSE(CONTROL!$C$14, $C$14, 100%, $E$14) + CHOOSE(CONTROL!$C$33, 0.0272, 0)</f>
        <v>46.1751</v>
      </c>
      <c r="C677" s="4">
        <f>45.7846 * CHOOSE(CONTROL!$C$14, $C$14, 100%, $E$14) + CHOOSE(CONTROL!$C$33, 0.0272, 0)</f>
        <v>45.811799999999998</v>
      </c>
      <c r="D677" s="4">
        <f>60.2815 * CHOOSE(CONTROL!$C$14, $C$14, 100%, $E$14) + CHOOSE(CONTROL!$C$33, 0.0021, 0)</f>
        <v>60.2836</v>
      </c>
      <c r="E677" s="4">
        <f>295.122927308141 * CHOOSE(CONTROL!$C$14, $C$14, 100%, $E$14) + CHOOSE(CONTROL!$C$33, 0.0021, 0)</f>
        <v>295.125027308141</v>
      </c>
    </row>
    <row r="678" spans="1:5" ht="15">
      <c r="A678" s="11">
        <v>61759</v>
      </c>
      <c r="B678" s="4">
        <f>44.2558 * CHOOSE(CONTROL!$C$14, $C$14, 100%, $E$14) + CHOOSE(CONTROL!$C$33, 0.0272, 0)</f>
        <v>44.283000000000001</v>
      </c>
      <c r="C678" s="4">
        <f>43.8925 * CHOOSE(CONTROL!$C$14, $C$14, 100%, $E$14) + CHOOSE(CONTROL!$C$33, 0.0272, 0)</f>
        <v>43.919699999999999</v>
      </c>
      <c r="D678" s="4">
        <f>57.8031 * CHOOSE(CONTROL!$C$14, $C$14, 100%, $E$14) + CHOOSE(CONTROL!$C$33, 0.0021, 0)</f>
        <v>57.805199999999999</v>
      </c>
      <c r="E678" s="4">
        <f>282.829858180267 * CHOOSE(CONTROL!$C$14, $C$14, 100%, $E$14) + CHOOSE(CONTROL!$C$33, 0.0021, 0)</f>
        <v>282.83195818026701</v>
      </c>
    </row>
    <row r="679" spans="1:5" ht="15">
      <c r="A679" s="11">
        <v>61787</v>
      </c>
      <c r="B679" s="4">
        <f>45.2882 * CHOOSE(CONTROL!$C$14, $C$14, 100%, $E$14) + CHOOSE(CONTROL!$C$33, 0.0272, 0)</f>
        <v>45.315400000000004</v>
      </c>
      <c r="C679" s="4">
        <f>44.9249 * CHOOSE(CONTROL!$C$14, $C$14, 100%, $E$14) + CHOOSE(CONTROL!$C$33, 0.0272, 0)</f>
        <v>44.952100000000002</v>
      </c>
      <c r="D679" s="4">
        <f>59.7778 * CHOOSE(CONTROL!$C$14, $C$14, 100%, $E$14) + CHOOSE(CONTROL!$C$33, 0.0021, 0)</f>
        <v>59.779899999999998</v>
      </c>
      <c r="E679" s="4">
        <f>289.545353620325 * CHOOSE(CONTROL!$C$14, $C$14, 100%, $E$14) + CHOOSE(CONTROL!$C$33, 0.0021, 0)</f>
        <v>289.54745362032497</v>
      </c>
    </row>
    <row r="680" spans="1:5" ht="15">
      <c r="A680" s="11">
        <v>61818</v>
      </c>
      <c r="B680" s="4">
        <f>47.9994 * CHOOSE(CONTROL!$C$14, $C$14, 100%, $E$14) + CHOOSE(CONTROL!$C$33, 0.0272, 0)</f>
        <v>48.026600000000002</v>
      </c>
      <c r="C680" s="4">
        <f>47.6362 * CHOOSE(CONTROL!$C$14, $C$14, 100%, $E$14) + CHOOSE(CONTROL!$C$33, 0.0272, 0)</f>
        <v>47.663400000000003</v>
      </c>
      <c r="D680" s="4">
        <f>62.8691 * CHOOSE(CONTROL!$C$14, $C$14, 100%, $E$14) + CHOOSE(CONTROL!$C$33, 0.0021, 0)</f>
        <v>62.871200000000002</v>
      </c>
      <c r="E680" s="4">
        <f>307.180601529018 * CHOOSE(CONTROL!$C$14, $C$14, 100%, $E$14) + CHOOSE(CONTROL!$C$33, 0.0021, 0)</f>
        <v>307.182701529018</v>
      </c>
    </row>
    <row r="681" spans="1:5" ht="15">
      <c r="A681" s="11">
        <v>61848</v>
      </c>
      <c r="B681" s="4">
        <f>49.9258 * CHOOSE(CONTROL!$C$14, $C$14, 100%, $E$14) + CHOOSE(CONTROL!$C$33, 0.0272, 0)</f>
        <v>49.953000000000003</v>
      </c>
      <c r="C681" s="4">
        <f>49.5625 * CHOOSE(CONTROL!$C$14, $C$14, 100%, $E$14) + CHOOSE(CONTROL!$C$33, 0.0272, 0)</f>
        <v>49.589700000000001</v>
      </c>
      <c r="D681" s="4">
        <f>64.6498 * CHOOSE(CONTROL!$C$14, $C$14, 100%, $E$14) + CHOOSE(CONTROL!$C$33, 0.0021, 0)</f>
        <v>64.651899999999998</v>
      </c>
      <c r="E681" s="4">
        <f>319.710680188724 * CHOOSE(CONTROL!$C$14, $C$14, 100%, $E$14) + CHOOSE(CONTROL!$C$33, 0.0021, 0)</f>
        <v>319.71278018872397</v>
      </c>
    </row>
    <row r="682" spans="1:5" ht="15">
      <c r="A682" s="11">
        <v>61879</v>
      </c>
      <c r="B682" s="4">
        <f>51.1028 * CHOOSE(CONTROL!$C$14, $C$14, 100%, $E$14) + CHOOSE(CONTROL!$C$33, 0.0304, 0)</f>
        <v>51.133200000000002</v>
      </c>
      <c r="C682" s="4">
        <f>50.7395 * CHOOSE(CONTROL!$C$14, $C$14, 100%, $E$14) + CHOOSE(CONTROL!$C$33, 0.0304, 0)</f>
        <v>50.7699</v>
      </c>
      <c r="D682" s="4">
        <f>63.9462 * CHOOSE(CONTROL!$C$14, $C$14, 100%, $E$14) + CHOOSE(CONTROL!$C$33, 0.0021, 0)</f>
        <v>63.948299999999996</v>
      </c>
      <c r="E682" s="4">
        <f>327.366257945731 * CHOOSE(CONTROL!$C$14, $C$14, 100%, $E$14) + CHOOSE(CONTROL!$C$33, 0.0021, 0)</f>
        <v>327.36835794573096</v>
      </c>
    </row>
    <row r="683" spans="1:5" ht="15">
      <c r="A683" s="11">
        <v>61909</v>
      </c>
      <c r="B683" s="4">
        <f>51.262 * CHOOSE(CONTROL!$C$14, $C$14, 100%, $E$14) + CHOOSE(CONTROL!$C$33, 0.0304, 0)</f>
        <v>51.292400000000001</v>
      </c>
      <c r="C683" s="4">
        <f>50.8988 * CHOOSE(CONTROL!$C$14, $C$14, 100%, $E$14) + CHOOSE(CONTROL!$C$33, 0.0304, 0)</f>
        <v>50.929200000000002</v>
      </c>
      <c r="D683" s="4">
        <f>64.5192 * CHOOSE(CONTROL!$C$14, $C$14, 100%, $E$14) + CHOOSE(CONTROL!$C$33, 0.0021, 0)</f>
        <v>64.521299999999997</v>
      </c>
      <c r="E683" s="4">
        <f>328.402089387554 * CHOOSE(CONTROL!$C$14, $C$14, 100%, $E$14) + CHOOSE(CONTROL!$C$33, 0.0021, 0)</f>
        <v>328.40418938755397</v>
      </c>
    </row>
    <row r="684" spans="1:5" ht="15">
      <c r="A684" s="11">
        <v>61940</v>
      </c>
      <c r="B684" s="4">
        <f>51.246 * CHOOSE(CONTROL!$C$14, $C$14, 100%, $E$14) + CHOOSE(CONTROL!$C$33, 0.0304, 0)</f>
        <v>51.276400000000002</v>
      </c>
      <c r="C684" s="4">
        <f>50.8827 * CHOOSE(CONTROL!$C$14, $C$14, 100%, $E$14) + CHOOSE(CONTROL!$C$33, 0.0304, 0)</f>
        <v>50.9131</v>
      </c>
      <c r="D684" s="4">
        <f>65.5532 * CHOOSE(CONTROL!$C$14, $C$14, 100%, $E$14) + CHOOSE(CONTROL!$C$33, 0.0021, 0)</f>
        <v>65.555300000000003</v>
      </c>
      <c r="E684" s="4">
        <f>328.297635796782 * CHOOSE(CONTROL!$C$14, $C$14, 100%, $E$14) + CHOOSE(CONTROL!$C$33, 0.0021, 0)</f>
        <v>328.29973579678199</v>
      </c>
    </row>
    <row r="685" spans="1:5" ht="15">
      <c r="A685" s="11">
        <v>61971</v>
      </c>
      <c r="B685" s="4">
        <f>52.4544 * CHOOSE(CONTROL!$C$14, $C$14, 100%, $E$14) + CHOOSE(CONTROL!$C$33, 0.0304, 0)</f>
        <v>52.4848</v>
      </c>
      <c r="C685" s="4">
        <f>52.0911 * CHOOSE(CONTROL!$C$14, $C$14, 100%, $E$14) + CHOOSE(CONTROL!$C$33, 0.0304, 0)</f>
        <v>52.121499999999997</v>
      </c>
      <c r="D685" s="4">
        <f>64.8704 * CHOOSE(CONTROL!$C$14, $C$14, 100%, $E$14) + CHOOSE(CONTROL!$C$33, 0.0021, 0)</f>
        <v>64.872500000000002</v>
      </c>
      <c r="E685" s="4">
        <f>336.157768502384 * CHOOSE(CONTROL!$C$14, $C$14, 100%, $E$14) + CHOOSE(CONTROL!$C$33, 0.0021, 0)</f>
        <v>336.15986850238397</v>
      </c>
    </row>
    <row r="686" spans="1:5" ht="15">
      <c r="A686" s="11">
        <v>62001</v>
      </c>
      <c r="B686" s="4">
        <f>50.3949 * CHOOSE(CONTROL!$C$14, $C$14, 100%, $E$14) + CHOOSE(CONTROL!$C$33, 0.0304, 0)</f>
        <v>50.4253</v>
      </c>
      <c r="C686" s="4">
        <f>50.0316 * CHOOSE(CONTROL!$C$14, $C$14, 100%, $E$14) + CHOOSE(CONTROL!$C$33, 0.0304, 0)</f>
        <v>50.061999999999998</v>
      </c>
      <c r="D686" s="4">
        <f>64.5477 * CHOOSE(CONTROL!$C$14, $C$14, 100%, $E$14) + CHOOSE(CONTROL!$C$33, 0.0021, 0)</f>
        <v>64.549800000000005</v>
      </c>
      <c r="E686" s="4">
        <f>322.76159548586 * CHOOSE(CONTROL!$C$14, $C$14, 100%, $E$14) + CHOOSE(CONTROL!$C$33, 0.0021, 0)</f>
        <v>322.76369548586001</v>
      </c>
    </row>
    <row r="687" spans="1:5" ht="15">
      <c r="A687" s="11">
        <v>62032</v>
      </c>
      <c r="B687" s="4">
        <f>48.7462 * CHOOSE(CONTROL!$C$14, $C$14, 100%, $E$14) + CHOOSE(CONTROL!$C$33, 0.0272, 0)</f>
        <v>48.773400000000002</v>
      </c>
      <c r="C687" s="4">
        <f>48.3829 * CHOOSE(CONTROL!$C$14, $C$14, 100%, $E$14) + CHOOSE(CONTROL!$C$33, 0.0272, 0)</f>
        <v>48.4101</v>
      </c>
      <c r="D687" s="4">
        <f>63.6839 * CHOOSE(CONTROL!$C$14, $C$14, 100%, $E$14) + CHOOSE(CONTROL!$C$33, 0.0021, 0)</f>
        <v>63.686</v>
      </c>
      <c r="E687" s="4">
        <f>312.037693499922 * CHOOSE(CONTROL!$C$14, $C$14, 100%, $E$14) + CHOOSE(CONTROL!$C$33, 0.0021, 0)</f>
        <v>312.03979349992198</v>
      </c>
    </row>
    <row r="688" spans="1:5" ht="15">
      <c r="A688" s="11">
        <v>62062</v>
      </c>
      <c r="B688" s="4">
        <f>47.6843 * CHOOSE(CONTROL!$C$14, $C$14, 100%, $E$14) + CHOOSE(CONTROL!$C$33, 0.0272, 0)</f>
        <v>47.711500000000001</v>
      </c>
      <c r="C688" s="4">
        <f>47.321 * CHOOSE(CONTROL!$C$14, $C$14, 100%, $E$14) + CHOOSE(CONTROL!$C$33, 0.0272, 0)</f>
        <v>47.348199999999999</v>
      </c>
      <c r="D688" s="4">
        <f>63.3869 * CHOOSE(CONTROL!$C$14, $C$14, 100%, $E$14) + CHOOSE(CONTROL!$C$33, 0.0021, 0)</f>
        <v>63.388999999999996</v>
      </c>
      <c r="E688" s="4">
        <f>305.130699810115 * CHOOSE(CONTROL!$C$14, $C$14, 100%, $E$14) + CHOOSE(CONTROL!$C$33, 0.0021, 0)</f>
        <v>305.13279981011499</v>
      </c>
    </row>
    <row r="689" spans="1:5" ht="15">
      <c r="A689" s="11">
        <v>62093</v>
      </c>
      <c r="B689" s="4">
        <f>46.9496 * CHOOSE(CONTROL!$C$14, $C$14, 100%, $E$14) + CHOOSE(CONTROL!$C$33, 0.0272, 0)</f>
        <v>46.976799999999997</v>
      </c>
      <c r="C689" s="4">
        <f>46.5863 * CHOOSE(CONTROL!$C$14, $C$14, 100%, $E$14) + CHOOSE(CONTROL!$C$33, 0.0272, 0)</f>
        <v>46.613500000000002</v>
      </c>
      <c r="D689" s="4">
        <f>61.2003 * CHOOSE(CONTROL!$C$14, $C$14, 100%, $E$14) + CHOOSE(CONTROL!$C$33, 0.0021, 0)</f>
        <v>61.202399999999997</v>
      </c>
      <c r="E689" s="4">
        <f>300.35194803229 * CHOOSE(CONTROL!$C$14, $C$14, 100%, $E$14) + CHOOSE(CONTROL!$C$33, 0.0021, 0)</f>
        <v>300.35404803229</v>
      </c>
    </row>
    <row r="690" spans="1:5" ht="15">
      <c r="A690" s="11">
        <v>62124</v>
      </c>
      <c r="B690" s="4">
        <f>45.024 * CHOOSE(CONTROL!$C$14, $C$14, 100%, $E$14) + CHOOSE(CONTROL!$C$33, 0.0272, 0)</f>
        <v>45.051200000000001</v>
      </c>
      <c r="C690" s="4">
        <f>44.6607 * CHOOSE(CONTROL!$C$14, $C$14, 100%, $E$14) + CHOOSE(CONTROL!$C$33, 0.0272, 0)</f>
        <v>44.687899999999999</v>
      </c>
      <c r="D690" s="4">
        <f>58.6829 * CHOOSE(CONTROL!$C$14, $C$14, 100%, $E$14) + CHOOSE(CONTROL!$C$33, 0.0021, 0)</f>
        <v>58.684999999999995</v>
      </c>
      <c r="E690" s="4">
        <f>287.8410689436 * CHOOSE(CONTROL!$C$14, $C$14, 100%, $E$14) + CHOOSE(CONTROL!$C$33, 0.0021, 0)</f>
        <v>287.84316894360001</v>
      </c>
    </row>
    <row r="691" spans="1:5" ht="15">
      <c r="A691" s="11">
        <v>62152</v>
      </c>
      <c r="B691" s="4">
        <f>46.0747 * CHOOSE(CONTROL!$C$14, $C$14, 100%, $E$14) + CHOOSE(CONTROL!$C$33, 0.0272, 0)</f>
        <v>46.101900000000001</v>
      </c>
      <c r="C691" s="4">
        <f>45.7114 * CHOOSE(CONTROL!$C$14, $C$14, 100%, $E$14) + CHOOSE(CONTROL!$C$33, 0.0272, 0)</f>
        <v>45.738599999999998</v>
      </c>
      <c r="D691" s="4">
        <f>60.6887 * CHOOSE(CONTROL!$C$14, $C$14, 100%, $E$14) + CHOOSE(CONTROL!$C$33, 0.0021, 0)</f>
        <v>60.690799999999996</v>
      </c>
      <c r="E691" s="4">
        <f>294.675550275907 * CHOOSE(CONTROL!$C$14, $C$14, 100%, $E$14) + CHOOSE(CONTROL!$C$33, 0.0021, 0)</f>
        <v>294.67765027590701</v>
      </c>
    </row>
    <row r="692" spans="1:5" ht="15">
      <c r="A692" s="11">
        <v>62183</v>
      </c>
      <c r="B692" s="4">
        <f>48.8338 * CHOOSE(CONTROL!$C$14, $C$14, 100%, $E$14) + CHOOSE(CONTROL!$C$33, 0.0272, 0)</f>
        <v>48.860999999999997</v>
      </c>
      <c r="C692" s="4">
        <f>48.4706 * CHOOSE(CONTROL!$C$14, $C$14, 100%, $E$14) + CHOOSE(CONTROL!$C$33, 0.0272, 0)</f>
        <v>48.497799999999998</v>
      </c>
      <c r="D692" s="4">
        <f>63.8286 * CHOOSE(CONTROL!$C$14, $C$14, 100%, $E$14) + CHOOSE(CONTROL!$C$33, 0.0021, 0)</f>
        <v>63.8307</v>
      </c>
      <c r="E692" s="4">
        <f>312.623261460942 * CHOOSE(CONTROL!$C$14, $C$14, 100%, $E$14) + CHOOSE(CONTROL!$C$33, 0.0021, 0)</f>
        <v>312.62536146094197</v>
      </c>
    </row>
    <row r="693" spans="1:5" ht="15">
      <c r="A693" s="11">
        <v>62213</v>
      </c>
      <c r="B693" s="4">
        <f>50.7943 * CHOOSE(CONTROL!$C$14, $C$14, 100%, $E$14) + CHOOSE(CONTROL!$C$33, 0.0272, 0)</f>
        <v>50.8215</v>
      </c>
      <c r="C693" s="4">
        <f>50.431 * CHOOSE(CONTROL!$C$14, $C$14, 100%, $E$14) + CHOOSE(CONTROL!$C$33, 0.0272, 0)</f>
        <v>50.458199999999998</v>
      </c>
      <c r="D693" s="4">
        <f>65.6373 * CHOOSE(CONTROL!$C$14, $C$14, 100%, $E$14) + CHOOSE(CONTROL!$C$33, 0.0021, 0)</f>
        <v>65.639399999999995</v>
      </c>
      <c r="E693" s="4">
        <f>325.375349442609 * CHOOSE(CONTROL!$C$14, $C$14, 100%, $E$14) + CHOOSE(CONTROL!$C$33, 0.0021, 0)</f>
        <v>325.37744944260896</v>
      </c>
    </row>
    <row r="694" spans="1:5" ht="15">
      <c r="A694" s="11">
        <v>62244</v>
      </c>
      <c r="B694" s="4">
        <f>51.992 * CHOOSE(CONTROL!$C$14, $C$14, 100%, $E$14) + CHOOSE(CONTROL!$C$33, 0.0304, 0)</f>
        <v>52.022399999999998</v>
      </c>
      <c r="C694" s="4">
        <f>51.6287 * CHOOSE(CONTROL!$C$14, $C$14, 100%, $E$14) + CHOOSE(CONTROL!$C$33, 0.0304, 0)</f>
        <v>51.659100000000002</v>
      </c>
      <c r="D694" s="4">
        <f>64.9226 * CHOOSE(CONTROL!$C$14, $C$14, 100%, $E$14) + CHOOSE(CONTROL!$C$33, 0.0021, 0)</f>
        <v>64.924700000000001</v>
      </c>
      <c r="E694" s="4">
        <f>333.166569574513 * CHOOSE(CONTROL!$C$14, $C$14, 100%, $E$14) + CHOOSE(CONTROL!$C$33, 0.0021, 0)</f>
        <v>333.16866957451299</v>
      </c>
    </row>
    <row r="695" spans="1:5" ht="15">
      <c r="A695" s="11">
        <v>62274</v>
      </c>
      <c r="B695" s="4">
        <f>52.1541 * CHOOSE(CONTROL!$C$14, $C$14, 100%, $E$14) + CHOOSE(CONTROL!$C$33, 0.0304, 0)</f>
        <v>52.1845</v>
      </c>
      <c r="C695" s="4">
        <f>51.7908 * CHOOSE(CONTROL!$C$14, $C$14, 100%, $E$14) + CHOOSE(CONTROL!$C$33, 0.0304, 0)</f>
        <v>51.821199999999997</v>
      </c>
      <c r="D695" s="4">
        <f>65.5047 * CHOOSE(CONTROL!$C$14, $C$14, 100%, $E$14) + CHOOSE(CONTROL!$C$33, 0.0021, 0)</f>
        <v>65.506799999999998</v>
      </c>
      <c r="E695" s="4">
        <f>334.220753992587 * CHOOSE(CONTROL!$C$14, $C$14, 100%, $E$14) + CHOOSE(CONTROL!$C$33, 0.0021, 0)</f>
        <v>334.22285399258698</v>
      </c>
    </row>
    <row r="696" spans="1:5" ht="15">
      <c r="A696" s="11">
        <v>62305</v>
      </c>
      <c r="B696" s="4">
        <f>52.1377 * CHOOSE(CONTROL!$C$14, $C$14, 100%, $E$14) + CHOOSE(CONTROL!$C$33, 0.0304, 0)</f>
        <v>52.168100000000003</v>
      </c>
      <c r="C696" s="4">
        <f>51.7745 * CHOOSE(CONTROL!$C$14, $C$14, 100%, $E$14) + CHOOSE(CONTROL!$C$33, 0.0304, 0)</f>
        <v>51.804900000000004</v>
      </c>
      <c r="D696" s="4">
        <f>66.555 * CHOOSE(CONTROL!$C$14, $C$14, 100%, $E$14) + CHOOSE(CONTROL!$C$33, 0.0021, 0)</f>
        <v>66.557100000000005</v>
      </c>
      <c r="E696" s="4">
        <f>334.114449681521 * CHOOSE(CONTROL!$C$14, $C$14, 100%, $E$14) + CHOOSE(CONTROL!$C$33, 0.0021, 0)</f>
        <v>334.11654968152101</v>
      </c>
    </row>
    <row r="697" spans="1:5" ht="15">
      <c r="A697" s="11">
        <v>62336</v>
      </c>
      <c r="B697" s="4">
        <f>53.3675 * CHOOSE(CONTROL!$C$14, $C$14, 100%, $E$14) + CHOOSE(CONTROL!$C$33, 0.0304, 0)</f>
        <v>53.3979</v>
      </c>
      <c r="C697" s="4">
        <f>53.0042 * CHOOSE(CONTROL!$C$14, $C$14, 100%, $E$14) + CHOOSE(CONTROL!$C$33, 0.0304, 0)</f>
        <v>53.034599999999998</v>
      </c>
      <c r="D697" s="4">
        <f>65.8613 * CHOOSE(CONTROL!$C$14, $C$14, 100%, $E$14) + CHOOSE(CONTROL!$C$33, 0.0021, 0)</f>
        <v>65.863399999999999</v>
      </c>
      <c r="E697" s="4">
        <f>342.113849089264 * CHOOSE(CONTROL!$C$14, $C$14, 100%, $E$14) + CHOOSE(CONTROL!$C$33, 0.0021, 0)</f>
        <v>342.11594908926401</v>
      </c>
    </row>
    <row r="698" spans="1:5" ht="15">
      <c r="A698" s="11">
        <v>62366</v>
      </c>
      <c r="B698" s="4">
        <f>51.2716 * CHOOSE(CONTROL!$C$14, $C$14, 100%, $E$14) + CHOOSE(CONTROL!$C$33, 0.0304, 0)</f>
        <v>51.302</v>
      </c>
      <c r="C698" s="4">
        <f>50.9083 * CHOOSE(CONTROL!$C$14, $C$14, 100%, $E$14) + CHOOSE(CONTROL!$C$33, 0.0304, 0)</f>
        <v>50.938699999999997</v>
      </c>
      <c r="D698" s="4">
        <f>65.5336 * CHOOSE(CONTROL!$C$14, $C$14, 100%, $E$14) + CHOOSE(CONTROL!$C$33, 0.0021, 0)</f>
        <v>65.535700000000006</v>
      </c>
      <c r="E698" s="4">
        <f>328.480321195005 * CHOOSE(CONTROL!$C$14, $C$14, 100%, $E$14) + CHOOSE(CONTROL!$C$33, 0.0021, 0)</f>
        <v>328.48242119500497</v>
      </c>
    </row>
    <row r="699" spans="1:5" ht="15">
      <c r="A699" s="11">
        <v>62397</v>
      </c>
      <c r="B699" s="4">
        <f>49.5938 * CHOOSE(CONTROL!$C$14, $C$14, 100%, $E$14) + CHOOSE(CONTROL!$C$33, 0.0272, 0)</f>
        <v>49.621000000000002</v>
      </c>
      <c r="C699" s="4">
        <f>49.2305 * CHOOSE(CONTROL!$C$14, $C$14, 100%, $E$14) + CHOOSE(CONTROL!$C$33, 0.0272, 0)</f>
        <v>49.2577</v>
      </c>
      <c r="D699" s="4">
        <f>64.6562 * CHOOSE(CONTROL!$C$14, $C$14, 100%, $E$14) + CHOOSE(CONTROL!$C$33, 0.0021, 0)</f>
        <v>64.658299999999997</v>
      </c>
      <c r="E699" s="4">
        <f>317.566411925527 * CHOOSE(CONTROL!$C$14, $C$14, 100%, $E$14) + CHOOSE(CONTROL!$C$33, 0.0021, 0)</f>
        <v>317.56851192552699</v>
      </c>
    </row>
    <row r="700" spans="1:5" ht="15">
      <c r="A700" s="11">
        <v>62427</v>
      </c>
      <c r="B700" s="4">
        <f>48.5131 * CHOOSE(CONTROL!$C$14, $C$14, 100%, $E$14) + CHOOSE(CONTROL!$C$33, 0.0272, 0)</f>
        <v>48.540300000000002</v>
      </c>
      <c r="C700" s="4">
        <f>48.1498 * CHOOSE(CONTROL!$C$14, $C$14, 100%, $E$14) + CHOOSE(CONTROL!$C$33, 0.0272, 0)</f>
        <v>48.177</v>
      </c>
      <c r="D700" s="4">
        <f>64.3545 * CHOOSE(CONTROL!$C$14, $C$14, 100%, $E$14) + CHOOSE(CONTROL!$C$33, 0.0021, 0)</f>
        <v>64.3566</v>
      </c>
      <c r="E700" s="4">
        <f>310.537039356265 * CHOOSE(CONTROL!$C$14, $C$14, 100%, $E$14) + CHOOSE(CONTROL!$C$33, 0.0021, 0)</f>
        <v>310.53913935626497</v>
      </c>
    </row>
    <row r="701" spans="1:5" ht="15">
      <c r="A701" s="11">
        <v>62458</v>
      </c>
      <c r="B701" s="4">
        <f>47.7655 * CHOOSE(CONTROL!$C$14, $C$14, 100%, $E$14) + CHOOSE(CONTROL!$C$33, 0.0272, 0)</f>
        <v>47.792700000000004</v>
      </c>
      <c r="C701" s="4">
        <f>47.4022 * CHOOSE(CONTROL!$C$14, $C$14, 100%, $E$14) + CHOOSE(CONTROL!$C$33, 0.0272, 0)</f>
        <v>47.429400000000001</v>
      </c>
      <c r="D701" s="4">
        <f>62.1336 * CHOOSE(CONTROL!$C$14, $C$14, 100%, $E$14) + CHOOSE(CONTROL!$C$33, 0.0021, 0)</f>
        <v>62.1357</v>
      </c>
      <c r="E701" s="4">
        <f>305.67361712498 * CHOOSE(CONTROL!$C$14, $C$14, 100%, $E$14) + CHOOSE(CONTROL!$C$33, 0.0021, 0)</f>
        <v>305.67571712498</v>
      </c>
    </row>
    <row r="702" spans="1:5" ht="15">
      <c r="A702" s="11">
        <v>62489</v>
      </c>
      <c r="B702" s="4">
        <f>45.8058 * CHOOSE(CONTROL!$C$14, $C$14, 100%, $E$14) + CHOOSE(CONTROL!$C$33, 0.0272, 0)</f>
        <v>45.832999999999998</v>
      </c>
      <c r="C702" s="4">
        <f>45.4426 * CHOOSE(CONTROL!$C$14, $C$14, 100%, $E$14) + CHOOSE(CONTROL!$C$33, 0.0272, 0)</f>
        <v>45.469799999999999</v>
      </c>
      <c r="D702" s="4">
        <f>59.5766 * CHOOSE(CONTROL!$C$14, $C$14, 100%, $E$14) + CHOOSE(CONTROL!$C$33, 0.0021, 0)</f>
        <v>59.578699999999998</v>
      </c>
      <c r="E702" s="4">
        <f>292.941068894455 * CHOOSE(CONTROL!$C$14, $C$14, 100%, $E$14) + CHOOSE(CONTROL!$C$33, 0.0021, 0)</f>
        <v>292.94316889445497</v>
      </c>
    </row>
    <row r="703" spans="1:5" ht="15">
      <c r="A703" s="11">
        <v>62517</v>
      </c>
      <c r="B703" s="4">
        <f>46.8751 * CHOOSE(CONTROL!$C$14, $C$14, 100%, $E$14) + CHOOSE(CONTROL!$C$33, 0.0272, 0)</f>
        <v>46.902300000000004</v>
      </c>
      <c r="C703" s="4">
        <f>46.5118 * CHOOSE(CONTROL!$C$14, $C$14, 100%, $E$14) + CHOOSE(CONTROL!$C$33, 0.0272, 0)</f>
        <v>46.539000000000001</v>
      </c>
      <c r="D703" s="4">
        <f>61.6139 * CHOOSE(CONTROL!$C$14, $C$14, 100%, $E$14) + CHOOSE(CONTROL!$C$33, 0.0021, 0)</f>
        <v>61.616</v>
      </c>
      <c r="E703" s="4">
        <f>299.896644324233 * CHOOSE(CONTROL!$C$14, $C$14, 100%, $E$14) + CHOOSE(CONTROL!$C$33, 0.0021, 0)</f>
        <v>299.89874432423301</v>
      </c>
    </row>
    <row r="704" spans="1:5" ht="15">
      <c r="A704" s="11">
        <v>62548</v>
      </c>
      <c r="B704" s="4">
        <f>49.683 * CHOOSE(CONTROL!$C$14, $C$14, 100%, $E$14) + CHOOSE(CONTROL!$C$33, 0.0272, 0)</f>
        <v>49.7102</v>
      </c>
      <c r="C704" s="4">
        <f>49.3197 * CHOOSE(CONTROL!$C$14, $C$14, 100%, $E$14) + CHOOSE(CONTROL!$C$33, 0.0272, 0)</f>
        <v>49.346899999999998</v>
      </c>
      <c r="D704" s="4">
        <f>64.8032 * CHOOSE(CONTROL!$C$14, $C$14, 100%, $E$14) + CHOOSE(CONTROL!$C$33, 0.0021, 0)</f>
        <v>64.805300000000003</v>
      </c>
      <c r="E704" s="4">
        <f>318.162355044558 * CHOOSE(CONTROL!$C$14, $C$14, 100%, $E$14) + CHOOSE(CONTROL!$C$33, 0.0021, 0)</f>
        <v>318.164455044558</v>
      </c>
    </row>
    <row r="705" spans="1:5" ht="15">
      <c r="A705" s="11">
        <v>62578</v>
      </c>
      <c r="B705" s="4">
        <f>51.678 * CHOOSE(CONTROL!$C$14, $C$14, 100%, $E$14) + CHOOSE(CONTROL!$C$33, 0.0272, 0)</f>
        <v>51.705199999999998</v>
      </c>
      <c r="C705" s="4">
        <f>51.3148 * CHOOSE(CONTROL!$C$14, $C$14, 100%, $E$14) + CHOOSE(CONTROL!$C$33, 0.0272, 0)</f>
        <v>51.341999999999999</v>
      </c>
      <c r="D705" s="4">
        <f>66.6403 * CHOOSE(CONTROL!$C$14, $C$14, 100%, $E$14) + CHOOSE(CONTROL!$C$33, 0.0021, 0)</f>
        <v>66.642399999999995</v>
      </c>
      <c r="E705" s="4">
        <f>331.14038593395 * CHOOSE(CONTROL!$C$14, $C$14, 100%, $E$14) + CHOOSE(CONTROL!$C$33, 0.0021, 0)</f>
        <v>331.14248593394996</v>
      </c>
    </row>
    <row r="706" spans="1:5" ht="15">
      <c r="A706" s="11">
        <v>62609</v>
      </c>
      <c r="B706" s="4">
        <f>52.897 * CHOOSE(CONTROL!$C$14, $C$14, 100%, $E$14) + CHOOSE(CONTROL!$C$33, 0.0304, 0)</f>
        <v>52.927399999999999</v>
      </c>
      <c r="C706" s="4">
        <f>52.5337 * CHOOSE(CONTROL!$C$14, $C$14, 100%, $E$14) + CHOOSE(CONTROL!$C$33, 0.0304, 0)</f>
        <v>52.564100000000003</v>
      </c>
      <c r="D706" s="4">
        <f>65.9144 * CHOOSE(CONTROL!$C$14, $C$14, 100%, $E$14) + CHOOSE(CONTROL!$C$33, 0.0021, 0)</f>
        <v>65.916499999999999</v>
      </c>
      <c r="E706" s="4">
        <f>339.069651767379 * CHOOSE(CONTROL!$C$14, $C$14, 100%, $E$14) + CHOOSE(CONTROL!$C$33, 0.0021, 0)</f>
        <v>339.071751767379</v>
      </c>
    </row>
    <row r="707" spans="1:5" ht="15">
      <c r="A707" s="11">
        <v>62639</v>
      </c>
      <c r="B707" s="4">
        <f>53.0619 * CHOOSE(CONTROL!$C$14, $C$14, 100%, $E$14) + CHOOSE(CONTROL!$C$33, 0.0304, 0)</f>
        <v>53.092300000000002</v>
      </c>
      <c r="C707" s="4">
        <f>52.6986 * CHOOSE(CONTROL!$C$14, $C$14, 100%, $E$14) + CHOOSE(CONTROL!$C$33, 0.0304, 0)</f>
        <v>52.728999999999999</v>
      </c>
      <c r="D707" s="4">
        <f>66.5056 * CHOOSE(CONTROL!$C$14, $C$14, 100%, $E$14) + CHOOSE(CONTROL!$C$33, 0.0021, 0)</f>
        <v>66.5077</v>
      </c>
      <c r="E707" s="4">
        <f>340.142514341771 * CHOOSE(CONTROL!$C$14, $C$14, 100%, $E$14) + CHOOSE(CONTROL!$C$33, 0.0021, 0)</f>
        <v>340.14461434177099</v>
      </c>
    </row>
    <row r="708" spans="1:5" ht="15">
      <c r="A708" s="11">
        <v>62670</v>
      </c>
      <c r="B708" s="4">
        <f>53.0453 * CHOOSE(CONTROL!$C$14, $C$14, 100%, $E$14) + CHOOSE(CONTROL!$C$33, 0.0304, 0)</f>
        <v>53.075699999999998</v>
      </c>
      <c r="C708" s="4">
        <f>52.682 * CHOOSE(CONTROL!$C$14, $C$14, 100%, $E$14) + CHOOSE(CONTROL!$C$33, 0.0304, 0)</f>
        <v>52.712400000000002</v>
      </c>
      <c r="D708" s="4">
        <f>67.5724 * CHOOSE(CONTROL!$C$14, $C$14, 100%, $E$14) + CHOOSE(CONTROL!$C$33, 0.0021, 0)</f>
        <v>67.5745</v>
      </c>
      <c r="E708" s="4">
        <f>340.034326519143 * CHOOSE(CONTROL!$C$14, $C$14, 100%, $E$14) + CHOOSE(CONTROL!$C$33, 0.0021, 0)</f>
        <v>340.03642651914299</v>
      </c>
    </row>
    <row r="709" spans="1:5" ht="15">
      <c r="A709" s="11">
        <v>62701</v>
      </c>
      <c r="B709" s="4">
        <f>54.2968 * CHOOSE(CONTROL!$C$14, $C$14, 100%, $E$14) + CHOOSE(CONTROL!$C$33, 0.0304, 0)</f>
        <v>54.327199999999998</v>
      </c>
      <c r="C709" s="4">
        <f>53.9335 * CHOOSE(CONTROL!$C$14, $C$14, 100%, $E$14) + CHOOSE(CONTROL!$C$33, 0.0304, 0)</f>
        <v>53.963900000000002</v>
      </c>
      <c r="D709" s="4">
        <f>66.8679 * CHOOSE(CONTROL!$C$14, $C$14, 100%, $E$14) + CHOOSE(CONTROL!$C$33, 0.0021, 0)</f>
        <v>66.87</v>
      </c>
      <c r="E709" s="4">
        <f>348.175460171884 * CHOOSE(CONTROL!$C$14, $C$14, 100%, $E$14) + CHOOSE(CONTROL!$C$33, 0.0021, 0)</f>
        <v>348.17756017188401</v>
      </c>
    </row>
    <row r="710" spans="1:5" ht="15">
      <c r="A710" s="11">
        <v>62731</v>
      </c>
      <c r="B710" s="4">
        <f>52.1638 * CHOOSE(CONTROL!$C$14, $C$14, 100%, $E$14) + CHOOSE(CONTROL!$C$33, 0.0304, 0)</f>
        <v>52.194200000000002</v>
      </c>
      <c r="C710" s="4">
        <f>51.8005 * CHOOSE(CONTROL!$C$14, $C$14, 100%, $E$14) + CHOOSE(CONTROL!$C$33, 0.0304, 0)</f>
        <v>51.8309</v>
      </c>
      <c r="D710" s="4">
        <f>66.535 * CHOOSE(CONTROL!$C$14, $C$14, 100%, $E$14) + CHOOSE(CONTROL!$C$33, 0.0021, 0)</f>
        <v>66.537099999999995</v>
      </c>
      <c r="E710" s="4">
        <f>334.30037191987 * CHOOSE(CONTROL!$C$14, $C$14, 100%, $E$14) + CHOOSE(CONTROL!$C$33, 0.0021, 0)</f>
        <v>334.30247191986996</v>
      </c>
    </row>
    <row r="711" spans="1:5" ht="15">
      <c r="A711" s="11">
        <v>62762</v>
      </c>
      <c r="B711" s="4">
        <f>50.4563 * CHOOSE(CONTROL!$C$14, $C$14, 100%, $E$14) + CHOOSE(CONTROL!$C$33, 0.0272, 0)</f>
        <v>50.483499999999999</v>
      </c>
      <c r="C711" s="4">
        <f>50.0931 * CHOOSE(CONTROL!$C$14, $C$14, 100%, $E$14) + CHOOSE(CONTROL!$C$33, 0.0272, 0)</f>
        <v>50.1203</v>
      </c>
      <c r="D711" s="4">
        <f>65.6438 * CHOOSE(CONTROL!$C$14, $C$14, 100%, $E$14) + CHOOSE(CONTROL!$C$33, 0.0021, 0)</f>
        <v>65.645899999999997</v>
      </c>
      <c r="E711" s="4">
        <f>323.19308879675 * CHOOSE(CONTROL!$C$14, $C$14, 100%, $E$14) + CHOOSE(CONTROL!$C$33, 0.0021, 0)</f>
        <v>323.19518879674996</v>
      </c>
    </row>
    <row r="712" spans="1:5" ht="15">
      <c r="A712" s="11">
        <v>62792</v>
      </c>
      <c r="B712" s="4">
        <f>49.3566 * CHOOSE(CONTROL!$C$14, $C$14, 100%, $E$14) + CHOOSE(CONTROL!$C$33, 0.0272, 0)</f>
        <v>49.383800000000001</v>
      </c>
      <c r="C712" s="4">
        <f>48.9933 * CHOOSE(CONTROL!$C$14, $C$14, 100%, $E$14) + CHOOSE(CONTROL!$C$33, 0.0272, 0)</f>
        <v>49.020499999999998</v>
      </c>
      <c r="D712" s="4">
        <f>65.3373 * CHOOSE(CONTROL!$C$14, $C$14, 100%, $E$14) + CHOOSE(CONTROL!$C$33, 0.0021, 0)</f>
        <v>65.339399999999998</v>
      </c>
      <c r="E712" s="4">
        <f>316.039169025488 * CHOOSE(CONTROL!$C$14, $C$14, 100%, $E$14) + CHOOSE(CONTROL!$C$33, 0.0021, 0)</f>
        <v>316.04126902548796</v>
      </c>
    </row>
    <row r="713" spans="1:5" ht="15">
      <c r="A713" s="11">
        <v>62823</v>
      </c>
      <c r="B713" s="4">
        <f>48.5957 * CHOOSE(CONTROL!$C$14, $C$14, 100%, $E$14) + CHOOSE(CONTROL!$C$33, 0.0272, 0)</f>
        <v>48.622900000000001</v>
      </c>
      <c r="C713" s="4">
        <f>48.2324 * CHOOSE(CONTROL!$C$14, $C$14, 100%, $E$14) + CHOOSE(CONTROL!$C$33, 0.0272, 0)</f>
        <v>48.259599999999999</v>
      </c>
      <c r="D713" s="4">
        <f>63.0815 * CHOOSE(CONTROL!$C$14, $C$14, 100%, $E$14) + CHOOSE(CONTROL!$C$33, 0.0021, 0)</f>
        <v>63.083599999999997</v>
      </c>
      <c r="E713" s="4">
        <f>311.089576140266 * CHOOSE(CONTROL!$C$14, $C$14, 100%, $E$14) + CHOOSE(CONTROL!$C$33, 0.0021, 0)</f>
        <v>311.09167614026597</v>
      </c>
    </row>
    <row r="714" spans="1:5" ht="15">
      <c r="A714" s="11">
        <v>62854</v>
      </c>
      <c r="B714" s="4">
        <f>46.6015 * CHOOSE(CONTROL!$C$14, $C$14, 100%, $E$14) + CHOOSE(CONTROL!$C$33, 0.0272, 0)</f>
        <v>46.628700000000002</v>
      </c>
      <c r="C714" s="4">
        <f>46.2382 * CHOOSE(CONTROL!$C$14, $C$14, 100%, $E$14) + CHOOSE(CONTROL!$C$33, 0.0272, 0)</f>
        <v>46.2654</v>
      </c>
      <c r="D714" s="4">
        <f>60.4843 * CHOOSE(CONTROL!$C$14, $C$14, 100%, $E$14) + CHOOSE(CONTROL!$C$33, 0.0021, 0)</f>
        <v>60.486399999999996</v>
      </c>
      <c r="E714" s="4">
        <f>298.131431209492 * CHOOSE(CONTROL!$C$14, $C$14, 100%, $E$14) + CHOOSE(CONTROL!$C$33, 0.0021, 0)</f>
        <v>298.13353120949199</v>
      </c>
    </row>
    <row r="715" spans="1:5" ht="15">
      <c r="A715" s="11">
        <v>62883</v>
      </c>
      <c r="B715" s="4">
        <f>47.6896 * CHOOSE(CONTROL!$C$14, $C$14, 100%, $E$14) + CHOOSE(CONTROL!$C$33, 0.0272, 0)</f>
        <v>47.716799999999999</v>
      </c>
      <c r="C715" s="4">
        <f>47.3263 * CHOOSE(CONTROL!$C$14, $C$14, 100%, $E$14) + CHOOSE(CONTROL!$C$33, 0.0272, 0)</f>
        <v>47.353500000000004</v>
      </c>
      <c r="D715" s="4">
        <f>62.5537 * CHOOSE(CONTROL!$C$14, $C$14, 100%, $E$14) + CHOOSE(CONTROL!$C$33, 0.0021, 0)</f>
        <v>62.555799999999998</v>
      </c>
      <c r="E715" s="4">
        <f>305.210246295377 * CHOOSE(CONTROL!$C$14, $C$14, 100%, $E$14) + CHOOSE(CONTROL!$C$33, 0.0021, 0)</f>
        <v>305.21234629537696</v>
      </c>
    </row>
    <row r="716" spans="1:5" ht="15">
      <c r="A716" s="11">
        <v>62914</v>
      </c>
      <c r="B716" s="4">
        <f>50.5471 * CHOOSE(CONTROL!$C$14, $C$14, 100%, $E$14) + CHOOSE(CONTROL!$C$33, 0.0272, 0)</f>
        <v>50.574300000000001</v>
      </c>
      <c r="C716" s="4">
        <f>50.1839 * CHOOSE(CONTROL!$C$14, $C$14, 100%, $E$14) + CHOOSE(CONTROL!$C$33, 0.0272, 0)</f>
        <v>50.211100000000002</v>
      </c>
      <c r="D716" s="4">
        <f>65.7931 * CHOOSE(CONTROL!$C$14, $C$14, 100%, $E$14) + CHOOSE(CONTROL!$C$33, 0.0021, 0)</f>
        <v>65.795199999999994</v>
      </c>
      <c r="E716" s="4">
        <f>323.799590901992 * CHOOSE(CONTROL!$C$14, $C$14, 100%, $E$14) + CHOOSE(CONTROL!$C$33, 0.0021, 0)</f>
        <v>323.801690901992</v>
      </c>
    </row>
    <row r="717" spans="1:5" ht="15">
      <c r="A717" s="11">
        <v>62944</v>
      </c>
      <c r="B717" s="4">
        <f>52.5774 * CHOOSE(CONTROL!$C$14, $C$14, 100%, $E$14) + CHOOSE(CONTROL!$C$33, 0.0272, 0)</f>
        <v>52.604599999999998</v>
      </c>
      <c r="C717" s="4">
        <f>52.2142 * CHOOSE(CONTROL!$C$14, $C$14, 100%, $E$14) + CHOOSE(CONTROL!$C$33, 0.0272, 0)</f>
        <v>52.241399999999999</v>
      </c>
      <c r="D717" s="4">
        <f>67.6591 * CHOOSE(CONTROL!$C$14, $C$14, 100%, $E$14) + CHOOSE(CONTROL!$C$33, 0.0021, 0)</f>
        <v>67.661199999999994</v>
      </c>
      <c r="E717" s="4">
        <f>337.007567980582 * CHOOSE(CONTROL!$C$14, $C$14, 100%, $E$14) + CHOOSE(CONTROL!$C$33, 0.0021, 0)</f>
        <v>337.00966798058198</v>
      </c>
    </row>
    <row r="718" spans="1:5" ht="15">
      <c r="A718" s="11">
        <v>62975</v>
      </c>
      <c r="B718" s="4">
        <f>53.8179 * CHOOSE(CONTROL!$C$14, $C$14, 100%, $E$14) + CHOOSE(CONTROL!$C$33, 0.0304, 0)</f>
        <v>53.848300000000002</v>
      </c>
      <c r="C718" s="4">
        <f>53.4546 * CHOOSE(CONTROL!$C$14, $C$14, 100%, $E$14) + CHOOSE(CONTROL!$C$33, 0.0304, 0)</f>
        <v>53.484999999999999</v>
      </c>
      <c r="D718" s="4">
        <f>66.9218 * CHOOSE(CONTROL!$C$14, $C$14, 100%, $E$14) + CHOOSE(CONTROL!$C$33, 0.0021, 0)</f>
        <v>66.923900000000003</v>
      </c>
      <c r="E718" s="4">
        <f>345.077325424569 * CHOOSE(CONTROL!$C$14, $C$14, 100%, $E$14) + CHOOSE(CONTROL!$C$33, 0.0021, 0)</f>
        <v>345.07942542456897</v>
      </c>
    </row>
    <row r="719" spans="1:5" ht="15">
      <c r="A719" s="11">
        <v>63005</v>
      </c>
      <c r="B719" s="4">
        <f>53.9857 * CHOOSE(CONTROL!$C$14, $C$14, 100%, $E$14) + CHOOSE(CONTROL!$C$33, 0.0304, 0)</f>
        <v>54.016100000000002</v>
      </c>
      <c r="C719" s="4">
        <f>53.6225 * CHOOSE(CONTROL!$C$14, $C$14, 100%, $E$14) + CHOOSE(CONTROL!$C$33, 0.0304, 0)</f>
        <v>53.652900000000002</v>
      </c>
      <c r="D719" s="4">
        <f>67.5223 * CHOOSE(CONTROL!$C$14, $C$14, 100%, $E$14) + CHOOSE(CONTROL!$C$33, 0.0021, 0)</f>
        <v>67.5244</v>
      </c>
      <c r="E719" s="4">
        <f>346.169197096921 * CHOOSE(CONTROL!$C$14, $C$14, 100%, $E$14) + CHOOSE(CONTROL!$C$33, 0.0021, 0)</f>
        <v>346.17129709692097</v>
      </c>
    </row>
    <row r="720" spans="1:5" ht="15">
      <c r="A720" s="11">
        <v>63036</v>
      </c>
      <c r="B720" s="4">
        <f>53.9688 * CHOOSE(CONTROL!$C$14, $C$14, 100%, $E$14) + CHOOSE(CONTROL!$C$33, 0.0304, 0)</f>
        <v>53.999200000000002</v>
      </c>
      <c r="C720" s="4">
        <f>53.6055 * CHOOSE(CONTROL!$C$14, $C$14, 100%, $E$14) + CHOOSE(CONTROL!$C$33, 0.0304, 0)</f>
        <v>53.635899999999999</v>
      </c>
      <c r="D720" s="4">
        <f>68.6059 * CHOOSE(CONTROL!$C$14, $C$14, 100%, $E$14) + CHOOSE(CONTROL!$C$33, 0.0021, 0)</f>
        <v>68.608000000000004</v>
      </c>
      <c r="E720" s="4">
        <f>346.059092390466 * CHOOSE(CONTROL!$C$14, $C$14, 100%, $E$14) + CHOOSE(CONTROL!$C$33, 0.0021, 0)</f>
        <v>346.06119239046598</v>
      </c>
    </row>
    <row r="721" spans="1:5" ht="15">
      <c r="A721" s="11">
        <v>63067</v>
      </c>
      <c r="B721" s="4">
        <f>55.2424 * CHOOSE(CONTROL!$C$14, $C$14, 100%, $E$14) + CHOOSE(CONTROL!$C$33, 0.0304, 0)</f>
        <v>55.272800000000004</v>
      </c>
      <c r="C721" s="4">
        <f>54.8791 * CHOOSE(CONTROL!$C$14, $C$14, 100%, $E$14) + CHOOSE(CONTROL!$C$33, 0.0304, 0)</f>
        <v>54.909500000000001</v>
      </c>
      <c r="D721" s="4">
        <f>67.8903 * CHOOSE(CONTROL!$C$14, $C$14, 100%, $E$14) + CHOOSE(CONTROL!$C$33, 0.0021, 0)</f>
        <v>67.892399999999995</v>
      </c>
      <c r="E721" s="4">
        <f>354.344471551262 * CHOOSE(CONTROL!$C$14, $C$14, 100%, $E$14) + CHOOSE(CONTROL!$C$33, 0.0021, 0)</f>
        <v>354.346571551262</v>
      </c>
    </row>
    <row r="722" spans="1:5" ht="15">
      <c r="A722" s="11">
        <v>63097</v>
      </c>
      <c r="B722" s="4">
        <f>53.0718 * CHOOSE(CONTROL!$C$14, $C$14, 100%, $E$14) + CHOOSE(CONTROL!$C$33, 0.0304, 0)</f>
        <v>53.102200000000003</v>
      </c>
      <c r="C722" s="4">
        <f>52.7085 * CHOOSE(CONTROL!$C$14, $C$14, 100%, $E$14) + CHOOSE(CONTROL!$C$33, 0.0304, 0)</f>
        <v>52.738900000000001</v>
      </c>
      <c r="D722" s="4">
        <f>67.5522 * CHOOSE(CONTROL!$C$14, $C$14, 100%, $E$14) + CHOOSE(CONTROL!$C$33, 0.0021, 0)</f>
        <v>67.554299999999998</v>
      </c>
      <c r="E722" s="4">
        <f>340.22354294831 * CHOOSE(CONTROL!$C$14, $C$14, 100%, $E$14) + CHOOSE(CONTROL!$C$33, 0.0021, 0)</f>
        <v>340.22564294831</v>
      </c>
    </row>
    <row r="723" spans="1:5" ht="15">
      <c r="A723" s="11">
        <v>63128</v>
      </c>
      <c r="B723" s="4">
        <f>51.3341 * CHOOSE(CONTROL!$C$14, $C$14, 100%, $E$14) + CHOOSE(CONTROL!$C$33, 0.0272, 0)</f>
        <v>51.3613</v>
      </c>
      <c r="C723" s="4">
        <f>50.9709 * CHOOSE(CONTROL!$C$14, $C$14, 100%, $E$14) + CHOOSE(CONTROL!$C$33, 0.0272, 0)</f>
        <v>50.998100000000001</v>
      </c>
      <c r="D723" s="4">
        <f>66.6469 * CHOOSE(CONTROL!$C$14, $C$14, 100%, $E$14) + CHOOSE(CONTROL!$C$33, 0.0021, 0)</f>
        <v>66.649000000000001</v>
      </c>
      <c r="E723" s="4">
        <f>328.919459752185 * CHOOSE(CONTROL!$C$14, $C$14, 100%, $E$14) + CHOOSE(CONTROL!$C$33, 0.0021, 0)</f>
        <v>328.92155975218498</v>
      </c>
    </row>
    <row r="724" spans="1:5" ht="15">
      <c r="A724" s="11">
        <v>63158</v>
      </c>
      <c r="B724" s="4">
        <f>50.215 * CHOOSE(CONTROL!$C$14, $C$14, 100%, $E$14) + CHOOSE(CONTROL!$C$33, 0.0272, 0)</f>
        <v>50.242200000000004</v>
      </c>
      <c r="C724" s="4">
        <f>49.8517 * CHOOSE(CONTROL!$C$14, $C$14, 100%, $E$14) + CHOOSE(CONTROL!$C$33, 0.0272, 0)</f>
        <v>49.878900000000002</v>
      </c>
      <c r="D724" s="4">
        <f>66.3356 * CHOOSE(CONTROL!$C$14, $C$14, 100%, $E$14) + CHOOSE(CONTROL!$C$33, 0.0021, 0)</f>
        <v>66.337699999999998</v>
      </c>
      <c r="E724" s="4">
        <f>321.638786037798 * CHOOSE(CONTROL!$C$14, $C$14, 100%, $E$14) + CHOOSE(CONTROL!$C$33, 0.0021, 0)</f>
        <v>321.640886037798</v>
      </c>
    </row>
    <row r="725" spans="1:5" ht="15">
      <c r="A725" s="11">
        <v>63189</v>
      </c>
      <c r="B725" s="4">
        <f>49.4407 * CHOOSE(CONTROL!$C$14, $C$14, 100%, $E$14) + CHOOSE(CONTROL!$C$33, 0.0272, 0)</f>
        <v>49.4679</v>
      </c>
      <c r="C725" s="4">
        <f>49.0774 * CHOOSE(CONTROL!$C$14, $C$14, 100%, $E$14) + CHOOSE(CONTROL!$C$33, 0.0272, 0)</f>
        <v>49.104599999999998</v>
      </c>
      <c r="D725" s="4">
        <f>64.0443 * CHOOSE(CONTROL!$C$14, $C$14, 100%, $E$14) + CHOOSE(CONTROL!$C$33, 0.0021, 0)</f>
        <v>64.046400000000006</v>
      </c>
      <c r="E725" s="4">
        <f>316.601495717447 * CHOOSE(CONTROL!$C$14, $C$14, 100%, $E$14) + CHOOSE(CONTROL!$C$33, 0.0021, 0)</f>
        <v>316.60359571744698</v>
      </c>
    </row>
    <row r="726" spans="1:5" ht="15">
      <c r="A726" s="11">
        <v>63220</v>
      </c>
      <c r="B726" s="4">
        <f>47.4112 * CHOOSE(CONTROL!$C$14, $C$14, 100%, $E$14) + CHOOSE(CONTROL!$C$33, 0.0272, 0)</f>
        <v>47.438400000000001</v>
      </c>
      <c r="C726" s="4">
        <f>47.0479 * CHOOSE(CONTROL!$C$14, $C$14, 100%, $E$14) + CHOOSE(CONTROL!$C$33, 0.0272, 0)</f>
        <v>47.075099999999999</v>
      </c>
      <c r="D726" s="4">
        <f>61.4063 * CHOOSE(CONTROL!$C$14, $C$14, 100%, $E$14) + CHOOSE(CONTROL!$C$33, 0.0021, 0)</f>
        <v>61.4084</v>
      </c>
      <c r="E726" s="4">
        <f>303.413756939093 * CHOOSE(CONTROL!$C$14, $C$14, 100%, $E$14) + CHOOSE(CONTROL!$C$33, 0.0021, 0)</f>
        <v>303.41585693909298</v>
      </c>
    </row>
    <row r="727" spans="1:5" ht="15">
      <c r="A727" s="11">
        <v>63248</v>
      </c>
      <c r="B727" s="4">
        <f>48.5186 * CHOOSE(CONTROL!$C$14, $C$14, 100%, $E$14) + CHOOSE(CONTROL!$C$33, 0.0272, 0)</f>
        <v>48.5458</v>
      </c>
      <c r="C727" s="4">
        <f>48.1553 * CHOOSE(CONTROL!$C$14, $C$14, 100%, $E$14) + CHOOSE(CONTROL!$C$33, 0.0272, 0)</f>
        <v>48.182499999999997</v>
      </c>
      <c r="D727" s="4">
        <f>63.5082 * CHOOSE(CONTROL!$C$14, $C$14, 100%, $E$14) + CHOOSE(CONTROL!$C$33, 0.0021, 0)</f>
        <v>63.510300000000001</v>
      </c>
      <c r="E727" s="4">
        <f>310.617995254966 * CHOOSE(CONTROL!$C$14, $C$14, 100%, $E$14) + CHOOSE(CONTROL!$C$33, 0.0021, 0)</f>
        <v>310.62009525496597</v>
      </c>
    </row>
    <row r="728" spans="1:5" ht="15">
      <c r="A728" s="11">
        <v>63279</v>
      </c>
      <c r="B728" s="4">
        <f>51.4266 * CHOOSE(CONTROL!$C$14, $C$14, 100%, $E$14) + CHOOSE(CONTROL!$C$33, 0.0272, 0)</f>
        <v>51.453800000000001</v>
      </c>
      <c r="C728" s="4">
        <f>51.0633 * CHOOSE(CONTROL!$C$14, $C$14, 100%, $E$14) + CHOOSE(CONTROL!$C$33, 0.0272, 0)</f>
        <v>51.090499999999999</v>
      </c>
      <c r="D728" s="4">
        <f>66.7986 * CHOOSE(CONTROL!$C$14, $C$14, 100%, $E$14) + CHOOSE(CONTROL!$C$33, 0.0021, 0)</f>
        <v>66.800699999999992</v>
      </c>
      <c r="E728" s="4">
        <f>329.536707928925 * CHOOSE(CONTROL!$C$14, $C$14, 100%, $E$14) + CHOOSE(CONTROL!$C$33, 0.0021, 0)</f>
        <v>329.538807928925</v>
      </c>
    </row>
    <row r="729" spans="1:5" ht="15">
      <c r="A729" s="11">
        <v>63309</v>
      </c>
      <c r="B729" s="4">
        <f>53.4927 * CHOOSE(CONTROL!$C$14, $C$14, 100%, $E$14) + CHOOSE(CONTROL!$C$33, 0.0272, 0)</f>
        <v>53.5199</v>
      </c>
      <c r="C729" s="4">
        <f>53.1294 * CHOOSE(CONTROL!$C$14, $C$14, 100%, $E$14) + CHOOSE(CONTROL!$C$33, 0.0272, 0)</f>
        <v>53.156599999999997</v>
      </c>
      <c r="D729" s="4">
        <f>68.6939 * CHOOSE(CONTROL!$C$14, $C$14, 100%, $E$14) + CHOOSE(CONTROL!$C$33, 0.0021, 0)</f>
        <v>68.695999999999998</v>
      </c>
      <c r="E729" s="4">
        <f>342.978705408769 * CHOOSE(CONTROL!$C$14, $C$14, 100%, $E$14) + CHOOSE(CONTROL!$C$33, 0.0021, 0)</f>
        <v>342.98080540876896</v>
      </c>
    </row>
    <row r="730" spans="1:5" ht="15">
      <c r="A730" s="11">
        <v>63340</v>
      </c>
      <c r="B730" s="4">
        <f>54.7551 * CHOOSE(CONTROL!$C$14, $C$14, 100%, $E$14) + CHOOSE(CONTROL!$C$33, 0.0304, 0)</f>
        <v>54.785499999999999</v>
      </c>
      <c r="C730" s="4">
        <f>54.3918 * CHOOSE(CONTROL!$C$14, $C$14, 100%, $E$14) + CHOOSE(CONTROL!$C$33, 0.0304, 0)</f>
        <v>54.422200000000004</v>
      </c>
      <c r="D730" s="4">
        <f>67.945 * CHOOSE(CONTROL!$C$14, $C$14, 100%, $E$14) + CHOOSE(CONTROL!$C$33, 0.0021, 0)</f>
        <v>67.947099999999992</v>
      </c>
      <c r="E730" s="4">
        <f>351.191443709236 * CHOOSE(CONTROL!$C$14, $C$14, 100%, $E$14) + CHOOSE(CONTROL!$C$33, 0.0021, 0)</f>
        <v>351.193543709236</v>
      </c>
    </row>
    <row r="731" spans="1:5" ht="15">
      <c r="A731" s="11">
        <v>63370</v>
      </c>
      <c r="B731" s="4">
        <f>54.9259 * CHOOSE(CONTROL!$C$14, $C$14, 100%, $E$14) + CHOOSE(CONTROL!$C$33, 0.0304, 0)</f>
        <v>54.956299999999999</v>
      </c>
      <c r="C731" s="4">
        <f>54.5626 * CHOOSE(CONTROL!$C$14, $C$14, 100%, $E$14) + CHOOSE(CONTROL!$C$33, 0.0304, 0)</f>
        <v>54.593000000000004</v>
      </c>
      <c r="D731" s="4">
        <f>68.555 * CHOOSE(CONTROL!$C$14, $C$14, 100%, $E$14) + CHOOSE(CONTROL!$C$33, 0.0021, 0)</f>
        <v>68.557100000000005</v>
      </c>
      <c r="E731" s="4">
        <f>352.302661284853 * CHOOSE(CONTROL!$C$14, $C$14, 100%, $E$14) + CHOOSE(CONTROL!$C$33, 0.0021, 0)</f>
        <v>352.30476128485299</v>
      </c>
    </row>
    <row r="732" spans="1:5" ht="15">
      <c r="A732" s="11">
        <v>63401</v>
      </c>
      <c r="B732" s="4">
        <f>54.9087 * CHOOSE(CONTROL!$C$14, $C$14, 100%, $E$14) + CHOOSE(CONTROL!$C$33, 0.0304, 0)</f>
        <v>54.939100000000003</v>
      </c>
      <c r="C732" s="4">
        <f>54.5454 * CHOOSE(CONTROL!$C$14, $C$14, 100%, $E$14) + CHOOSE(CONTROL!$C$33, 0.0304, 0)</f>
        <v>54.575800000000001</v>
      </c>
      <c r="D732" s="4">
        <f>69.6556 * CHOOSE(CONTROL!$C$14, $C$14, 100%, $E$14) + CHOOSE(CONTROL!$C$33, 0.0021, 0)</f>
        <v>69.657700000000006</v>
      </c>
      <c r="E732" s="4">
        <f>352.19060573101 * CHOOSE(CONTROL!$C$14, $C$14, 100%, $E$14) + CHOOSE(CONTROL!$C$33, 0.0021, 0)</f>
        <v>352.19270573100999</v>
      </c>
    </row>
    <row r="733" spans="1:5" ht="15">
      <c r="A733" s="11">
        <v>63432</v>
      </c>
      <c r="B733" s="4">
        <f>56.2048 * CHOOSE(CONTROL!$C$14, $C$14, 100%, $E$14) + CHOOSE(CONTROL!$C$33, 0.0304, 0)</f>
        <v>56.235199999999999</v>
      </c>
      <c r="C733" s="4">
        <f>55.8415 * CHOOSE(CONTROL!$C$14, $C$14, 100%, $E$14) + CHOOSE(CONTROL!$C$33, 0.0304, 0)</f>
        <v>55.871900000000004</v>
      </c>
      <c r="D733" s="4">
        <f>68.9287 * CHOOSE(CONTROL!$C$14, $C$14, 100%, $E$14) + CHOOSE(CONTROL!$C$33, 0.0021, 0)</f>
        <v>68.930800000000005</v>
      </c>
      <c r="E733" s="4">
        <f>360.622786157754 * CHOOSE(CONTROL!$C$14, $C$14, 100%, $E$14) + CHOOSE(CONTROL!$C$33, 0.0021, 0)</f>
        <v>360.62488615775396</v>
      </c>
    </row>
    <row r="734" spans="1:5" ht="15">
      <c r="A734" s="11">
        <v>63462</v>
      </c>
      <c r="B734" s="4">
        <f>53.9958 * CHOOSE(CONTROL!$C$14, $C$14, 100%, $E$14) + CHOOSE(CONTROL!$C$33, 0.0304, 0)</f>
        <v>54.026200000000003</v>
      </c>
      <c r="C734" s="4">
        <f>53.6325 * CHOOSE(CONTROL!$C$14, $C$14, 100%, $E$14) + CHOOSE(CONTROL!$C$33, 0.0304, 0)</f>
        <v>53.6629</v>
      </c>
      <c r="D734" s="4">
        <f>68.5853 * CHOOSE(CONTROL!$C$14, $C$14, 100%, $E$14) + CHOOSE(CONTROL!$C$33, 0.0021, 0)</f>
        <v>68.587400000000002</v>
      </c>
      <c r="E734" s="4">
        <f>346.251661377289 * CHOOSE(CONTROL!$C$14, $C$14, 100%, $E$14) + CHOOSE(CONTROL!$C$33, 0.0021, 0)</f>
        <v>346.25376137728898</v>
      </c>
    </row>
    <row r="735" spans="1:5" ht="15">
      <c r="A735" s="11">
        <v>63493</v>
      </c>
      <c r="B735" s="4">
        <f>52.2275 * CHOOSE(CONTROL!$C$14, $C$14, 100%, $E$14) + CHOOSE(CONTROL!$C$33, 0.0272, 0)</f>
        <v>52.2547</v>
      </c>
      <c r="C735" s="4">
        <f>51.8642 * CHOOSE(CONTROL!$C$14, $C$14, 100%, $E$14) + CHOOSE(CONTROL!$C$33, 0.0272, 0)</f>
        <v>51.891399999999997</v>
      </c>
      <c r="D735" s="4">
        <f>67.6658 * CHOOSE(CONTROL!$C$14, $C$14, 100%, $E$14) + CHOOSE(CONTROL!$C$33, 0.0021, 0)</f>
        <v>67.667900000000003</v>
      </c>
      <c r="E735" s="4">
        <f>334.747291182661 * CHOOSE(CONTROL!$C$14, $C$14, 100%, $E$14) + CHOOSE(CONTROL!$C$33, 0.0021, 0)</f>
        <v>334.74939118266099</v>
      </c>
    </row>
    <row r="736" spans="1:5" ht="15">
      <c r="A736" s="11">
        <v>63523</v>
      </c>
      <c r="B736" s="4">
        <f>51.0885 * CHOOSE(CONTROL!$C$14, $C$14, 100%, $E$14) + CHOOSE(CONTROL!$C$33, 0.0272, 0)</f>
        <v>51.115700000000004</v>
      </c>
      <c r="C736" s="4">
        <f>50.7252 * CHOOSE(CONTROL!$C$14, $C$14, 100%, $E$14) + CHOOSE(CONTROL!$C$33, 0.0272, 0)</f>
        <v>50.752400000000002</v>
      </c>
      <c r="D736" s="4">
        <f>67.3497 * CHOOSE(CONTROL!$C$14, $C$14, 100%, $E$14) + CHOOSE(CONTROL!$C$33, 0.0021, 0)</f>
        <v>67.351799999999997</v>
      </c>
      <c r="E736" s="4">
        <f>327.337617684741 * CHOOSE(CONTROL!$C$14, $C$14, 100%, $E$14) + CHOOSE(CONTROL!$C$33, 0.0021, 0)</f>
        <v>327.339717684741</v>
      </c>
    </row>
    <row r="737" spans="1:5" ht="15">
      <c r="A737" s="11">
        <v>63554</v>
      </c>
      <c r="B737" s="4">
        <f>50.3005 * CHOOSE(CONTROL!$C$14, $C$14, 100%, $E$14) + CHOOSE(CONTROL!$C$33, 0.0272, 0)</f>
        <v>50.3277</v>
      </c>
      <c r="C737" s="4">
        <f>49.9372 * CHOOSE(CONTROL!$C$14, $C$14, 100%, $E$14) + CHOOSE(CONTROL!$C$33, 0.0272, 0)</f>
        <v>49.964399999999998</v>
      </c>
      <c r="D737" s="4">
        <f>65.0223 * CHOOSE(CONTROL!$C$14, $C$14, 100%, $E$14) + CHOOSE(CONTROL!$C$33, 0.0021, 0)</f>
        <v>65.0244</v>
      </c>
      <c r="E737" s="4">
        <f>322.211076096388 * CHOOSE(CONTROL!$C$14, $C$14, 100%, $E$14) + CHOOSE(CONTROL!$C$33, 0.0021, 0)</f>
        <v>322.213176096388</v>
      </c>
    </row>
    <row r="738" spans="1:5" ht="15">
      <c r="A738" s="11">
        <v>63585</v>
      </c>
      <c r="B738" s="4">
        <f>48.2352 * CHOOSE(CONTROL!$C$14, $C$14, 100%, $E$14) + CHOOSE(CONTROL!$C$33, 0.0272, 0)</f>
        <v>48.2624</v>
      </c>
      <c r="C738" s="4">
        <f>47.8719 * CHOOSE(CONTROL!$C$14, $C$14, 100%, $E$14) + CHOOSE(CONTROL!$C$33, 0.0272, 0)</f>
        <v>47.899099999999997</v>
      </c>
      <c r="D738" s="4">
        <f>62.3428 * CHOOSE(CONTROL!$C$14, $C$14, 100%, $E$14) + CHOOSE(CONTROL!$C$33, 0.0021, 0)</f>
        <v>62.344899999999996</v>
      </c>
      <c r="E738" s="4">
        <f>308.789675501225 * CHOOSE(CONTROL!$C$14, $C$14, 100%, $E$14) + CHOOSE(CONTROL!$C$33, 0.0021, 0)</f>
        <v>308.791775501225</v>
      </c>
    </row>
    <row r="739" spans="1:5" ht="15">
      <c r="A739" s="11">
        <v>63613</v>
      </c>
      <c r="B739" s="4">
        <f>49.3621 * CHOOSE(CONTROL!$C$14, $C$14, 100%, $E$14) + CHOOSE(CONTROL!$C$33, 0.0272, 0)</f>
        <v>49.389299999999999</v>
      </c>
      <c r="C739" s="4">
        <f>48.9988 * CHOOSE(CONTROL!$C$14, $C$14, 100%, $E$14) + CHOOSE(CONTROL!$C$33, 0.0272, 0)</f>
        <v>49.026000000000003</v>
      </c>
      <c r="D739" s="4">
        <f>64.4777 * CHOOSE(CONTROL!$C$14, $C$14, 100%, $E$14) + CHOOSE(CONTROL!$C$33, 0.0021, 0)</f>
        <v>64.479799999999997</v>
      </c>
      <c r="E739" s="4">
        <f>316.121559309772 * CHOOSE(CONTROL!$C$14, $C$14, 100%, $E$14) + CHOOSE(CONTROL!$C$33, 0.0021, 0)</f>
        <v>316.12365930977199</v>
      </c>
    </row>
    <row r="740" spans="1:5" ht="15">
      <c r="A740" s="11">
        <v>63644</v>
      </c>
      <c r="B740" s="4">
        <f>52.3215 * CHOOSE(CONTROL!$C$14, $C$14, 100%, $E$14) + CHOOSE(CONTROL!$C$33, 0.0272, 0)</f>
        <v>52.348700000000001</v>
      </c>
      <c r="C740" s="4">
        <f>51.9582 * CHOOSE(CONTROL!$C$14, $C$14, 100%, $E$14) + CHOOSE(CONTROL!$C$33, 0.0272, 0)</f>
        <v>51.985399999999998</v>
      </c>
      <c r="D740" s="4">
        <f>67.8199 * CHOOSE(CONTROL!$C$14, $C$14, 100%, $E$14) + CHOOSE(CONTROL!$C$33, 0.0021, 0)</f>
        <v>67.822000000000003</v>
      </c>
      <c r="E740" s="4">
        <f>335.375475830984 * CHOOSE(CONTROL!$C$14, $C$14, 100%, $E$14) + CHOOSE(CONTROL!$C$33, 0.0021, 0)</f>
        <v>335.37757583098397</v>
      </c>
    </row>
    <row r="741" spans="1:5" ht="15">
      <c r="A741" s="11">
        <v>63674</v>
      </c>
      <c r="B741" s="4">
        <f>54.4242 * CHOOSE(CONTROL!$C$14, $C$14, 100%, $E$14) + CHOOSE(CONTROL!$C$33, 0.0272, 0)</f>
        <v>54.4514</v>
      </c>
      <c r="C741" s="4">
        <f>54.0609 * CHOOSE(CONTROL!$C$14, $C$14, 100%, $E$14) + CHOOSE(CONTROL!$C$33, 0.0272, 0)</f>
        <v>54.088099999999997</v>
      </c>
      <c r="D741" s="4">
        <f>69.745 * CHOOSE(CONTROL!$C$14, $C$14, 100%, $E$14) + CHOOSE(CONTROL!$C$33, 0.0021, 0)</f>
        <v>69.747100000000003</v>
      </c>
      <c r="E741" s="4">
        <f>349.05564011148 * CHOOSE(CONTROL!$C$14, $C$14, 100%, $E$14) + CHOOSE(CONTROL!$C$33, 0.0021, 0)</f>
        <v>349.05774011147997</v>
      </c>
    </row>
    <row r="742" spans="1:5" ht="15">
      <c r="A742" s="11">
        <v>63705</v>
      </c>
      <c r="B742" s="4">
        <f>55.7089 * CHOOSE(CONTROL!$C$14, $C$14, 100%, $E$14) + CHOOSE(CONTROL!$C$33, 0.0304, 0)</f>
        <v>55.7393</v>
      </c>
      <c r="C742" s="4">
        <f>55.3456 * CHOOSE(CONTROL!$C$14, $C$14, 100%, $E$14) + CHOOSE(CONTROL!$C$33, 0.0304, 0)</f>
        <v>55.375999999999998</v>
      </c>
      <c r="D742" s="4">
        <f>68.9843 * CHOOSE(CONTROL!$C$14, $C$14, 100%, $E$14) + CHOOSE(CONTROL!$C$33, 0.0021, 0)</f>
        <v>68.986400000000003</v>
      </c>
      <c r="E742" s="4">
        <f>357.413892619084 * CHOOSE(CONTROL!$C$14, $C$14, 100%, $E$14) + CHOOSE(CONTROL!$C$33, 0.0021, 0)</f>
        <v>357.41599261908397</v>
      </c>
    </row>
    <row r="743" spans="1:5" ht="15">
      <c r="A743" s="11">
        <v>63735</v>
      </c>
      <c r="B743" s="4">
        <f>55.8827 * CHOOSE(CONTROL!$C$14, $C$14, 100%, $E$14) + CHOOSE(CONTROL!$C$33, 0.0304, 0)</f>
        <v>55.9131</v>
      </c>
      <c r="C743" s="4">
        <f>55.5194 * CHOOSE(CONTROL!$C$14, $C$14, 100%, $E$14) + CHOOSE(CONTROL!$C$33, 0.0304, 0)</f>
        <v>55.549799999999998</v>
      </c>
      <c r="D743" s="4">
        <f>69.6039 * CHOOSE(CONTROL!$C$14, $C$14, 100%, $E$14) + CHOOSE(CONTROL!$C$33, 0.0021, 0)</f>
        <v>69.605999999999995</v>
      </c>
      <c r="E743" s="4">
        <f>358.544798870824 * CHOOSE(CONTROL!$C$14, $C$14, 100%, $E$14) + CHOOSE(CONTROL!$C$33, 0.0021, 0)</f>
        <v>358.54689887082401</v>
      </c>
    </row>
    <row r="744" spans="1:5" ht="15">
      <c r="A744" s="11">
        <v>63766</v>
      </c>
      <c r="B744" s="4">
        <f>55.8652 * CHOOSE(CONTROL!$C$14, $C$14, 100%, $E$14) + CHOOSE(CONTROL!$C$33, 0.0304, 0)</f>
        <v>55.895600000000002</v>
      </c>
      <c r="C744" s="4">
        <f>55.5019 * CHOOSE(CONTROL!$C$14, $C$14, 100%, $E$14) + CHOOSE(CONTROL!$C$33, 0.0304, 0)</f>
        <v>55.532299999999999</v>
      </c>
      <c r="D744" s="4">
        <f>70.7218 * CHOOSE(CONTROL!$C$14, $C$14, 100%, $E$14) + CHOOSE(CONTROL!$C$33, 0.0021, 0)</f>
        <v>70.7239</v>
      </c>
      <c r="E744" s="4">
        <f>358.430757904262 * CHOOSE(CONTROL!$C$14, $C$14, 100%, $E$14) + CHOOSE(CONTROL!$C$33, 0.0021, 0)</f>
        <v>358.43285790426199</v>
      </c>
    </row>
    <row r="745" spans="1:5" ht="15">
      <c r="A745" s="11">
        <v>63797</v>
      </c>
      <c r="B745" s="4">
        <f>57.1842 * CHOOSE(CONTROL!$C$14, $C$14, 100%, $E$14) + CHOOSE(CONTROL!$C$33, 0.0304, 0)</f>
        <v>57.214599999999997</v>
      </c>
      <c r="C745" s="4">
        <f>56.8209 * CHOOSE(CONTROL!$C$14, $C$14, 100%, $E$14) + CHOOSE(CONTROL!$C$33, 0.0304, 0)</f>
        <v>56.851300000000002</v>
      </c>
      <c r="D745" s="4">
        <f>69.9835 * CHOOSE(CONTROL!$C$14, $C$14, 100%, $E$14) + CHOOSE(CONTROL!$C$33, 0.0021, 0)</f>
        <v>69.985600000000005</v>
      </c>
      <c r="E745" s="4">
        <f>367.01234063805 * CHOOSE(CONTROL!$C$14, $C$14, 100%, $E$14) + CHOOSE(CONTROL!$C$33, 0.0021, 0)</f>
        <v>367.01444063804996</v>
      </c>
    </row>
    <row r="746" spans="1:5" ht="15">
      <c r="A746" s="11">
        <v>63827</v>
      </c>
      <c r="B746" s="4">
        <f>54.9362 * CHOOSE(CONTROL!$C$14, $C$14, 100%, $E$14) + CHOOSE(CONTROL!$C$33, 0.0304, 0)</f>
        <v>54.9666</v>
      </c>
      <c r="C746" s="4">
        <f>54.5729 * CHOOSE(CONTROL!$C$14, $C$14, 100%, $E$14) + CHOOSE(CONTROL!$C$33, 0.0304, 0)</f>
        <v>54.603299999999997</v>
      </c>
      <c r="D746" s="4">
        <f>69.6347 * CHOOSE(CONTROL!$C$14, $C$14, 100%, $E$14) + CHOOSE(CONTROL!$C$33, 0.0021, 0)</f>
        <v>69.636799999999994</v>
      </c>
      <c r="E746" s="4">
        <f>352.386586676477 * CHOOSE(CONTROL!$C$14, $C$14, 100%, $E$14) + CHOOSE(CONTROL!$C$33, 0.0021, 0)</f>
        <v>352.38868667647699</v>
      </c>
    </row>
    <row r="747" spans="1:5" ht="15">
      <c r="A747" s="11">
        <v>63858</v>
      </c>
      <c r="B747" s="4">
        <f>53.1366 * CHOOSE(CONTROL!$C$14, $C$14, 100%, $E$14) + CHOOSE(CONTROL!$C$33, 0.0272, 0)</f>
        <v>53.163800000000002</v>
      </c>
      <c r="C747" s="4">
        <f>52.7733 * CHOOSE(CONTROL!$C$14, $C$14, 100%, $E$14) + CHOOSE(CONTROL!$C$33, 0.0272, 0)</f>
        <v>52.8005</v>
      </c>
      <c r="D747" s="4">
        <f>68.7007 * CHOOSE(CONTROL!$C$14, $C$14, 100%, $E$14) + CHOOSE(CONTROL!$C$33, 0.0021, 0)</f>
        <v>68.702799999999996</v>
      </c>
      <c r="E747" s="4">
        <f>340.678380776115 * CHOOSE(CONTROL!$C$14, $C$14, 100%, $E$14) + CHOOSE(CONTROL!$C$33, 0.0021, 0)</f>
        <v>340.68048077611496</v>
      </c>
    </row>
    <row r="748" spans="1:5" ht="15">
      <c r="A748" s="11">
        <v>63888</v>
      </c>
      <c r="B748" s="4">
        <f>51.9775 * CHOOSE(CONTROL!$C$14, $C$14, 100%, $E$14) + CHOOSE(CONTROL!$C$33, 0.0272, 0)</f>
        <v>52.0047</v>
      </c>
      <c r="C748" s="4">
        <f>51.6142 * CHOOSE(CONTROL!$C$14, $C$14, 100%, $E$14) + CHOOSE(CONTROL!$C$33, 0.0272, 0)</f>
        <v>51.641399999999997</v>
      </c>
      <c r="D748" s="4">
        <f>68.3796 * CHOOSE(CONTROL!$C$14, $C$14, 100%, $E$14) + CHOOSE(CONTROL!$C$33, 0.0021, 0)</f>
        <v>68.381699999999995</v>
      </c>
      <c r="E748" s="4">
        <f>333.137421862205 * CHOOSE(CONTROL!$C$14, $C$14, 100%, $E$14) + CHOOSE(CONTROL!$C$33, 0.0021, 0)</f>
        <v>333.13952186220496</v>
      </c>
    </row>
    <row r="749" spans="1:5" ht="15">
      <c r="A749" s="11">
        <v>63919</v>
      </c>
      <c r="B749" s="4">
        <f>51.1756 * CHOOSE(CONTROL!$C$14, $C$14, 100%, $E$14) + CHOOSE(CONTROL!$C$33, 0.0272, 0)</f>
        <v>51.202800000000003</v>
      </c>
      <c r="C749" s="4">
        <f>50.8123 * CHOOSE(CONTROL!$C$14, $C$14, 100%, $E$14) + CHOOSE(CONTROL!$C$33, 0.0272, 0)</f>
        <v>50.839500000000001</v>
      </c>
      <c r="D749" s="4">
        <f>66.0156 * CHOOSE(CONTROL!$C$14, $C$14, 100%, $E$14) + CHOOSE(CONTROL!$C$33, 0.0021, 0)</f>
        <v>66.017700000000005</v>
      </c>
      <c r="E749" s="4">
        <f>327.920047641995 * CHOOSE(CONTROL!$C$14, $C$14, 100%, $E$14) + CHOOSE(CONTROL!$C$33, 0.0021, 0)</f>
        <v>327.92214764199497</v>
      </c>
    </row>
    <row r="750" spans="1:5" ht="15">
      <c r="A750" s="11">
        <v>63950</v>
      </c>
      <c r="B750" s="4">
        <f>49.0738 * CHOOSE(CONTROL!$C$14, $C$14, 100%, $E$14) + CHOOSE(CONTROL!$C$33, 0.0272, 0)</f>
        <v>49.100999999999999</v>
      </c>
      <c r="C750" s="4">
        <f>48.7105 * CHOOSE(CONTROL!$C$14, $C$14, 100%, $E$14) + CHOOSE(CONTROL!$C$33, 0.0272, 0)</f>
        <v>48.737700000000004</v>
      </c>
      <c r="D750" s="4">
        <f>63.294 * CHOOSE(CONTROL!$C$14, $C$14, 100%, $E$14) + CHOOSE(CONTROL!$C$33, 0.0021, 0)</f>
        <v>63.296099999999996</v>
      </c>
      <c r="E750" s="4">
        <f>314.260845184066 * CHOOSE(CONTROL!$C$14, $C$14, 100%, $E$14) + CHOOSE(CONTROL!$C$33, 0.0021, 0)</f>
        <v>314.26294518406598</v>
      </c>
    </row>
    <row r="751" spans="1:5" ht="15">
      <c r="A751" s="11">
        <v>63978</v>
      </c>
      <c r="B751" s="4">
        <f>50.2206 * CHOOSE(CONTROL!$C$14, $C$14, 100%, $E$14) + CHOOSE(CONTROL!$C$33, 0.0272, 0)</f>
        <v>50.247799999999998</v>
      </c>
      <c r="C751" s="4">
        <f>49.8573 * CHOOSE(CONTROL!$C$14, $C$14, 100%, $E$14) + CHOOSE(CONTROL!$C$33, 0.0272, 0)</f>
        <v>49.884500000000003</v>
      </c>
      <c r="D751" s="4">
        <f>65.4625 * CHOOSE(CONTROL!$C$14, $C$14, 100%, $E$14) + CHOOSE(CONTROL!$C$33, 0.0021, 0)</f>
        <v>65.464600000000004</v>
      </c>
      <c r="E751" s="4">
        <f>321.722636122267 * CHOOSE(CONTROL!$C$14, $C$14, 100%, $E$14) + CHOOSE(CONTROL!$C$33, 0.0021, 0)</f>
        <v>321.72473612226696</v>
      </c>
    </row>
    <row r="752" spans="1:5" ht="15">
      <c r="A752" s="11">
        <v>64009</v>
      </c>
      <c r="B752" s="4">
        <f>53.2323 * CHOOSE(CONTROL!$C$14, $C$14, 100%, $E$14) + CHOOSE(CONTROL!$C$33, 0.0272, 0)</f>
        <v>53.259500000000003</v>
      </c>
      <c r="C752" s="4">
        <f>52.869 * CHOOSE(CONTROL!$C$14, $C$14, 100%, $E$14) + CHOOSE(CONTROL!$C$33, 0.0272, 0)</f>
        <v>52.8962</v>
      </c>
      <c r="D752" s="4">
        <f>68.8572 * CHOOSE(CONTROL!$C$14, $C$14, 100%, $E$14) + CHOOSE(CONTROL!$C$33, 0.0021, 0)</f>
        <v>68.859300000000005</v>
      </c>
      <c r="E752" s="4">
        <f>341.317695669637 * CHOOSE(CONTROL!$C$14, $C$14, 100%, $E$14) + CHOOSE(CONTROL!$C$33, 0.0021, 0)</f>
        <v>341.31979566963696</v>
      </c>
    </row>
    <row r="753" spans="1:5" ht="15">
      <c r="A753" s="11">
        <v>64039</v>
      </c>
      <c r="B753" s="4">
        <f>55.3721 * CHOOSE(CONTROL!$C$14, $C$14, 100%, $E$14) + CHOOSE(CONTROL!$C$33, 0.0272, 0)</f>
        <v>55.399300000000004</v>
      </c>
      <c r="C753" s="4">
        <f>55.0088 * CHOOSE(CONTROL!$C$14, $C$14, 100%, $E$14) + CHOOSE(CONTROL!$C$33, 0.0272, 0)</f>
        <v>55.036000000000001</v>
      </c>
      <c r="D753" s="4">
        <f>70.8126 * CHOOSE(CONTROL!$C$14, $C$14, 100%, $E$14) + CHOOSE(CONTROL!$C$33, 0.0021, 0)</f>
        <v>70.814700000000002</v>
      </c>
      <c r="E753" s="4">
        <f>355.240246616547 * CHOOSE(CONTROL!$C$14, $C$14, 100%, $E$14) + CHOOSE(CONTROL!$C$33, 0.0021, 0)</f>
        <v>355.24234661654697</v>
      </c>
    </row>
    <row r="754" spans="1:5" ht="15">
      <c r="A754" s="11">
        <v>64070</v>
      </c>
      <c r="B754" s="4">
        <f>56.6795 * CHOOSE(CONTROL!$C$14, $C$14, 100%, $E$14) + CHOOSE(CONTROL!$C$33, 0.0304, 0)</f>
        <v>56.709899999999998</v>
      </c>
      <c r="C754" s="4">
        <f>56.3162 * CHOOSE(CONTROL!$C$14, $C$14, 100%, $E$14) + CHOOSE(CONTROL!$C$33, 0.0304, 0)</f>
        <v>56.346600000000002</v>
      </c>
      <c r="D754" s="4">
        <f>70.04 * CHOOSE(CONTROL!$C$14, $C$14, 100%, $E$14) + CHOOSE(CONTROL!$C$33, 0.0021, 0)</f>
        <v>70.042100000000005</v>
      </c>
      <c r="E754" s="4">
        <f>363.746591568132 * CHOOSE(CONTROL!$C$14, $C$14, 100%, $E$14) + CHOOSE(CONTROL!$C$33, 0.0021, 0)</f>
        <v>363.74869156813196</v>
      </c>
    </row>
    <row r="755" spans="1:5" ht="15">
      <c r="A755" s="11">
        <v>64100</v>
      </c>
      <c r="B755" s="4">
        <f>56.8564 * CHOOSE(CONTROL!$C$14, $C$14, 100%, $E$14) + CHOOSE(CONTROL!$C$33, 0.0304, 0)</f>
        <v>56.886800000000001</v>
      </c>
      <c r="C755" s="4">
        <f>56.4931 * CHOOSE(CONTROL!$C$14, $C$14, 100%, $E$14) + CHOOSE(CONTROL!$C$33, 0.0304, 0)</f>
        <v>56.523499999999999</v>
      </c>
      <c r="D755" s="4">
        <f>70.6693 * CHOOSE(CONTROL!$C$14, $C$14, 100%, $E$14) + CHOOSE(CONTROL!$C$33, 0.0021, 0)</f>
        <v>70.671400000000006</v>
      </c>
      <c r="E755" s="4">
        <f>364.897535342139 * CHOOSE(CONTROL!$C$14, $C$14, 100%, $E$14) + CHOOSE(CONTROL!$C$33, 0.0021, 0)</f>
        <v>364.89963534213899</v>
      </c>
    </row>
    <row r="756" spans="1:5" ht="15">
      <c r="A756" s="11">
        <v>64131</v>
      </c>
      <c r="B756" s="4">
        <f>56.8385 * CHOOSE(CONTROL!$C$14, $C$14, 100%, $E$14) + CHOOSE(CONTROL!$C$33, 0.0304, 0)</f>
        <v>56.868900000000004</v>
      </c>
      <c r="C756" s="4">
        <f>56.4753 * CHOOSE(CONTROL!$C$14, $C$14, 100%, $E$14) + CHOOSE(CONTROL!$C$33, 0.0304, 0)</f>
        <v>56.505699999999997</v>
      </c>
      <c r="D756" s="4">
        <f>71.8047 * CHOOSE(CONTROL!$C$14, $C$14, 100%, $E$14) + CHOOSE(CONTROL!$C$33, 0.0021, 0)</f>
        <v>71.806799999999996</v>
      </c>
      <c r="E756" s="4">
        <f>364.781473785096 * CHOOSE(CONTROL!$C$14, $C$14, 100%, $E$14) + CHOOSE(CONTROL!$C$33, 0.0021, 0)</f>
        <v>364.783573785096</v>
      </c>
    </row>
    <row r="757" spans="1:5" ht="15">
      <c r="A757" s="11">
        <v>64162</v>
      </c>
      <c r="B757" s="4">
        <f>58.1809 * CHOOSE(CONTROL!$C$14, $C$14, 100%, $E$14) + CHOOSE(CONTROL!$C$33, 0.0304, 0)</f>
        <v>58.211300000000001</v>
      </c>
      <c r="C757" s="4">
        <f>57.8176 * CHOOSE(CONTROL!$C$14, $C$14, 100%, $E$14) + CHOOSE(CONTROL!$C$33, 0.0304, 0)</f>
        <v>57.847999999999999</v>
      </c>
      <c r="D757" s="4">
        <f>71.0549 * CHOOSE(CONTROL!$C$14, $C$14, 100%, $E$14) + CHOOSE(CONTROL!$C$33, 0.0021, 0)</f>
        <v>71.057000000000002</v>
      </c>
      <c r="E757" s="4">
        <f>373.515105952557 * CHOOSE(CONTROL!$C$14, $C$14, 100%, $E$14) + CHOOSE(CONTROL!$C$33, 0.0021, 0)</f>
        <v>373.51720595255699</v>
      </c>
    </row>
    <row r="758" spans="1:5" ht="15">
      <c r="A758" s="11">
        <v>64192</v>
      </c>
      <c r="B758" s="4">
        <f>55.8931 * CHOOSE(CONTROL!$C$14, $C$14, 100%, $E$14) + CHOOSE(CONTROL!$C$33, 0.0304, 0)</f>
        <v>55.923499999999997</v>
      </c>
      <c r="C758" s="4">
        <f>55.5298 * CHOOSE(CONTROL!$C$14, $C$14, 100%, $E$14) + CHOOSE(CONTROL!$C$33, 0.0304, 0)</f>
        <v>55.560200000000002</v>
      </c>
      <c r="D758" s="4">
        <f>70.7006 * CHOOSE(CONTROL!$C$14, $C$14, 100%, $E$14) + CHOOSE(CONTROL!$C$33, 0.0021, 0)</f>
        <v>70.702699999999993</v>
      </c>
      <c r="E758" s="4">
        <f>358.630211261835 * CHOOSE(CONTROL!$C$14, $C$14, 100%, $E$14) + CHOOSE(CONTROL!$C$33, 0.0021, 0)</f>
        <v>358.63231126183496</v>
      </c>
    </row>
    <row r="759" spans="1:5" ht="15">
      <c r="A759" s="11">
        <v>64223</v>
      </c>
      <c r="B759" s="4">
        <f>54.0617 * CHOOSE(CONTROL!$C$14, $C$14, 100%, $E$14) + CHOOSE(CONTROL!$C$33, 0.0272, 0)</f>
        <v>54.088900000000002</v>
      </c>
      <c r="C759" s="4">
        <f>53.6985 * CHOOSE(CONTROL!$C$14, $C$14, 100%, $E$14) + CHOOSE(CONTROL!$C$33, 0.0272, 0)</f>
        <v>53.725700000000003</v>
      </c>
      <c r="D759" s="4">
        <f>69.7519 * CHOOSE(CONTROL!$C$14, $C$14, 100%, $E$14) + CHOOSE(CONTROL!$C$33, 0.0021, 0)</f>
        <v>69.754000000000005</v>
      </c>
      <c r="E759" s="4">
        <f>346.714558072121 * CHOOSE(CONTROL!$C$14, $C$14, 100%, $E$14) + CHOOSE(CONTROL!$C$33, 0.0021, 0)</f>
        <v>346.71665807212099</v>
      </c>
    </row>
    <row r="760" spans="1:5" ht="15">
      <c r="A760" s="11">
        <v>64253</v>
      </c>
      <c r="B760" s="4">
        <f>52.8822 * CHOOSE(CONTROL!$C$14, $C$14, 100%, $E$14) + CHOOSE(CONTROL!$C$33, 0.0272, 0)</f>
        <v>52.909399999999998</v>
      </c>
      <c r="C760" s="4">
        <f>52.5189 * CHOOSE(CONTROL!$C$14, $C$14, 100%, $E$14) + CHOOSE(CONTROL!$C$33, 0.0272, 0)</f>
        <v>52.546100000000003</v>
      </c>
      <c r="D760" s="4">
        <f>69.4257 * CHOOSE(CONTROL!$C$14, $C$14, 100%, $E$14) + CHOOSE(CONTROL!$C$33, 0.0021, 0)</f>
        <v>69.427800000000005</v>
      </c>
      <c r="E760" s="4">
        <f>339.039987612675 * CHOOSE(CONTROL!$C$14, $C$14, 100%, $E$14) + CHOOSE(CONTROL!$C$33, 0.0021, 0)</f>
        <v>339.042087612675</v>
      </c>
    </row>
    <row r="761" spans="1:5" ht="15">
      <c r="A761" s="11">
        <v>64284</v>
      </c>
      <c r="B761" s="4">
        <f>52.0661 * CHOOSE(CONTROL!$C$14, $C$14, 100%, $E$14) + CHOOSE(CONTROL!$C$33, 0.0272, 0)</f>
        <v>52.093299999999999</v>
      </c>
      <c r="C761" s="4">
        <f>51.7028 * CHOOSE(CONTROL!$C$14, $C$14, 100%, $E$14) + CHOOSE(CONTROL!$C$33, 0.0272, 0)</f>
        <v>51.730000000000004</v>
      </c>
      <c r="D761" s="4">
        <f>67.0246 * CHOOSE(CONTROL!$C$14, $C$14, 100%, $E$14) + CHOOSE(CONTROL!$C$33, 0.0021, 0)</f>
        <v>67.026700000000005</v>
      </c>
      <c r="E761" s="4">
        <f>333.730171377973 * CHOOSE(CONTROL!$C$14, $C$14, 100%, $E$14) + CHOOSE(CONTROL!$C$33, 0.0021, 0)</f>
        <v>333.73227137797301</v>
      </c>
    </row>
    <row r="762" spans="1:5" ht="15">
      <c r="A762" s="11">
        <v>64315</v>
      </c>
      <c r="B762" s="4">
        <f>49.9272 * CHOOSE(CONTROL!$C$14, $C$14, 100%, $E$14) + CHOOSE(CONTROL!$C$33, 0.0272, 0)</f>
        <v>49.9544</v>
      </c>
      <c r="C762" s="4">
        <f>49.5639 * CHOOSE(CONTROL!$C$14, $C$14, 100%, $E$14) + CHOOSE(CONTROL!$C$33, 0.0272, 0)</f>
        <v>49.591099999999997</v>
      </c>
      <c r="D762" s="4">
        <f>64.2602 * CHOOSE(CONTROL!$C$14, $C$14, 100%, $E$14) + CHOOSE(CONTROL!$C$33, 0.0021, 0)</f>
        <v>64.262299999999996</v>
      </c>
      <c r="E762" s="4">
        <f>319.828953657525 * CHOOSE(CONTROL!$C$14, $C$14, 100%, $E$14) + CHOOSE(CONTROL!$C$33, 0.0021, 0)</f>
        <v>319.83105365752499</v>
      </c>
    </row>
    <row r="763" spans="1:5" ht="15">
      <c r="A763" s="11">
        <v>64344</v>
      </c>
      <c r="B763" s="4">
        <f>51.0943 * CHOOSE(CONTROL!$C$14, $C$14, 100%, $E$14) + CHOOSE(CONTROL!$C$33, 0.0272, 0)</f>
        <v>51.121499999999997</v>
      </c>
      <c r="C763" s="4">
        <f>50.731 * CHOOSE(CONTROL!$C$14, $C$14, 100%, $E$14) + CHOOSE(CONTROL!$C$33, 0.0272, 0)</f>
        <v>50.758200000000002</v>
      </c>
      <c r="D763" s="4">
        <f>66.4628 * CHOOSE(CONTROL!$C$14, $C$14, 100%, $E$14) + CHOOSE(CONTROL!$C$33, 0.0021, 0)</f>
        <v>66.4649</v>
      </c>
      <c r="E763" s="4">
        <f>327.422953434297 * CHOOSE(CONTROL!$C$14, $C$14, 100%, $E$14) + CHOOSE(CONTROL!$C$33, 0.0021, 0)</f>
        <v>327.42505343429701</v>
      </c>
    </row>
    <row r="764" spans="1:5" ht="15">
      <c r="A764" s="11">
        <v>64375</v>
      </c>
      <c r="B764" s="4">
        <f>54.1591 * CHOOSE(CONTROL!$C$14, $C$14, 100%, $E$14) + CHOOSE(CONTROL!$C$33, 0.0272, 0)</f>
        <v>54.186300000000003</v>
      </c>
      <c r="C764" s="4">
        <f>53.7958 * CHOOSE(CONTROL!$C$14, $C$14, 100%, $E$14) + CHOOSE(CONTROL!$C$33, 0.0272, 0)</f>
        <v>53.823</v>
      </c>
      <c r="D764" s="4">
        <f>69.9109 * CHOOSE(CONTROL!$C$14, $C$14, 100%, $E$14) + CHOOSE(CONTROL!$C$33, 0.0021, 0)</f>
        <v>69.912999999999997</v>
      </c>
      <c r="E764" s="4">
        <f>347.365200417759 * CHOOSE(CONTROL!$C$14, $C$14, 100%, $E$14) + CHOOSE(CONTROL!$C$33, 0.0021, 0)</f>
        <v>347.367300417759</v>
      </c>
    </row>
    <row r="765" spans="1:5" ht="15">
      <c r="A765" s="11">
        <v>64405</v>
      </c>
      <c r="B765" s="4">
        <f>56.3368 * CHOOSE(CONTROL!$C$14, $C$14, 100%, $E$14) + CHOOSE(CONTROL!$C$33, 0.0272, 0)</f>
        <v>56.363999999999997</v>
      </c>
      <c r="C765" s="4">
        <f>55.9735 * CHOOSE(CONTROL!$C$14, $C$14, 100%, $E$14) + CHOOSE(CONTROL!$C$33, 0.0272, 0)</f>
        <v>56.000700000000002</v>
      </c>
      <c r="D765" s="4">
        <f>71.8971 * CHOOSE(CONTROL!$C$14, $C$14, 100%, $E$14) + CHOOSE(CONTROL!$C$33, 0.0021, 0)</f>
        <v>71.899199999999993</v>
      </c>
      <c r="E765" s="4">
        <f>361.534432664893 * CHOOSE(CONTROL!$C$14, $C$14, 100%, $E$14) + CHOOSE(CONTROL!$C$33, 0.0021, 0)</f>
        <v>361.536532664893</v>
      </c>
    </row>
    <row r="766" spans="1:5" ht="15">
      <c r="A766" s="11">
        <v>64436</v>
      </c>
      <c r="B766" s="4">
        <f>57.6672 * CHOOSE(CONTROL!$C$14, $C$14, 100%, $E$14) + CHOOSE(CONTROL!$C$33, 0.0304, 0)</f>
        <v>57.697600000000001</v>
      </c>
      <c r="C766" s="4">
        <f>57.304 * CHOOSE(CONTROL!$C$14, $C$14, 100%, $E$14) + CHOOSE(CONTROL!$C$33, 0.0304, 0)</f>
        <v>57.334400000000002</v>
      </c>
      <c r="D766" s="4">
        <f>71.1122 * CHOOSE(CONTROL!$C$14, $C$14, 100%, $E$14) + CHOOSE(CONTROL!$C$33, 0.0021, 0)</f>
        <v>71.1143</v>
      </c>
      <c r="E766" s="4">
        <f>370.19149397879 * CHOOSE(CONTROL!$C$14, $C$14, 100%, $E$14) + CHOOSE(CONTROL!$C$33, 0.0021, 0)</f>
        <v>370.19359397878998</v>
      </c>
    </row>
    <row r="767" spans="1:5" ht="15">
      <c r="A767" s="11">
        <v>64466</v>
      </c>
      <c r="B767" s="4">
        <f>57.8473 * CHOOSE(CONTROL!$C$14, $C$14, 100%, $E$14) + CHOOSE(CONTROL!$C$33, 0.0304, 0)</f>
        <v>57.877699999999997</v>
      </c>
      <c r="C767" s="4">
        <f>57.484 * CHOOSE(CONTROL!$C$14, $C$14, 100%, $E$14) + CHOOSE(CONTROL!$C$33, 0.0304, 0)</f>
        <v>57.514400000000002</v>
      </c>
      <c r="D767" s="4">
        <f>71.7514 * CHOOSE(CONTROL!$C$14, $C$14, 100%, $E$14) + CHOOSE(CONTROL!$C$33, 0.0021, 0)</f>
        <v>71.753500000000003</v>
      </c>
      <c r="E767" s="4">
        <f>371.362830302103 * CHOOSE(CONTROL!$C$14, $C$14, 100%, $E$14) + CHOOSE(CONTROL!$C$33, 0.0021, 0)</f>
        <v>371.36493030210301</v>
      </c>
    </row>
    <row r="768" spans="1:5" ht="15">
      <c r="A768" s="11">
        <v>64497</v>
      </c>
      <c r="B768" s="4">
        <f>57.8291 * CHOOSE(CONTROL!$C$14, $C$14, 100%, $E$14) + CHOOSE(CONTROL!$C$33, 0.0304, 0)</f>
        <v>57.859499999999997</v>
      </c>
      <c r="C768" s="4">
        <f>57.4658 * CHOOSE(CONTROL!$C$14, $C$14, 100%, $E$14) + CHOOSE(CONTROL!$C$33, 0.0304, 0)</f>
        <v>57.496200000000002</v>
      </c>
      <c r="D768" s="4">
        <f>72.9047 * CHOOSE(CONTROL!$C$14, $C$14, 100%, $E$14) + CHOOSE(CONTROL!$C$33, 0.0021, 0)</f>
        <v>72.906800000000004</v>
      </c>
      <c r="E768" s="4">
        <f>371.244712353534 * CHOOSE(CONTROL!$C$14, $C$14, 100%, $E$14) + CHOOSE(CONTROL!$C$33, 0.0021, 0)</f>
        <v>371.24681235353398</v>
      </c>
    </row>
    <row r="769" spans="1:5" ht="15">
      <c r="A769" s="11">
        <v>64528</v>
      </c>
      <c r="B769" s="4">
        <f>59.1951 * CHOOSE(CONTROL!$C$14, $C$14, 100%, $E$14) + CHOOSE(CONTROL!$C$33, 0.0304, 0)</f>
        <v>59.225499999999997</v>
      </c>
      <c r="C769" s="4">
        <f>58.8319 * CHOOSE(CONTROL!$C$14, $C$14, 100%, $E$14) + CHOOSE(CONTROL!$C$33, 0.0304, 0)</f>
        <v>58.862299999999998</v>
      </c>
      <c r="D769" s="4">
        <f>72.1431 * CHOOSE(CONTROL!$C$14, $C$14, 100%, $E$14) + CHOOSE(CONTROL!$C$33, 0.0021, 0)</f>
        <v>72.145200000000003</v>
      </c>
      <c r="E769" s="4">
        <f>380.133087983379 * CHOOSE(CONTROL!$C$14, $C$14, 100%, $E$14) + CHOOSE(CONTROL!$C$33, 0.0021, 0)</f>
        <v>380.13518798337901</v>
      </c>
    </row>
    <row r="770" spans="1:5" ht="15">
      <c r="A770" s="11">
        <v>64558</v>
      </c>
      <c r="B770" s="4">
        <f>56.867 * CHOOSE(CONTROL!$C$14, $C$14, 100%, $E$14) + CHOOSE(CONTROL!$C$33, 0.0304, 0)</f>
        <v>56.897399999999998</v>
      </c>
      <c r="C770" s="4">
        <f>56.5037 * CHOOSE(CONTROL!$C$14, $C$14, 100%, $E$14) + CHOOSE(CONTROL!$C$33, 0.0304, 0)</f>
        <v>56.534100000000002</v>
      </c>
      <c r="D770" s="4">
        <f>71.7832 * CHOOSE(CONTROL!$C$14, $C$14, 100%, $E$14) + CHOOSE(CONTROL!$C$33, 0.0021, 0)</f>
        <v>71.785299999999992</v>
      </c>
      <c r="E770" s="4">
        <f>364.984461079357 * CHOOSE(CONTROL!$C$14, $C$14, 100%, $E$14) + CHOOSE(CONTROL!$C$33, 0.0021, 0)</f>
        <v>364.98656107935699</v>
      </c>
    </row>
    <row r="771" spans="1:5" ht="15">
      <c r="A771" s="11">
        <v>64589</v>
      </c>
      <c r="B771" s="4">
        <f>55.0033 * CHOOSE(CONTROL!$C$14, $C$14, 100%, $E$14) + CHOOSE(CONTROL!$C$33, 0.0272, 0)</f>
        <v>55.030500000000004</v>
      </c>
      <c r="C771" s="4">
        <f>54.64 * CHOOSE(CONTROL!$C$14, $C$14, 100%, $E$14) + CHOOSE(CONTROL!$C$33, 0.0272, 0)</f>
        <v>54.667200000000001</v>
      </c>
      <c r="D771" s="4">
        <f>70.8196 * CHOOSE(CONTROL!$C$14, $C$14, 100%, $E$14) + CHOOSE(CONTROL!$C$33, 0.0021, 0)</f>
        <v>70.821699999999993</v>
      </c>
      <c r="E771" s="4">
        <f>352.857685026235 * CHOOSE(CONTROL!$C$14, $C$14, 100%, $E$14) + CHOOSE(CONTROL!$C$33, 0.0021, 0)</f>
        <v>352.85978502623499</v>
      </c>
    </row>
    <row r="772" spans="1:5" ht="15">
      <c r="A772" s="11">
        <v>64619</v>
      </c>
      <c r="B772" s="4">
        <f>53.8029 * CHOOSE(CONTROL!$C$14, $C$14, 100%, $E$14) + CHOOSE(CONTROL!$C$33, 0.0272, 0)</f>
        <v>53.830100000000002</v>
      </c>
      <c r="C772" s="4">
        <f>53.4396 * CHOOSE(CONTROL!$C$14, $C$14, 100%, $E$14) + CHOOSE(CONTROL!$C$33, 0.0272, 0)</f>
        <v>53.466799999999999</v>
      </c>
      <c r="D772" s="4">
        <f>70.4883 * CHOOSE(CONTROL!$C$14, $C$14, 100%, $E$14) + CHOOSE(CONTROL!$C$33, 0.0021, 0)</f>
        <v>70.490399999999994</v>
      </c>
      <c r="E772" s="4">
        <f>345.047135677085 * CHOOSE(CONTROL!$C$14, $C$14, 100%, $E$14) + CHOOSE(CONTROL!$C$33, 0.0021, 0)</f>
        <v>345.04923567708499</v>
      </c>
    </row>
    <row r="773" spans="1:5" ht="15">
      <c r="A773" s="11">
        <v>64650</v>
      </c>
      <c r="B773" s="4">
        <f>52.9724 * CHOOSE(CONTROL!$C$14, $C$14, 100%, $E$14) + CHOOSE(CONTROL!$C$33, 0.0272, 0)</f>
        <v>52.999600000000001</v>
      </c>
      <c r="C773" s="4">
        <f>52.6091 * CHOOSE(CONTROL!$C$14, $C$14, 100%, $E$14) + CHOOSE(CONTROL!$C$33, 0.0272, 0)</f>
        <v>52.636299999999999</v>
      </c>
      <c r="D773" s="4">
        <f>68.0494 * CHOOSE(CONTROL!$C$14, $C$14, 100%, $E$14) + CHOOSE(CONTROL!$C$33, 0.0021, 0)</f>
        <v>68.051500000000004</v>
      </c>
      <c r="E773" s="4">
        <f>339.643239530037 * CHOOSE(CONTROL!$C$14, $C$14, 100%, $E$14) + CHOOSE(CONTROL!$C$33, 0.0021, 0)</f>
        <v>339.64533953003701</v>
      </c>
    </row>
    <row r="774" spans="1:5" ht="15">
      <c r="A774" s="11">
        <v>64681</v>
      </c>
      <c r="B774" s="4">
        <f>50.7956 * CHOOSE(CONTROL!$C$14, $C$14, 100%, $E$14) + CHOOSE(CONTROL!$C$33, 0.0272, 0)</f>
        <v>50.822800000000001</v>
      </c>
      <c r="C774" s="4">
        <f>50.4323 * CHOOSE(CONTROL!$C$14, $C$14, 100%, $E$14) + CHOOSE(CONTROL!$C$33, 0.0272, 0)</f>
        <v>50.459499999999998</v>
      </c>
      <c r="D774" s="4">
        <f>65.2415 * CHOOSE(CONTROL!$C$14, $C$14, 100%, $E$14) + CHOOSE(CONTROL!$C$33, 0.0021, 0)</f>
        <v>65.243600000000001</v>
      </c>
      <c r="E774" s="4">
        <f>325.495718493834 * CHOOSE(CONTROL!$C$14, $C$14, 100%, $E$14) + CHOOSE(CONTROL!$C$33, 0.0021, 0)</f>
        <v>325.49781849383396</v>
      </c>
    </row>
    <row r="775" spans="1:5" ht="15">
      <c r="A775" s="11">
        <v>64709</v>
      </c>
      <c r="B775" s="4">
        <f>51.9833 * CHOOSE(CONTROL!$C$14, $C$14, 100%, $E$14) + CHOOSE(CONTROL!$C$33, 0.0272, 0)</f>
        <v>52.0105</v>
      </c>
      <c r="C775" s="4">
        <f>51.6201 * CHOOSE(CONTROL!$C$14, $C$14, 100%, $E$14) + CHOOSE(CONTROL!$C$33, 0.0272, 0)</f>
        <v>51.647300000000001</v>
      </c>
      <c r="D775" s="4">
        <f>67.4788 * CHOOSE(CONTROL!$C$14, $C$14, 100%, $E$14) + CHOOSE(CONTROL!$C$33, 0.0021, 0)</f>
        <v>67.480900000000005</v>
      </c>
      <c r="E775" s="4">
        <f>333.224269600027 * CHOOSE(CONTROL!$C$14, $C$14, 100%, $E$14) + CHOOSE(CONTROL!$C$33, 0.0021, 0)</f>
        <v>333.226369600027</v>
      </c>
    </row>
    <row r="776" spans="1:5" ht="15">
      <c r="A776" s="11">
        <v>64740</v>
      </c>
      <c r="B776" s="4">
        <f>55.1024 * CHOOSE(CONTROL!$C$14, $C$14, 100%, $E$14) + CHOOSE(CONTROL!$C$33, 0.0272, 0)</f>
        <v>55.129600000000003</v>
      </c>
      <c r="C776" s="4">
        <f>54.7391 * CHOOSE(CONTROL!$C$14, $C$14, 100%, $E$14) + CHOOSE(CONTROL!$C$33, 0.0272, 0)</f>
        <v>54.766300000000001</v>
      </c>
      <c r="D776" s="4">
        <f>70.9811 * CHOOSE(CONTROL!$C$14, $C$14, 100%, $E$14) + CHOOSE(CONTROL!$C$33, 0.0021, 0)</f>
        <v>70.983199999999997</v>
      </c>
      <c r="E776" s="4">
        <f>353.519855525041 * CHOOSE(CONTROL!$C$14, $C$14, 100%, $E$14) + CHOOSE(CONTROL!$C$33, 0.0021, 0)</f>
        <v>353.52195552504099</v>
      </c>
    </row>
    <row r="777" spans="1:5" ht="15">
      <c r="A777" s="11">
        <v>64770</v>
      </c>
      <c r="B777" s="4">
        <f>57.3185 * CHOOSE(CONTROL!$C$14, $C$14, 100%, $E$14) + CHOOSE(CONTROL!$C$33, 0.0272, 0)</f>
        <v>57.345700000000001</v>
      </c>
      <c r="C777" s="4">
        <f>56.9552 * CHOOSE(CONTROL!$C$14, $C$14, 100%, $E$14) + CHOOSE(CONTROL!$C$33, 0.0272, 0)</f>
        <v>56.982399999999998</v>
      </c>
      <c r="D777" s="4">
        <f>72.9985 * CHOOSE(CONTROL!$C$14, $C$14, 100%, $E$14) + CHOOSE(CONTROL!$C$33, 0.0021, 0)</f>
        <v>73.000600000000006</v>
      </c>
      <c r="E777" s="4">
        <f>367.940139799008 * CHOOSE(CONTROL!$C$14, $C$14, 100%, $E$14) + CHOOSE(CONTROL!$C$33, 0.0021, 0)</f>
        <v>367.94223979900801</v>
      </c>
    </row>
    <row r="778" spans="1:5" ht="15">
      <c r="A778" s="11">
        <v>64801</v>
      </c>
      <c r="B778" s="4">
        <f>58.6725 * CHOOSE(CONTROL!$C$14, $C$14, 100%, $E$14) + CHOOSE(CONTROL!$C$33, 0.0304, 0)</f>
        <v>58.7029</v>
      </c>
      <c r="C778" s="4">
        <f>58.3092 * CHOOSE(CONTROL!$C$14, $C$14, 100%, $E$14) + CHOOSE(CONTROL!$C$33, 0.0304, 0)</f>
        <v>58.339599999999997</v>
      </c>
      <c r="D778" s="4">
        <f>72.2013 * CHOOSE(CONTROL!$C$14, $C$14, 100%, $E$14) + CHOOSE(CONTROL!$C$33, 0.0021, 0)</f>
        <v>72.203400000000002</v>
      </c>
      <c r="E778" s="4">
        <f>376.750587884422 * CHOOSE(CONTROL!$C$14, $C$14, 100%, $E$14) + CHOOSE(CONTROL!$C$33, 0.0021, 0)</f>
        <v>376.75268788442196</v>
      </c>
    </row>
    <row r="779" spans="1:5" ht="15">
      <c r="A779" s="11">
        <v>64831</v>
      </c>
      <c r="B779" s="4">
        <f>58.8557 * CHOOSE(CONTROL!$C$14, $C$14, 100%, $E$14) + CHOOSE(CONTROL!$C$33, 0.0304, 0)</f>
        <v>58.886099999999999</v>
      </c>
      <c r="C779" s="4">
        <f>58.4924 * CHOOSE(CONTROL!$C$14, $C$14, 100%, $E$14) + CHOOSE(CONTROL!$C$33, 0.0304, 0)</f>
        <v>58.522800000000004</v>
      </c>
      <c r="D779" s="4">
        <f>72.8506 * CHOOSE(CONTROL!$C$14, $C$14, 100%, $E$14) + CHOOSE(CONTROL!$C$33, 0.0021, 0)</f>
        <v>72.852699999999999</v>
      </c>
      <c r="E779" s="4">
        <f>377.94267807449 * CHOOSE(CONTROL!$C$14, $C$14, 100%, $E$14) + CHOOSE(CONTROL!$C$33, 0.0021, 0)</f>
        <v>377.94477807448999</v>
      </c>
    </row>
    <row r="780" spans="1:5" ht="15">
      <c r="A780" s="11">
        <v>64862</v>
      </c>
      <c r="B780" s="4">
        <f>58.8372 * CHOOSE(CONTROL!$C$14, $C$14, 100%, $E$14) + CHOOSE(CONTROL!$C$33, 0.0304, 0)</f>
        <v>58.867600000000003</v>
      </c>
      <c r="C780" s="4">
        <f>58.4739 * CHOOSE(CONTROL!$C$14, $C$14, 100%, $E$14) + CHOOSE(CONTROL!$C$33, 0.0304, 0)</f>
        <v>58.504300000000001</v>
      </c>
      <c r="D780" s="4">
        <f>74.022 * CHOOSE(CONTROL!$C$14, $C$14, 100%, $E$14) + CHOOSE(CONTROL!$C$33, 0.0021, 0)</f>
        <v>74.024100000000004</v>
      </c>
      <c r="E780" s="4">
        <f>377.822467299021 * CHOOSE(CONTROL!$C$14, $C$14, 100%, $E$14) + CHOOSE(CONTROL!$C$33, 0.0021, 0)</f>
        <v>377.824567299021</v>
      </c>
    </row>
    <row r="781" spans="1:5" ht="15">
      <c r="A781" s="11">
        <v>64893</v>
      </c>
      <c r="B781" s="4">
        <f>60.2274 * CHOOSE(CONTROL!$C$14, $C$14, 100%, $E$14) + CHOOSE(CONTROL!$C$33, 0.0304, 0)</f>
        <v>60.257800000000003</v>
      </c>
      <c r="C781" s="4">
        <f>59.8641 * CHOOSE(CONTROL!$C$14, $C$14, 100%, $E$14) + CHOOSE(CONTROL!$C$33, 0.0304, 0)</f>
        <v>59.894500000000001</v>
      </c>
      <c r="D781" s="4">
        <f>73.2484 * CHOOSE(CONTROL!$C$14, $C$14, 100%, $E$14) + CHOOSE(CONTROL!$C$33, 0.0021, 0)</f>
        <v>73.250500000000002</v>
      </c>
      <c r="E781" s="4">
        <f>386.868328153062 * CHOOSE(CONTROL!$C$14, $C$14, 100%, $E$14) + CHOOSE(CONTROL!$C$33, 0.0021, 0)</f>
        <v>386.87042815306199</v>
      </c>
    </row>
    <row r="782" spans="1:5" ht="15">
      <c r="A782" s="11">
        <v>64923</v>
      </c>
      <c r="B782" s="4">
        <f>57.8581 * CHOOSE(CONTROL!$C$14, $C$14, 100%, $E$14) + CHOOSE(CONTROL!$C$33, 0.0304, 0)</f>
        <v>57.888500000000001</v>
      </c>
      <c r="C782" s="4">
        <f>57.4948 * CHOOSE(CONTROL!$C$14, $C$14, 100%, $E$14) + CHOOSE(CONTROL!$C$33, 0.0304, 0)</f>
        <v>57.525199999999998</v>
      </c>
      <c r="D782" s="4">
        <f>72.8829 * CHOOSE(CONTROL!$C$14, $C$14, 100%, $E$14) + CHOOSE(CONTROL!$C$33, 0.0021, 0)</f>
        <v>72.885000000000005</v>
      </c>
      <c r="E782" s="4">
        <f>371.451296199165 * CHOOSE(CONTROL!$C$14, $C$14, 100%, $E$14) + CHOOSE(CONTROL!$C$33, 0.0021, 0)</f>
        <v>371.45339619916496</v>
      </c>
    </row>
    <row r="783" spans="1:5" ht="15">
      <c r="A783" s="11">
        <v>64954</v>
      </c>
      <c r="B783" s="4">
        <f>55.9614 * CHOOSE(CONTROL!$C$14, $C$14, 100%, $E$14) + CHOOSE(CONTROL!$C$33, 0.0272, 0)</f>
        <v>55.988599999999998</v>
      </c>
      <c r="C783" s="4">
        <f>55.5981 * CHOOSE(CONTROL!$C$14, $C$14, 100%, $E$14) + CHOOSE(CONTROL!$C$33, 0.0272, 0)</f>
        <v>55.625300000000003</v>
      </c>
      <c r="D783" s="4">
        <f>71.9041 * CHOOSE(CONTROL!$C$14, $C$14, 100%, $E$14) + CHOOSE(CONTROL!$C$33, 0.0021, 0)</f>
        <v>71.906199999999998</v>
      </c>
      <c r="E783" s="4">
        <f>359.109656584349 * CHOOSE(CONTROL!$C$14, $C$14, 100%, $E$14) + CHOOSE(CONTROL!$C$33, 0.0021, 0)</f>
        <v>359.111756584349</v>
      </c>
    </row>
    <row r="784" spans="1:5" ht="15">
      <c r="A784" s="11">
        <v>64984</v>
      </c>
      <c r="B784" s="4">
        <f>54.7398 * CHOOSE(CONTROL!$C$14, $C$14, 100%, $E$14) + CHOOSE(CONTROL!$C$33, 0.0272, 0)</f>
        <v>54.767000000000003</v>
      </c>
      <c r="C784" s="4">
        <f>54.3765 * CHOOSE(CONTROL!$C$14, $C$14, 100%, $E$14) + CHOOSE(CONTROL!$C$33, 0.0272, 0)</f>
        <v>54.403700000000001</v>
      </c>
      <c r="D784" s="4">
        <f>71.5676 * CHOOSE(CONTROL!$C$14, $C$14, 100%, $E$14) + CHOOSE(CONTROL!$C$33, 0.0021, 0)</f>
        <v>71.569699999999997</v>
      </c>
      <c r="E784" s="4">
        <f>351.160719056462 * CHOOSE(CONTROL!$C$14, $C$14, 100%, $E$14) + CHOOSE(CONTROL!$C$33, 0.0021, 0)</f>
        <v>351.16281905646201</v>
      </c>
    </row>
    <row r="785" spans="1:5" ht="15">
      <c r="A785" s="11">
        <v>65015</v>
      </c>
      <c r="B785" s="4">
        <f>53.8946 * CHOOSE(CONTROL!$C$14, $C$14, 100%, $E$14) + CHOOSE(CONTROL!$C$33, 0.0272, 0)</f>
        <v>53.921799999999998</v>
      </c>
      <c r="C785" s="4">
        <f>53.5313 * CHOOSE(CONTROL!$C$14, $C$14, 100%, $E$14) + CHOOSE(CONTROL!$C$33, 0.0272, 0)</f>
        <v>53.558500000000002</v>
      </c>
      <c r="D785" s="4">
        <f>69.0904 * CHOOSE(CONTROL!$C$14, $C$14, 100%, $E$14) + CHOOSE(CONTROL!$C$33, 0.0021, 0)</f>
        <v>69.092500000000001</v>
      </c>
      <c r="E785" s="4">
        <f>345.661076078756 * CHOOSE(CONTROL!$C$14, $C$14, 100%, $E$14) + CHOOSE(CONTROL!$C$33, 0.0021, 0)</f>
        <v>345.66317607875601</v>
      </c>
    </row>
    <row r="786" spans="1:5" ht="15">
      <c r="A786" s="11">
        <v>65046</v>
      </c>
      <c r="B786" s="4">
        <f>51.6794 * CHOOSE(CONTROL!$C$14, $C$14, 100%, $E$14) + CHOOSE(CONTROL!$C$33, 0.0272, 0)</f>
        <v>51.706600000000002</v>
      </c>
      <c r="C786" s="4">
        <f>51.3161 * CHOOSE(CONTROL!$C$14, $C$14, 100%, $E$14) + CHOOSE(CONTROL!$C$33, 0.0272, 0)</f>
        <v>51.343299999999999</v>
      </c>
      <c r="D786" s="4">
        <f>66.2383 * CHOOSE(CONTROL!$C$14, $C$14, 100%, $E$14) + CHOOSE(CONTROL!$C$33, 0.0021, 0)</f>
        <v>66.240399999999994</v>
      </c>
      <c r="E786" s="4">
        <f>331.262887697361 * CHOOSE(CONTROL!$C$14, $C$14, 100%, $E$14) + CHOOSE(CONTROL!$C$33, 0.0021, 0)</f>
        <v>331.26498769736099</v>
      </c>
    </row>
    <row r="787" spans="1:5" ht="15">
      <c r="A787" s="11">
        <v>65074</v>
      </c>
      <c r="B787" s="4">
        <f>52.8881 * CHOOSE(CONTROL!$C$14, $C$14, 100%, $E$14) + CHOOSE(CONTROL!$C$33, 0.0272, 0)</f>
        <v>52.915300000000002</v>
      </c>
      <c r="C787" s="4">
        <f>52.5248 * CHOOSE(CONTROL!$C$14, $C$14, 100%, $E$14) + CHOOSE(CONTROL!$C$33, 0.0272, 0)</f>
        <v>52.552</v>
      </c>
      <c r="D787" s="4">
        <f>68.5108 * CHOOSE(CONTROL!$C$14, $C$14, 100%, $E$14) + CHOOSE(CONTROL!$C$33, 0.0021, 0)</f>
        <v>68.512900000000002</v>
      </c>
      <c r="E787" s="4">
        <f>339.128374128338 * CHOOSE(CONTROL!$C$14, $C$14, 100%, $E$14) + CHOOSE(CONTROL!$C$33, 0.0021, 0)</f>
        <v>339.13047412833799</v>
      </c>
    </row>
    <row r="788" spans="1:5" ht="15">
      <c r="A788" s="11">
        <v>65105</v>
      </c>
      <c r="B788" s="4">
        <f>56.0623 * CHOOSE(CONTROL!$C$14, $C$14, 100%, $E$14) + CHOOSE(CONTROL!$C$33, 0.0272, 0)</f>
        <v>56.089500000000001</v>
      </c>
      <c r="C788" s="4">
        <f>55.699 * CHOOSE(CONTROL!$C$14, $C$14, 100%, $E$14) + CHOOSE(CONTROL!$C$33, 0.0272, 0)</f>
        <v>55.726199999999999</v>
      </c>
      <c r="D788" s="4">
        <f>72.0681 * CHOOSE(CONTROL!$C$14, $C$14, 100%, $E$14) + CHOOSE(CONTROL!$C$33, 0.0021, 0)</f>
        <v>72.0702</v>
      </c>
      <c r="E788" s="4">
        <f>359.783559493417 * CHOOSE(CONTROL!$C$14, $C$14, 100%, $E$14) + CHOOSE(CONTROL!$C$33, 0.0021, 0)</f>
        <v>359.78565949341697</v>
      </c>
    </row>
    <row r="789" spans="1:5" ht="15">
      <c r="A789" s="11">
        <v>65135</v>
      </c>
      <c r="B789" s="4">
        <f>58.3175 * CHOOSE(CONTROL!$C$14, $C$14, 100%, $E$14) + CHOOSE(CONTROL!$C$33, 0.0272, 0)</f>
        <v>58.344700000000003</v>
      </c>
      <c r="C789" s="4">
        <f>57.9542 * CHOOSE(CONTROL!$C$14, $C$14, 100%, $E$14) + CHOOSE(CONTROL!$C$33, 0.0272, 0)</f>
        <v>57.981400000000001</v>
      </c>
      <c r="D789" s="4">
        <f>74.1173 * CHOOSE(CONTROL!$C$14, $C$14, 100%, $E$14) + CHOOSE(CONTROL!$C$33, 0.0021, 0)</f>
        <v>74.119399999999999</v>
      </c>
      <c r="E789" s="4">
        <f>374.459343961844 * CHOOSE(CONTROL!$C$14, $C$14, 100%, $E$14) + CHOOSE(CONTROL!$C$33, 0.0021, 0)</f>
        <v>374.461443961844</v>
      </c>
    </row>
    <row r="790" spans="1:5" ht="15">
      <c r="A790" s="11">
        <v>65166</v>
      </c>
      <c r="B790" s="4">
        <f>59.6954 * CHOOSE(CONTROL!$C$14, $C$14, 100%, $E$14) + CHOOSE(CONTROL!$C$33, 0.0304, 0)</f>
        <v>59.7258</v>
      </c>
      <c r="C790" s="4">
        <f>59.3322 * CHOOSE(CONTROL!$C$14, $C$14, 100%, $E$14) + CHOOSE(CONTROL!$C$33, 0.0304, 0)</f>
        <v>59.3626</v>
      </c>
      <c r="D790" s="4">
        <f>73.3076 * CHOOSE(CONTROL!$C$14, $C$14, 100%, $E$14) + CHOOSE(CONTROL!$C$33, 0.0021, 0)</f>
        <v>73.309699999999992</v>
      </c>
      <c r="E790" s="4">
        <f>383.425896542588 * CHOOSE(CONTROL!$C$14, $C$14, 100%, $E$14) + CHOOSE(CONTROL!$C$33, 0.0021, 0)</f>
        <v>383.42799654258801</v>
      </c>
    </row>
    <row r="791" spans="1:5" ht="15">
      <c r="A791" s="11">
        <v>65196</v>
      </c>
      <c r="B791" s="4">
        <f>59.8819 * CHOOSE(CONTROL!$C$14, $C$14, 100%, $E$14) + CHOOSE(CONTROL!$C$33, 0.0304, 0)</f>
        <v>59.912300000000002</v>
      </c>
      <c r="C791" s="4">
        <f>59.5186 * CHOOSE(CONTROL!$C$14, $C$14, 100%, $E$14) + CHOOSE(CONTROL!$C$33, 0.0304, 0)</f>
        <v>59.548999999999999</v>
      </c>
      <c r="D791" s="4">
        <f>73.967 * CHOOSE(CONTROL!$C$14, $C$14, 100%, $E$14) + CHOOSE(CONTROL!$C$33, 0.0021, 0)</f>
        <v>73.969099999999997</v>
      </c>
      <c r="E791" s="4">
        <f>384.639108318721 * CHOOSE(CONTROL!$C$14, $C$14, 100%, $E$14) + CHOOSE(CONTROL!$C$33, 0.0021, 0)</f>
        <v>384.641208318721</v>
      </c>
    </row>
    <row r="792" spans="1:5" ht="15">
      <c r="A792" s="11">
        <v>65227</v>
      </c>
      <c r="B792" s="4">
        <f>59.8631 * CHOOSE(CONTROL!$C$14, $C$14, 100%, $E$14) + CHOOSE(CONTROL!$C$33, 0.0304, 0)</f>
        <v>59.893500000000003</v>
      </c>
      <c r="C792" s="4">
        <f>59.4998 * CHOOSE(CONTROL!$C$14, $C$14, 100%, $E$14) + CHOOSE(CONTROL!$C$33, 0.0304, 0)</f>
        <v>59.530200000000001</v>
      </c>
      <c r="D792" s="4">
        <f>75.1569 * CHOOSE(CONTROL!$C$14, $C$14, 100%, $E$14) + CHOOSE(CONTROL!$C$33, 0.0021, 0)</f>
        <v>75.158999999999992</v>
      </c>
      <c r="E792" s="4">
        <f>384.516767635413 * CHOOSE(CONTROL!$C$14, $C$14, 100%, $E$14) + CHOOSE(CONTROL!$C$33, 0.0021, 0)</f>
        <v>384.51886763541296</v>
      </c>
    </row>
    <row r="793" spans="1:5" ht="15">
      <c r="A793" s="11">
        <v>65258</v>
      </c>
      <c r="B793" s="4">
        <f>61.2778 * CHOOSE(CONTROL!$C$14, $C$14, 100%, $E$14) + CHOOSE(CONTROL!$C$33, 0.0304, 0)</f>
        <v>61.308199999999999</v>
      </c>
      <c r="C793" s="4">
        <f>60.9145 * CHOOSE(CONTROL!$C$14, $C$14, 100%, $E$14) + CHOOSE(CONTROL!$C$33, 0.0304, 0)</f>
        <v>60.944899999999997</v>
      </c>
      <c r="D793" s="4">
        <f>74.3711 * CHOOSE(CONTROL!$C$14, $C$14, 100%, $E$14) + CHOOSE(CONTROL!$C$33, 0.0021, 0)</f>
        <v>74.373199999999997</v>
      </c>
      <c r="E793" s="4">
        <f>393.722904054301 * CHOOSE(CONTROL!$C$14, $C$14, 100%, $E$14) + CHOOSE(CONTROL!$C$33, 0.0021, 0)</f>
        <v>393.725004054301</v>
      </c>
    </row>
    <row r="794" spans="1:5" ht="15">
      <c r="A794" s="11">
        <v>65288</v>
      </c>
      <c r="B794" s="4">
        <f>58.8667 * CHOOSE(CONTROL!$C$14, $C$14, 100%, $E$14) + CHOOSE(CONTROL!$C$33, 0.0304, 0)</f>
        <v>58.897100000000002</v>
      </c>
      <c r="C794" s="4">
        <f>58.5034 * CHOOSE(CONTROL!$C$14, $C$14, 100%, $E$14) + CHOOSE(CONTROL!$C$33, 0.0304, 0)</f>
        <v>58.533799999999999</v>
      </c>
      <c r="D794" s="4">
        <f>73.9998 * CHOOSE(CONTROL!$C$14, $C$14, 100%, $E$14) + CHOOSE(CONTROL!$C$33, 0.0021, 0)</f>
        <v>74.001899999999992</v>
      </c>
      <c r="E794" s="4">
        <f>378.032711420117 * CHOOSE(CONTROL!$C$14, $C$14, 100%, $E$14) + CHOOSE(CONTROL!$C$33, 0.0021, 0)</f>
        <v>378.03481142011697</v>
      </c>
    </row>
    <row r="795" spans="1:5" ht="15">
      <c r="A795" s="11">
        <v>65319</v>
      </c>
      <c r="B795" s="4">
        <f>56.9365 * CHOOSE(CONTROL!$C$14, $C$14, 100%, $E$14) + CHOOSE(CONTROL!$C$33, 0.0272, 0)</f>
        <v>56.963700000000003</v>
      </c>
      <c r="C795" s="4">
        <f>56.5732 * CHOOSE(CONTROL!$C$14, $C$14, 100%, $E$14) + CHOOSE(CONTROL!$C$33, 0.0272, 0)</f>
        <v>56.6004</v>
      </c>
      <c r="D795" s="4">
        <f>73.0057 * CHOOSE(CONTROL!$C$14, $C$14, 100%, $E$14) + CHOOSE(CONTROL!$C$33, 0.0021, 0)</f>
        <v>73.007800000000003</v>
      </c>
      <c r="E795" s="4">
        <f>365.472401267215 * CHOOSE(CONTROL!$C$14, $C$14, 100%, $E$14) + CHOOSE(CONTROL!$C$33, 0.0021, 0)</f>
        <v>365.47450126721498</v>
      </c>
    </row>
    <row r="796" spans="1:5" ht="15">
      <c r="A796" s="11">
        <v>65349</v>
      </c>
      <c r="B796" s="4">
        <f>55.6933 * CHOOSE(CONTROL!$C$14, $C$14, 100%, $E$14) + CHOOSE(CONTROL!$C$33, 0.0272, 0)</f>
        <v>55.720500000000001</v>
      </c>
      <c r="C796" s="4">
        <f>55.33 * CHOOSE(CONTROL!$C$14, $C$14, 100%, $E$14) + CHOOSE(CONTROL!$C$33, 0.0272, 0)</f>
        <v>55.357199999999999</v>
      </c>
      <c r="D796" s="4">
        <f>72.6639 * CHOOSE(CONTROL!$C$14, $C$14, 100%, $E$14) + CHOOSE(CONTROL!$C$33, 0.0021, 0)</f>
        <v>72.665999999999997</v>
      </c>
      <c r="E796" s="4">
        <f>357.382623583508 * CHOOSE(CONTROL!$C$14, $C$14, 100%, $E$14) + CHOOSE(CONTROL!$C$33, 0.0021, 0)</f>
        <v>357.38472358350799</v>
      </c>
    </row>
    <row r="797" spans="1:5" ht="15">
      <c r="A797" s="11">
        <v>65380</v>
      </c>
      <c r="B797" s="4">
        <f>54.8332 * CHOOSE(CONTROL!$C$14, $C$14, 100%, $E$14) + CHOOSE(CONTROL!$C$33, 0.0272, 0)</f>
        <v>54.860399999999998</v>
      </c>
      <c r="C797" s="4">
        <f>54.4699 * CHOOSE(CONTROL!$C$14, $C$14, 100%, $E$14) + CHOOSE(CONTROL!$C$33, 0.0272, 0)</f>
        <v>54.497100000000003</v>
      </c>
      <c r="D797" s="4">
        <f>70.1477 * CHOOSE(CONTROL!$C$14, $C$14, 100%, $E$14) + CHOOSE(CONTROL!$C$33, 0.0021, 0)</f>
        <v>70.149799999999999</v>
      </c>
      <c r="E797" s="4">
        <f>351.785537322191 * CHOOSE(CONTROL!$C$14, $C$14, 100%, $E$14) + CHOOSE(CONTROL!$C$33, 0.0021, 0)</f>
        <v>351.78763732219096</v>
      </c>
    </row>
    <row r="798" spans="1:5" ht="15">
      <c r="A798" s="11">
        <v>65411</v>
      </c>
      <c r="B798" s="4">
        <f>52.5788 * CHOOSE(CONTROL!$C$14, $C$14, 100%, $E$14) + CHOOSE(CONTROL!$C$33, 0.0272, 0)</f>
        <v>52.606000000000002</v>
      </c>
      <c r="C798" s="4">
        <f>52.2156 * CHOOSE(CONTROL!$C$14, $C$14, 100%, $E$14) + CHOOSE(CONTROL!$C$33, 0.0272, 0)</f>
        <v>52.242800000000003</v>
      </c>
      <c r="D798" s="4">
        <f>67.2508 * CHOOSE(CONTROL!$C$14, $C$14, 100%, $E$14) + CHOOSE(CONTROL!$C$33, 0.0021, 0)</f>
        <v>67.252899999999997</v>
      </c>
      <c r="E798" s="4">
        <f>337.132240243809 * CHOOSE(CONTROL!$C$14, $C$14, 100%, $E$14) + CHOOSE(CONTROL!$C$33, 0.0021, 0)</f>
        <v>337.13434024380899</v>
      </c>
    </row>
    <row r="799" spans="1:5" ht="15">
      <c r="A799" s="11">
        <v>65439</v>
      </c>
      <c r="B799" s="4">
        <f>53.8089 * CHOOSE(CONTROL!$C$14, $C$14, 100%, $E$14) + CHOOSE(CONTROL!$C$33, 0.0272, 0)</f>
        <v>53.836100000000002</v>
      </c>
      <c r="C799" s="4">
        <f>53.4456 * CHOOSE(CONTROL!$C$14, $C$14, 100%, $E$14) + CHOOSE(CONTROL!$C$33, 0.0272, 0)</f>
        <v>53.472799999999999</v>
      </c>
      <c r="D799" s="4">
        <f>69.559 * CHOOSE(CONTROL!$C$14, $C$14, 100%, $E$14) + CHOOSE(CONTROL!$C$33, 0.0021, 0)</f>
        <v>69.561099999999996</v>
      </c>
      <c r="E799" s="4">
        <f>345.137088234825 * CHOOSE(CONTROL!$C$14, $C$14, 100%, $E$14) + CHOOSE(CONTROL!$C$33, 0.0021, 0)</f>
        <v>345.13918823482499</v>
      </c>
    </row>
    <row r="800" spans="1:5" ht="15">
      <c r="A800" s="11">
        <v>65470</v>
      </c>
      <c r="B800" s="4">
        <f>57.0391 * CHOOSE(CONTROL!$C$14, $C$14, 100%, $E$14) + CHOOSE(CONTROL!$C$33, 0.0272, 0)</f>
        <v>57.066299999999998</v>
      </c>
      <c r="C800" s="4">
        <f>56.6758 * CHOOSE(CONTROL!$C$14, $C$14, 100%, $E$14) + CHOOSE(CONTROL!$C$33, 0.0272, 0)</f>
        <v>56.703000000000003</v>
      </c>
      <c r="D800" s="4">
        <f>73.1723 * CHOOSE(CONTROL!$C$14, $C$14, 100%, $E$14) + CHOOSE(CONTROL!$C$33, 0.0021, 0)</f>
        <v>73.174400000000006</v>
      </c>
      <c r="E800" s="4">
        <f>366.158244462692 * CHOOSE(CONTROL!$C$14, $C$14, 100%, $E$14) + CHOOSE(CONTROL!$C$33, 0.0021, 0)</f>
        <v>366.16034446269197</v>
      </c>
    </row>
    <row r="801" spans="1:5" ht="15">
      <c r="A801" s="11">
        <v>65500</v>
      </c>
      <c r="B801" s="4">
        <f>59.3342 * CHOOSE(CONTROL!$C$14, $C$14, 100%, $E$14) + CHOOSE(CONTROL!$C$33, 0.0272, 0)</f>
        <v>59.361400000000003</v>
      </c>
      <c r="C801" s="4">
        <f>58.9709 * CHOOSE(CONTROL!$C$14, $C$14, 100%, $E$14) + CHOOSE(CONTROL!$C$33, 0.0272, 0)</f>
        <v>58.998100000000001</v>
      </c>
      <c r="D801" s="4">
        <f>75.2537 * CHOOSE(CONTROL!$C$14, $C$14, 100%, $E$14) + CHOOSE(CONTROL!$C$33, 0.0021, 0)</f>
        <v>75.255799999999994</v>
      </c>
      <c r="E801" s="4">
        <f>381.094056106332 * CHOOSE(CONTROL!$C$14, $C$14, 100%, $E$14) + CHOOSE(CONTROL!$C$33, 0.0021, 0)</f>
        <v>381.09615610633199</v>
      </c>
    </row>
    <row r="802" spans="1:5" ht="15">
      <c r="A802" s="11">
        <v>65531</v>
      </c>
      <c r="B802" s="4">
        <f>60.7365 * CHOOSE(CONTROL!$C$14, $C$14, 100%, $E$14) + CHOOSE(CONTROL!$C$33, 0.0304, 0)</f>
        <v>60.7669</v>
      </c>
      <c r="C802" s="4">
        <f>60.3732 * CHOOSE(CONTROL!$C$14, $C$14, 100%, $E$14) + CHOOSE(CONTROL!$C$33, 0.0304, 0)</f>
        <v>60.403599999999997</v>
      </c>
      <c r="D802" s="4">
        <f>74.4312 * CHOOSE(CONTROL!$C$14, $C$14, 100%, $E$14) + CHOOSE(CONTROL!$C$33, 0.0021, 0)</f>
        <v>74.433300000000003</v>
      </c>
      <c r="E802" s="4">
        <f>390.219479059149 * CHOOSE(CONTROL!$C$14, $C$14, 100%, $E$14) + CHOOSE(CONTROL!$C$33, 0.0021, 0)</f>
        <v>390.22157905914901</v>
      </c>
    </row>
    <row r="803" spans="1:5" ht="15">
      <c r="A803" s="11">
        <v>65561</v>
      </c>
      <c r="B803" s="4">
        <f>60.9262 * CHOOSE(CONTROL!$C$14, $C$14, 100%, $E$14) + CHOOSE(CONTROL!$C$33, 0.0304, 0)</f>
        <v>60.956600000000002</v>
      </c>
      <c r="C803" s="4">
        <f>60.5629 * CHOOSE(CONTROL!$C$14, $C$14, 100%, $E$14) + CHOOSE(CONTROL!$C$33, 0.0304, 0)</f>
        <v>60.593299999999999</v>
      </c>
      <c r="D803" s="4">
        <f>75.101 * CHOOSE(CONTROL!$C$14, $C$14, 100%, $E$14) + CHOOSE(CONTROL!$C$33, 0.0021, 0)</f>
        <v>75.103099999999998</v>
      </c>
      <c r="E803" s="4">
        <f>391.454186655949 * CHOOSE(CONTROL!$C$14, $C$14, 100%, $E$14) + CHOOSE(CONTROL!$C$33, 0.0021, 0)</f>
        <v>391.45628665594899</v>
      </c>
    </row>
    <row r="804" spans="1:5" ht="15">
      <c r="A804" s="11">
        <v>65592</v>
      </c>
      <c r="B804" s="4">
        <f>60.9071 * CHOOSE(CONTROL!$C$14, $C$14, 100%, $E$14) + CHOOSE(CONTROL!$C$33, 0.0304, 0)</f>
        <v>60.9375</v>
      </c>
      <c r="C804" s="4">
        <f>60.5438 * CHOOSE(CONTROL!$C$14, $C$14, 100%, $E$14) + CHOOSE(CONTROL!$C$33, 0.0304, 0)</f>
        <v>60.574199999999998</v>
      </c>
      <c r="D804" s="4">
        <f>76.3096 * CHOOSE(CONTROL!$C$14, $C$14, 100%, $E$14) + CHOOSE(CONTROL!$C$33, 0.0021, 0)</f>
        <v>76.311700000000002</v>
      </c>
      <c r="E804" s="4">
        <f>391.32967832686 * CHOOSE(CONTROL!$C$14, $C$14, 100%, $E$14) + CHOOSE(CONTROL!$C$33, 0.0021, 0)</f>
        <v>391.33177832685999</v>
      </c>
    </row>
    <row r="805" spans="1:5" ht="15">
      <c r="A805" s="11">
        <v>65623</v>
      </c>
      <c r="B805" s="4">
        <f>62.3468 * CHOOSE(CONTROL!$C$14, $C$14, 100%, $E$14) + CHOOSE(CONTROL!$C$33, 0.0304, 0)</f>
        <v>62.377200000000002</v>
      </c>
      <c r="C805" s="4">
        <f>61.9835 * CHOOSE(CONTROL!$C$14, $C$14, 100%, $E$14) + CHOOSE(CONTROL!$C$33, 0.0304, 0)</f>
        <v>62.0139</v>
      </c>
      <c r="D805" s="4">
        <f>75.5115 * CHOOSE(CONTROL!$C$14, $C$14, 100%, $E$14) + CHOOSE(CONTROL!$C$33, 0.0021, 0)</f>
        <v>75.513599999999997</v>
      </c>
      <c r="E805" s="4">
        <f>400.698930090811 * CHOOSE(CONTROL!$C$14, $C$14, 100%, $E$14) + CHOOSE(CONTROL!$C$33, 0.0021, 0)</f>
        <v>400.701030090811</v>
      </c>
    </row>
    <row r="806" spans="1:5" ht="15">
      <c r="A806" s="11">
        <v>65653</v>
      </c>
      <c r="B806" s="4">
        <f>59.8931 * CHOOSE(CONTROL!$C$14, $C$14, 100%, $E$14) + CHOOSE(CONTROL!$C$33, 0.0304, 0)</f>
        <v>59.923499999999997</v>
      </c>
      <c r="C806" s="4">
        <f>59.5298 * CHOOSE(CONTROL!$C$14, $C$14, 100%, $E$14) + CHOOSE(CONTROL!$C$33, 0.0304, 0)</f>
        <v>59.560200000000002</v>
      </c>
      <c r="D806" s="4">
        <f>75.1343 * CHOOSE(CONTROL!$C$14, $C$14, 100%, $E$14) + CHOOSE(CONTROL!$C$33, 0.0021, 0)</f>
        <v>75.136399999999995</v>
      </c>
      <c r="E806" s="4">
        <f>384.730736885141 * CHOOSE(CONTROL!$C$14, $C$14, 100%, $E$14) + CHOOSE(CONTROL!$C$33, 0.0021, 0)</f>
        <v>384.73283688514101</v>
      </c>
    </row>
    <row r="807" spans="1:5" ht="15">
      <c r="A807" s="11">
        <v>65684</v>
      </c>
      <c r="B807" s="4">
        <f>57.9288 * CHOOSE(CONTROL!$C$14, $C$14, 100%, $E$14) + CHOOSE(CONTROL!$C$33, 0.0272, 0)</f>
        <v>57.956000000000003</v>
      </c>
      <c r="C807" s="4">
        <f>57.5655 * CHOOSE(CONTROL!$C$14, $C$14, 100%, $E$14) + CHOOSE(CONTROL!$C$33, 0.0272, 0)</f>
        <v>57.592700000000001</v>
      </c>
      <c r="D807" s="4">
        <f>74.1246 * CHOOSE(CONTROL!$C$14, $C$14, 100%, $E$14) + CHOOSE(CONTROL!$C$33, 0.0021, 0)</f>
        <v>74.1267</v>
      </c>
      <c r="E807" s="4">
        <f>371.947881765332 * CHOOSE(CONTROL!$C$14, $C$14, 100%, $E$14) + CHOOSE(CONTROL!$C$33, 0.0021, 0)</f>
        <v>371.94998176533198</v>
      </c>
    </row>
    <row r="808" spans="1:5" ht="15">
      <c r="A808" s="11">
        <v>65714</v>
      </c>
      <c r="B808" s="4">
        <f>56.6636 * CHOOSE(CONTROL!$C$14, $C$14, 100%, $E$14) + CHOOSE(CONTROL!$C$33, 0.0272, 0)</f>
        <v>56.690800000000003</v>
      </c>
      <c r="C808" s="4">
        <f>56.3004 * CHOOSE(CONTROL!$C$14, $C$14, 100%, $E$14) + CHOOSE(CONTROL!$C$33, 0.0272, 0)</f>
        <v>56.327600000000004</v>
      </c>
      <c r="D808" s="4">
        <f>73.7774 * CHOOSE(CONTROL!$C$14, $C$14, 100%, $E$14) + CHOOSE(CONTROL!$C$33, 0.0021, 0)</f>
        <v>73.779499999999999</v>
      </c>
      <c r="E808" s="4">
        <f>363.71476850432 * CHOOSE(CONTROL!$C$14, $C$14, 100%, $E$14) + CHOOSE(CONTROL!$C$33, 0.0021, 0)</f>
        <v>363.71686850431996</v>
      </c>
    </row>
    <row r="809" spans="1:5" ht="15">
      <c r="A809" s="11">
        <v>65745</v>
      </c>
      <c r="B809" s="4">
        <f>55.7883 * CHOOSE(CONTROL!$C$14, $C$14, 100%, $E$14) + CHOOSE(CONTROL!$C$33, 0.0272, 0)</f>
        <v>55.8155</v>
      </c>
      <c r="C809" s="4">
        <f>55.425 * CHOOSE(CONTROL!$C$14, $C$14, 100%, $E$14) + CHOOSE(CONTROL!$C$33, 0.0272, 0)</f>
        <v>55.452199999999998</v>
      </c>
      <c r="D809" s="4">
        <f>71.2217 * CHOOSE(CONTROL!$C$14, $C$14, 100%, $E$14) + CHOOSE(CONTROL!$C$33, 0.0021, 0)</f>
        <v>71.223799999999997</v>
      </c>
      <c r="E809" s="4">
        <f>358.018512448496 * CHOOSE(CONTROL!$C$14, $C$14, 100%, $E$14) + CHOOSE(CONTROL!$C$33, 0.0021, 0)</f>
        <v>358.02061244849597</v>
      </c>
    </row>
    <row r="810" spans="1:5" ht="15">
      <c r="A810" s="11">
        <v>65776</v>
      </c>
      <c r="B810" s="4">
        <f>53.4942 * CHOOSE(CONTROL!$C$14, $C$14, 100%, $E$14) + CHOOSE(CONTROL!$C$33, 0.0272, 0)</f>
        <v>53.5214</v>
      </c>
      <c r="C810" s="4">
        <f>53.1309 * CHOOSE(CONTROL!$C$14, $C$14, 100%, $E$14) + CHOOSE(CONTROL!$C$33, 0.0272, 0)</f>
        <v>53.158099999999997</v>
      </c>
      <c r="D810" s="4">
        <f>68.2792 * CHOOSE(CONTROL!$C$14, $C$14, 100%, $E$14) + CHOOSE(CONTROL!$C$33, 0.0021, 0)</f>
        <v>68.281300000000002</v>
      </c>
      <c r="E810" s="4">
        <f>343.105586628969 * CHOOSE(CONTROL!$C$14, $C$14, 100%, $E$14) + CHOOSE(CONTROL!$C$33, 0.0021, 0)</f>
        <v>343.10768662896896</v>
      </c>
    </row>
    <row r="811" spans="1:5" ht="15">
      <c r="A811" s="11">
        <v>65805</v>
      </c>
      <c r="B811" s="4">
        <f>54.7459 * CHOOSE(CONTROL!$C$14, $C$14, 100%, $E$14) + CHOOSE(CONTROL!$C$33, 0.0272, 0)</f>
        <v>54.773099999999999</v>
      </c>
      <c r="C811" s="4">
        <f>54.3827 * CHOOSE(CONTROL!$C$14, $C$14, 100%, $E$14) + CHOOSE(CONTROL!$C$33, 0.0272, 0)</f>
        <v>54.4099</v>
      </c>
      <c r="D811" s="4">
        <f>70.6237 * CHOOSE(CONTROL!$C$14, $C$14, 100%, $E$14) + CHOOSE(CONTROL!$C$33, 0.0021, 0)</f>
        <v>70.625799999999998</v>
      </c>
      <c r="E811" s="4">
        <f>351.252265403586 * CHOOSE(CONTROL!$C$14, $C$14, 100%, $E$14) + CHOOSE(CONTROL!$C$33, 0.0021, 0)</f>
        <v>351.25436540358601</v>
      </c>
    </row>
    <row r="812" spans="1:5" ht="15">
      <c r="A812" s="11">
        <v>65836</v>
      </c>
      <c r="B812" s="4">
        <f>58.0332 * CHOOSE(CONTROL!$C$14, $C$14, 100%, $E$14) + CHOOSE(CONTROL!$C$33, 0.0272, 0)</f>
        <v>58.060400000000001</v>
      </c>
      <c r="C812" s="4">
        <f>57.67 * CHOOSE(CONTROL!$C$14, $C$14, 100%, $E$14) + CHOOSE(CONTROL!$C$33, 0.0272, 0)</f>
        <v>57.697200000000002</v>
      </c>
      <c r="D812" s="4">
        <f>74.2938 * CHOOSE(CONTROL!$C$14, $C$14, 100%, $E$14) + CHOOSE(CONTROL!$C$33, 0.0021, 0)</f>
        <v>74.295900000000003</v>
      </c>
      <c r="E812" s="4">
        <f>372.645876806534 * CHOOSE(CONTROL!$C$14, $C$14, 100%, $E$14) + CHOOSE(CONTROL!$C$33, 0.0021, 0)</f>
        <v>372.64797680653396</v>
      </c>
    </row>
    <row r="813" spans="1:5" ht="15">
      <c r="A813" s="11">
        <v>65866</v>
      </c>
      <c r="B813" s="4">
        <f>60.3689 * CHOOSE(CONTROL!$C$14, $C$14, 100%, $E$14) + CHOOSE(CONTROL!$C$33, 0.0272, 0)</f>
        <v>60.396099999999997</v>
      </c>
      <c r="C813" s="4">
        <f>60.0056 * CHOOSE(CONTROL!$C$14, $C$14, 100%, $E$14) + CHOOSE(CONTROL!$C$33, 0.0272, 0)</f>
        <v>60.032800000000002</v>
      </c>
      <c r="D813" s="4">
        <f>76.4079 * CHOOSE(CONTROL!$C$14, $C$14, 100%, $E$14) + CHOOSE(CONTROL!$C$33, 0.0021, 0)</f>
        <v>76.41</v>
      </c>
      <c r="E813" s="4">
        <f>387.846322815687 * CHOOSE(CONTROL!$C$14, $C$14, 100%, $E$14) + CHOOSE(CONTROL!$C$33, 0.0021, 0)</f>
        <v>387.848422815687</v>
      </c>
    </row>
    <row r="814" spans="1:5" ht="15">
      <c r="A814" s="11">
        <v>65897</v>
      </c>
      <c r="B814" s="4">
        <f>61.7959 * CHOOSE(CONTROL!$C$14, $C$14, 100%, $E$14) + CHOOSE(CONTROL!$C$33, 0.0304, 0)</f>
        <v>61.826300000000003</v>
      </c>
      <c r="C814" s="4">
        <f>61.4326 * CHOOSE(CONTROL!$C$14, $C$14, 100%, $E$14) + CHOOSE(CONTROL!$C$33, 0.0304, 0)</f>
        <v>61.463000000000001</v>
      </c>
      <c r="D814" s="4">
        <f>75.5725 * CHOOSE(CONTROL!$C$14, $C$14, 100%, $E$14) + CHOOSE(CONTROL!$C$33, 0.0021, 0)</f>
        <v>75.574600000000004</v>
      </c>
      <c r="E814" s="4">
        <f>397.133431023433 * CHOOSE(CONTROL!$C$14, $C$14, 100%, $E$14) + CHOOSE(CONTROL!$C$33, 0.0021, 0)</f>
        <v>397.13553102343297</v>
      </c>
    </row>
    <row r="815" spans="1:5" ht="15">
      <c r="A815" s="11">
        <v>65927</v>
      </c>
      <c r="B815" s="4">
        <f>61.989 * CHOOSE(CONTROL!$C$14, $C$14, 100%, $E$14) + CHOOSE(CONTROL!$C$33, 0.0304, 0)</f>
        <v>62.019399999999997</v>
      </c>
      <c r="C815" s="4">
        <f>61.6257 * CHOOSE(CONTROL!$C$14, $C$14, 100%, $E$14) + CHOOSE(CONTROL!$C$33, 0.0304, 0)</f>
        <v>61.656100000000002</v>
      </c>
      <c r="D815" s="4">
        <f>76.2529 * CHOOSE(CONTROL!$C$14, $C$14, 100%, $E$14) + CHOOSE(CONTROL!$C$33, 0.0021, 0)</f>
        <v>76.254999999999995</v>
      </c>
      <c r="E815" s="4">
        <f>398.390015306232 * CHOOSE(CONTROL!$C$14, $C$14, 100%, $E$14) + CHOOSE(CONTROL!$C$33, 0.0021, 0)</f>
        <v>398.39211530623197</v>
      </c>
    </row>
    <row r="816" spans="1:5" ht="15">
      <c r="A816" s="11">
        <v>65958</v>
      </c>
      <c r="B816" s="4">
        <f>61.9695 * CHOOSE(CONTROL!$C$14, $C$14, 100%, $E$14) + CHOOSE(CONTROL!$C$33, 0.0304, 0)</f>
        <v>61.999899999999997</v>
      </c>
      <c r="C816" s="4">
        <f>61.6063 * CHOOSE(CONTROL!$C$14, $C$14, 100%, $E$14) + CHOOSE(CONTROL!$C$33, 0.0304, 0)</f>
        <v>61.636699999999998</v>
      </c>
      <c r="D816" s="4">
        <f>77.4805 * CHOOSE(CONTROL!$C$14, $C$14, 100%, $E$14) + CHOOSE(CONTROL!$C$33, 0.0021, 0)</f>
        <v>77.482600000000005</v>
      </c>
      <c r="E816" s="4">
        <f>398.263300924773 * CHOOSE(CONTROL!$C$14, $C$14, 100%, $E$14) + CHOOSE(CONTROL!$C$33, 0.0021, 0)</f>
        <v>398.26540092477296</v>
      </c>
    </row>
    <row r="817" spans="1:5" ht="15">
      <c r="A817" s="11">
        <v>65989</v>
      </c>
      <c r="B817" s="4">
        <f>63.4347 * CHOOSE(CONTROL!$C$14, $C$14, 100%, $E$14) + CHOOSE(CONTROL!$C$33, 0.0304, 0)</f>
        <v>63.4651</v>
      </c>
      <c r="C817" s="4">
        <f>63.0714 * CHOOSE(CONTROL!$C$14, $C$14, 100%, $E$14) + CHOOSE(CONTROL!$C$33, 0.0304, 0)</f>
        <v>63.101799999999997</v>
      </c>
      <c r="D817" s="4">
        <f>76.6698 * CHOOSE(CONTROL!$C$14, $C$14, 100%, $E$14) + CHOOSE(CONTROL!$C$33, 0.0021, 0)</f>
        <v>76.671899999999994</v>
      </c>
      <c r="E817" s="4">
        <f>407.798558129542 * CHOOSE(CONTROL!$C$14, $C$14, 100%, $E$14) + CHOOSE(CONTROL!$C$33, 0.0021, 0)</f>
        <v>407.800658129542</v>
      </c>
    </row>
    <row r="818" spans="1:5" ht="15">
      <c r="A818" s="11">
        <v>66019</v>
      </c>
      <c r="B818" s="4">
        <f>60.9376 * CHOOSE(CONTROL!$C$14, $C$14, 100%, $E$14) + CHOOSE(CONTROL!$C$33, 0.0304, 0)</f>
        <v>60.968000000000004</v>
      </c>
      <c r="C818" s="4">
        <f>60.5743 * CHOOSE(CONTROL!$C$14, $C$14, 100%, $E$14) + CHOOSE(CONTROL!$C$33, 0.0304, 0)</f>
        <v>60.604700000000001</v>
      </c>
      <c r="D818" s="4">
        <f>76.2867 * CHOOSE(CONTROL!$C$14, $C$14, 100%, $E$14) + CHOOSE(CONTROL!$C$33, 0.0021, 0)</f>
        <v>76.288799999999995</v>
      </c>
      <c r="E818" s="4">
        <f>391.547438707461 * CHOOSE(CONTROL!$C$14, $C$14, 100%, $E$14) + CHOOSE(CONTROL!$C$33, 0.0021, 0)</f>
        <v>391.54953870746101</v>
      </c>
    </row>
    <row r="819" spans="1:5" ht="15">
      <c r="A819" s="11">
        <v>66050</v>
      </c>
      <c r="B819" s="4">
        <f>58.9386 * CHOOSE(CONTROL!$C$14, $C$14, 100%, $E$14) + CHOOSE(CONTROL!$C$33, 0.0272, 0)</f>
        <v>58.965800000000002</v>
      </c>
      <c r="C819" s="4">
        <f>58.5753 * CHOOSE(CONTROL!$C$14, $C$14, 100%, $E$14) + CHOOSE(CONTROL!$C$33, 0.0272, 0)</f>
        <v>58.602499999999999</v>
      </c>
      <c r="D819" s="4">
        <f>75.2611 * CHOOSE(CONTROL!$C$14, $C$14, 100%, $E$14) + CHOOSE(CONTROL!$C$33, 0.0021, 0)</f>
        <v>75.263199999999998</v>
      </c>
      <c r="E819" s="4">
        <f>378.538095544365 * CHOOSE(CONTROL!$C$14, $C$14, 100%, $E$14) + CHOOSE(CONTROL!$C$33, 0.0021, 0)</f>
        <v>378.54019554436496</v>
      </c>
    </row>
    <row r="820" spans="1:5" ht="15">
      <c r="A820" s="11">
        <v>66080</v>
      </c>
      <c r="B820" s="4">
        <f>57.6511 * CHOOSE(CONTROL!$C$14, $C$14, 100%, $E$14) + CHOOSE(CONTROL!$C$33, 0.0272, 0)</f>
        <v>57.6783</v>
      </c>
      <c r="C820" s="4">
        <f>57.2878 * CHOOSE(CONTROL!$C$14, $C$14, 100%, $E$14) + CHOOSE(CONTROL!$C$33, 0.0272, 0)</f>
        <v>57.314999999999998</v>
      </c>
      <c r="D820" s="4">
        <f>74.9085 * CHOOSE(CONTROL!$C$14, $C$14, 100%, $E$14) + CHOOSE(CONTROL!$C$33, 0.0021, 0)</f>
        <v>74.910600000000002</v>
      </c>
      <c r="E820" s="4">
        <f>370.159107070407 * CHOOSE(CONTROL!$C$14, $C$14, 100%, $E$14) + CHOOSE(CONTROL!$C$33, 0.0021, 0)</f>
        <v>370.16120707040699</v>
      </c>
    </row>
    <row r="821" spans="1:5" ht="15">
      <c r="A821" s="11">
        <v>66111</v>
      </c>
      <c r="B821" s="4">
        <f>56.7603 * CHOOSE(CONTROL!$C$14, $C$14, 100%, $E$14) + CHOOSE(CONTROL!$C$33, 0.0272, 0)</f>
        <v>56.787500000000001</v>
      </c>
      <c r="C821" s="4">
        <f>56.3971 * CHOOSE(CONTROL!$C$14, $C$14, 100%, $E$14) + CHOOSE(CONTROL!$C$33, 0.0272, 0)</f>
        <v>56.424300000000002</v>
      </c>
      <c r="D821" s="4">
        <f>72.3125 * CHOOSE(CONTROL!$C$14, $C$14, 100%, $E$14) + CHOOSE(CONTROL!$C$33, 0.0021, 0)</f>
        <v>72.314599999999999</v>
      </c>
      <c r="E821" s="4">
        <f>364.36192411867 * CHOOSE(CONTROL!$C$14, $C$14, 100%, $E$14) + CHOOSE(CONTROL!$C$33, 0.0021, 0)</f>
        <v>364.36402411866999</v>
      </c>
    </row>
    <row r="822" spans="1:5" ht="15">
      <c r="A822" s="11">
        <v>66142</v>
      </c>
      <c r="B822" s="4">
        <f>54.4256 * CHOOSE(CONTROL!$C$14, $C$14, 100%, $E$14) + CHOOSE(CONTROL!$C$33, 0.0272, 0)</f>
        <v>54.452800000000003</v>
      </c>
      <c r="C822" s="4">
        <f>54.0624 * CHOOSE(CONTROL!$C$14, $C$14, 100%, $E$14) + CHOOSE(CONTROL!$C$33, 0.0272, 0)</f>
        <v>54.089599999999997</v>
      </c>
      <c r="D822" s="4">
        <f>69.3238 * CHOOSE(CONTROL!$C$14, $C$14, 100%, $E$14) + CHOOSE(CONTROL!$C$33, 0.0021, 0)</f>
        <v>69.325900000000004</v>
      </c>
      <c r="E822" s="4">
        <f>349.184769427198 * CHOOSE(CONTROL!$C$14, $C$14, 100%, $E$14) + CHOOSE(CONTROL!$C$33, 0.0021, 0)</f>
        <v>349.18686942719796</v>
      </c>
    </row>
    <row r="823" spans="1:5" ht="15">
      <c r="A823" s="11">
        <v>66170</v>
      </c>
      <c r="B823" s="4">
        <f>55.6996 * CHOOSE(CONTROL!$C$14, $C$14, 100%, $E$14) + CHOOSE(CONTROL!$C$33, 0.0272, 0)</f>
        <v>55.726799999999997</v>
      </c>
      <c r="C823" s="4">
        <f>55.3363 * CHOOSE(CONTROL!$C$14, $C$14, 100%, $E$14) + CHOOSE(CONTROL!$C$33, 0.0272, 0)</f>
        <v>55.363500000000002</v>
      </c>
      <c r="D823" s="4">
        <f>71.7051 * CHOOSE(CONTROL!$C$14, $C$14, 100%, $E$14) + CHOOSE(CONTROL!$C$33, 0.0021, 0)</f>
        <v>71.7072</v>
      </c>
      <c r="E823" s="4">
        <f>357.475791958954 * CHOOSE(CONTROL!$C$14, $C$14, 100%, $E$14) + CHOOSE(CONTROL!$C$33, 0.0021, 0)</f>
        <v>357.47789195895399</v>
      </c>
    </row>
    <row r="824" spans="1:5" ht="15">
      <c r="A824" s="11">
        <v>66201</v>
      </c>
      <c r="B824" s="4">
        <f>59.0449 * CHOOSE(CONTROL!$C$14, $C$14, 100%, $E$14) + CHOOSE(CONTROL!$C$33, 0.0272, 0)</f>
        <v>59.072099999999999</v>
      </c>
      <c r="C824" s="4">
        <f>58.6816 * CHOOSE(CONTROL!$C$14, $C$14, 100%, $E$14) + CHOOSE(CONTROL!$C$33, 0.0272, 0)</f>
        <v>58.708800000000004</v>
      </c>
      <c r="D824" s="4">
        <f>75.4329 * CHOOSE(CONTROL!$C$14, $C$14, 100%, $E$14) + CHOOSE(CONTROL!$C$33, 0.0021, 0)</f>
        <v>75.435000000000002</v>
      </c>
      <c r="E824" s="4">
        <f>379.248457739042 * CHOOSE(CONTROL!$C$14, $C$14, 100%, $E$14) + CHOOSE(CONTROL!$C$33, 0.0021, 0)</f>
        <v>379.25055773904199</v>
      </c>
    </row>
    <row r="825" spans="1:5" ht="15">
      <c r="A825" s="11">
        <v>66231</v>
      </c>
      <c r="B825" s="4">
        <f>61.4218 * CHOOSE(CONTROL!$C$14, $C$14, 100%, $E$14) + CHOOSE(CONTROL!$C$33, 0.0272, 0)</f>
        <v>61.448999999999998</v>
      </c>
      <c r="C825" s="4">
        <f>61.0586 * CHOOSE(CONTROL!$C$14, $C$14, 100%, $E$14) + CHOOSE(CONTROL!$C$33, 0.0272, 0)</f>
        <v>61.085799999999999</v>
      </c>
      <c r="D825" s="4">
        <f>77.5803 * CHOOSE(CONTROL!$C$14, $C$14, 100%, $E$14) + CHOOSE(CONTROL!$C$33, 0.0021, 0)</f>
        <v>77.582399999999993</v>
      </c>
      <c r="E825" s="4">
        <f>394.718226934716 * CHOOSE(CONTROL!$C$14, $C$14, 100%, $E$14) + CHOOSE(CONTROL!$C$33, 0.0021, 0)</f>
        <v>394.72032693471596</v>
      </c>
    </row>
    <row r="826" spans="1:5" ht="15">
      <c r="A826" s="11">
        <v>66262</v>
      </c>
      <c r="B826" s="4">
        <f>62.8741 * CHOOSE(CONTROL!$C$14, $C$14, 100%, $E$14) + CHOOSE(CONTROL!$C$33, 0.0304, 0)</f>
        <v>62.904499999999999</v>
      </c>
      <c r="C826" s="4">
        <f>62.5108 * CHOOSE(CONTROL!$C$14, $C$14, 100%, $E$14) + CHOOSE(CONTROL!$C$33, 0.0304, 0)</f>
        <v>62.541200000000003</v>
      </c>
      <c r="D826" s="4">
        <f>76.7318 * CHOOSE(CONTROL!$C$14, $C$14, 100%, $E$14) + CHOOSE(CONTROL!$C$33, 0.0021, 0)</f>
        <v>76.733900000000006</v>
      </c>
      <c r="E826" s="4">
        <f>404.16988515465 * CHOOSE(CONTROL!$C$14, $C$14, 100%, $E$14) + CHOOSE(CONTROL!$C$33, 0.0021, 0)</f>
        <v>404.17198515464997</v>
      </c>
    </row>
    <row r="827" spans="1:5" ht="15">
      <c r="A827" s="11">
        <v>66292</v>
      </c>
      <c r="B827" s="4">
        <f>63.0706 * CHOOSE(CONTROL!$C$14, $C$14, 100%, $E$14) + CHOOSE(CONTROL!$C$33, 0.0304, 0)</f>
        <v>63.100999999999999</v>
      </c>
      <c r="C827" s="4">
        <f>62.7073 * CHOOSE(CONTROL!$C$14, $C$14, 100%, $E$14) + CHOOSE(CONTROL!$C$33, 0.0304, 0)</f>
        <v>62.737699999999997</v>
      </c>
      <c r="D827" s="4">
        <f>77.4228 * CHOOSE(CONTROL!$C$14, $C$14, 100%, $E$14) + CHOOSE(CONTROL!$C$33, 0.0021, 0)</f>
        <v>77.424899999999994</v>
      </c>
      <c r="E827" s="4">
        <f>405.448733736995 * CHOOSE(CONTROL!$C$14, $C$14, 100%, $E$14) + CHOOSE(CONTROL!$C$33, 0.0021, 0)</f>
        <v>405.45083373699498</v>
      </c>
    </row>
    <row r="828" spans="1:5" ht="15">
      <c r="A828" s="11">
        <v>66323</v>
      </c>
      <c r="B828" s="4">
        <f>63.0508 * CHOOSE(CONTROL!$C$14, $C$14, 100%, $E$14) + CHOOSE(CONTROL!$C$33, 0.0304, 0)</f>
        <v>63.081200000000003</v>
      </c>
      <c r="C828" s="4">
        <f>62.6875 * CHOOSE(CONTROL!$C$14, $C$14, 100%, $E$14) + CHOOSE(CONTROL!$C$33, 0.0304, 0)</f>
        <v>62.7179</v>
      </c>
      <c r="D828" s="4">
        <f>78.6697 * CHOOSE(CONTROL!$C$14, $C$14, 100%, $E$14) + CHOOSE(CONTROL!$C$33, 0.0021, 0)</f>
        <v>78.671800000000005</v>
      </c>
      <c r="E828" s="4">
        <f>405.319774216086 * CHOOSE(CONTROL!$C$14, $C$14, 100%, $E$14) + CHOOSE(CONTROL!$C$33, 0.0021, 0)</f>
        <v>405.32187421608597</v>
      </c>
    </row>
    <row r="829" spans="1:5" ht="15">
      <c r="A829" s="11">
        <v>66354</v>
      </c>
      <c r="B829" s="4">
        <f>64.5418 * CHOOSE(CONTROL!$C$14, $C$14, 100%, $E$14) + CHOOSE(CONTROL!$C$33, 0.0304, 0)</f>
        <v>64.572199999999995</v>
      </c>
      <c r="C829" s="4">
        <f>64.1785 * CHOOSE(CONTROL!$C$14, $C$14, 100%, $E$14) + CHOOSE(CONTROL!$C$33, 0.0304, 0)</f>
        <v>64.2089</v>
      </c>
      <c r="D829" s="4">
        <f>77.8463 * CHOOSE(CONTROL!$C$14, $C$14, 100%, $E$14) + CHOOSE(CONTROL!$C$33, 0.0021, 0)</f>
        <v>77.848399999999998</v>
      </c>
      <c r="E829" s="4">
        <f>415.023978164467 * CHOOSE(CONTROL!$C$14, $C$14, 100%, $E$14) + CHOOSE(CONTROL!$C$33, 0.0021, 0)</f>
        <v>415.02607816446698</v>
      </c>
    </row>
    <row r="830" spans="1:5" ht="15">
      <c r="A830" s="11">
        <v>66384</v>
      </c>
      <c r="B830" s="4">
        <f>62.0006 * CHOOSE(CONTROL!$C$14, $C$14, 100%, $E$14) + CHOOSE(CONTROL!$C$33, 0.0304, 0)</f>
        <v>62.030999999999999</v>
      </c>
      <c r="C830" s="4">
        <f>61.6373 * CHOOSE(CONTROL!$C$14, $C$14, 100%, $E$14) + CHOOSE(CONTROL!$C$33, 0.0304, 0)</f>
        <v>61.667700000000004</v>
      </c>
      <c r="D830" s="4">
        <f>77.4572 * CHOOSE(CONTROL!$C$14, $C$14, 100%, $E$14) + CHOOSE(CONTROL!$C$33, 0.0021, 0)</f>
        <v>77.459299999999999</v>
      </c>
      <c r="E830" s="4">
        <f>398.484919607925 * CHOOSE(CONTROL!$C$14, $C$14, 100%, $E$14) + CHOOSE(CONTROL!$C$33, 0.0021, 0)</f>
        <v>398.48701960792499</v>
      </c>
    </row>
    <row r="831" spans="1:5" ht="15">
      <c r="A831" s="11">
        <v>66415</v>
      </c>
      <c r="B831" s="4">
        <f>59.9663 * CHOOSE(CONTROL!$C$14, $C$14, 100%, $E$14) + CHOOSE(CONTROL!$C$33, 0.0272, 0)</f>
        <v>59.993499999999997</v>
      </c>
      <c r="C831" s="4">
        <f>59.603 * CHOOSE(CONTROL!$C$14, $C$14, 100%, $E$14) + CHOOSE(CONTROL!$C$33, 0.0272, 0)</f>
        <v>59.630200000000002</v>
      </c>
      <c r="D831" s="4">
        <f>76.4154 * CHOOSE(CONTROL!$C$14, $C$14, 100%, $E$14) + CHOOSE(CONTROL!$C$33, 0.0021, 0)</f>
        <v>76.417500000000004</v>
      </c>
      <c r="E831" s="4">
        <f>385.245075461297 * CHOOSE(CONTROL!$C$14, $C$14, 100%, $E$14) + CHOOSE(CONTROL!$C$33, 0.0021, 0)</f>
        <v>385.24717546129699</v>
      </c>
    </row>
    <row r="832" spans="1:5" ht="15">
      <c r="A832" s="11">
        <v>66445</v>
      </c>
      <c r="B832" s="4">
        <f>58.6561 * CHOOSE(CONTROL!$C$14, $C$14, 100%, $E$14) + CHOOSE(CONTROL!$C$33, 0.0272, 0)</f>
        <v>58.683300000000003</v>
      </c>
      <c r="C832" s="4">
        <f>58.2928 * CHOOSE(CONTROL!$C$14, $C$14, 100%, $E$14) + CHOOSE(CONTROL!$C$33, 0.0272, 0)</f>
        <v>58.32</v>
      </c>
      <c r="D832" s="4">
        <f>76.0573 * CHOOSE(CONTROL!$C$14, $C$14, 100%, $E$14) + CHOOSE(CONTROL!$C$33, 0.0021, 0)</f>
        <v>76.059399999999997</v>
      </c>
      <c r="E832" s="4">
        <f>376.717627141208 * CHOOSE(CONTROL!$C$14, $C$14, 100%, $E$14) + CHOOSE(CONTROL!$C$33, 0.0021, 0)</f>
        <v>376.71972714120801</v>
      </c>
    </row>
    <row r="833" spans="1:5" ht="15">
      <c r="A833" s="11">
        <v>66476</v>
      </c>
      <c r="B833" s="4">
        <f>57.7495 * CHOOSE(CONTROL!$C$14, $C$14, 100%, $E$14) + CHOOSE(CONTROL!$C$33, 0.0272, 0)</f>
        <v>57.776699999999998</v>
      </c>
      <c r="C833" s="4">
        <f>57.3863 * CHOOSE(CONTROL!$C$14, $C$14, 100%, $E$14) + CHOOSE(CONTROL!$C$33, 0.0272, 0)</f>
        <v>57.413499999999999</v>
      </c>
      <c r="D833" s="4">
        <f>73.4205 * CHOOSE(CONTROL!$C$14, $C$14, 100%, $E$14) + CHOOSE(CONTROL!$C$33, 0.0021, 0)</f>
        <v>73.422600000000003</v>
      </c>
      <c r="E833" s="4">
        <f>370.817729059634 * CHOOSE(CONTROL!$C$14, $C$14, 100%, $E$14) + CHOOSE(CONTROL!$C$33, 0.0021, 0)</f>
        <v>370.819829059634</v>
      </c>
    </row>
    <row r="834" spans="1:5" ht="15">
      <c r="A834" s="11">
        <v>66507</v>
      </c>
      <c r="B834" s="4">
        <f>55.3736 * CHOOSE(CONTROL!$C$14, $C$14, 100%, $E$14) + CHOOSE(CONTROL!$C$33, 0.0272, 0)</f>
        <v>55.400800000000004</v>
      </c>
      <c r="C834" s="4">
        <f>55.0103 * CHOOSE(CONTROL!$C$14, $C$14, 100%, $E$14) + CHOOSE(CONTROL!$C$33, 0.0272, 0)</f>
        <v>55.037500000000001</v>
      </c>
      <c r="D834" s="4">
        <f>70.3848 * CHOOSE(CONTROL!$C$14, $C$14, 100%, $E$14) + CHOOSE(CONTROL!$C$33, 0.0021, 0)</f>
        <v>70.386899999999997</v>
      </c>
      <c r="E834" s="4">
        <f>355.371663859787 * CHOOSE(CONTROL!$C$14, $C$14, 100%, $E$14) + CHOOSE(CONTROL!$C$33, 0.0021, 0)</f>
        <v>355.373763859787</v>
      </c>
    </row>
    <row r="835" spans="1:5" ht="15">
      <c r="A835" s="11">
        <v>66535</v>
      </c>
      <c r="B835" s="4">
        <f>56.67 * CHOOSE(CONTROL!$C$14, $C$14, 100%, $E$14) + CHOOSE(CONTROL!$C$33, 0.0272, 0)</f>
        <v>56.697200000000002</v>
      </c>
      <c r="C835" s="4">
        <f>56.3067 * CHOOSE(CONTROL!$C$14, $C$14, 100%, $E$14) + CHOOSE(CONTROL!$C$33, 0.0272, 0)</f>
        <v>56.3339</v>
      </c>
      <c r="D835" s="4">
        <f>72.8036 * CHOOSE(CONTROL!$C$14, $C$14, 100%, $E$14) + CHOOSE(CONTROL!$C$33, 0.0021, 0)</f>
        <v>72.805700000000002</v>
      </c>
      <c r="E835" s="4">
        <f>363.809587647364 * CHOOSE(CONTROL!$C$14, $C$14, 100%, $E$14) + CHOOSE(CONTROL!$C$33, 0.0021, 0)</f>
        <v>363.81168764736401</v>
      </c>
    </row>
    <row r="836" spans="1:5" ht="15">
      <c r="A836" s="11">
        <v>66566</v>
      </c>
      <c r="B836" s="4">
        <f>60.0745 * CHOOSE(CONTROL!$C$14, $C$14, 100%, $E$14) + CHOOSE(CONTROL!$C$33, 0.0272, 0)</f>
        <v>60.101700000000001</v>
      </c>
      <c r="C836" s="4">
        <f>59.7112 * CHOOSE(CONTROL!$C$14, $C$14, 100%, $E$14) + CHOOSE(CONTROL!$C$33, 0.0272, 0)</f>
        <v>59.738399999999999</v>
      </c>
      <c r="D836" s="4">
        <f>76.59 * CHOOSE(CONTROL!$C$14, $C$14, 100%, $E$14) + CHOOSE(CONTROL!$C$33, 0.0021, 0)</f>
        <v>76.592100000000002</v>
      </c>
      <c r="E836" s="4">
        <f>385.968023932043 * CHOOSE(CONTROL!$C$14, $C$14, 100%, $E$14) + CHOOSE(CONTROL!$C$33, 0.0021, 0)</f>
        <v>385.97012393204301</v>
      </c>
    </row>
    <row r="837" spans="1:5" ht="15">
      <c r="A837" s="11">
        <v>66596</v>
      </c>
      <c r="B837" s="4">
        <f>62.4934 * CHOOSE(CONTROL!$C$14, $C$14, 100%, $E$14) + CHOOSE(CONTROL!$C$33, 0.0272, 0)</f>
        <v>62.520600000000002</v>
      </c>
      <c r="C837" s="4">
        <f>62.1301 * CHOOSE(CONTROL!$C$14, $C$14, 100%, $E$14) + CHOOSE(CONTROL!$C$33, 0.0272, 0)</f>
        <v>62.157299999999999</v>
      </c>
      <c r="D837" s="4">
        <f>78.7711 * CHOOSE(CONTROL!$C$14, $C$14, 100%, $E$14) + CHOOSE(CONTROL!$C$33, 0.0021, 0)</f>
        <v>78.773200000000003</v>
      </c>
      <c r="E837" s="4">
        <f>401.711888212297 * CHOOSE(CONTROL!$C$14, $C$14, 100%, $E$14) + CHOOSE(CONTROL!$C$33, 0.0021, 0)</f>
        <v>401.71398821229701</v>
      </c>
    </row>
    <row r="838" spans="1:5" ht="15">
      <c r="A838" s="11">
        <v>66627</v>
      </c>
      <c r="B838" s="4">
        <f>63.9713 * CHOOSE(CONTROL!$C$14, $C$14, 100%, $E$14) + CHOOSE(CONTROL!$C$33, 0.0304, 0)</f>
        <v>64.0017</v>
      </c>
      <c r="C838" s="4">
        <f>63.608 * CHOOSE(CONTROL!$C$14, $C$14, 100%, $E$14) + CHOOSE(CONTROL!$C$33, 0.0304, 0)</f>
        <v>63.638399999999997</v>
      </c>
      <c r="D838" s="4">
        <f>77.9092 * CHOOSE(CONTROL!$C$14, $C$14, 100%, $E$14) + CHOOSE(CONTROL!$C$33, 0.0021, 0)</f>
        <v>77.911299999999997</v>
      </c>
      <c r="E838" s="4">
        <f>411.331011959768 * CHOOSE(CONTROL!$C$14, $C$14, 100%, $E$14) + CHOOSE(CONTROL!$C$33, 0.0021, 0)</f>
        <v>411.33311195976796</v>
      </c>
    </row>
    <row r="839" spans="1:5" ht="15">
      <c r="A839" s="11">
        <v>66657</v>
      </c>
      <c r="B839" s="4">
        <f>64.1713 * CHOOSE(CONTROL!$C$14, $C$14, 100%, $E$14) + CHOOSE(CONTROL!$C$33, 0.0304, 0)</f>
        <v>64.201700000000002</v>
      </c>
      <c r="C839" s="4">
        <f>63.808 * CHOOSE(CONTROL!$C$14, $C$14, 100%, $E$14) + CHOOSE(CONTROL!$C$33, 0.0304, 0)</f>
        <v>63.8384</v>
      </c>
      <c r="D839" s="4">
        <f>78.6112 * CHOOSE(CONTROL!$C$14, $C$14, 100%, $E$14) + CHOOSE(CONTROL!$C$33, 0.0021, 0)</f>
        <v>78.613299999999995</v>
      </c>
      <c r="E839" s="4">
        <f>412.632519322984 * CHOOSE(CONTROL!$C$14, $C$14, 100%, $E$14) + CHOOSE(CONTROL!$C$33, 0.0021, 0)</f>
        <v>412.63461932298401</v>
      </c>
    </row>
    <row r="840" spans="1:5" ht="15">
      <c r="A840" s="11">
        <v>66688</v>
      </c>
      <c r="B840" s="4">
        <f>64.1511 * CHOOSE(CONTROL!$C$14, $C$14, 100%, $E$14) + CHOOSE(CONTROL!$C$33, 0.0304, 0)</f>
        <v>64.1815</v>
      </c>
      <c r="C840" s="4">
        <f>63.7878 * CHOOSE(CONTROL!$C$14, $C$14, 100%, $E$14) + CHOOSE(CONTROL!$C$33, 0.0304, 0)</f>
        <v>63.818199999999997</v>
      </c>
      <c r="D840" s="4">
        <f>79.8777 * CHOOSE(CONTROL!$C$14, $C$14, 100%, $E$14) + CHOOSE(CONTROL!$C$33, 0.0021, 0)</f>
        <v>79.879800000000003</v>
      </c>
      <c r="E840" s="4">
        <f>412.501274882996 * CHOOSE(CONTROL!$C$14, $C$14, 100%, $E$14) + CHOOSE(CONTROL!$C$33, 0.0021, 0)</f>
        <v>412.50337488299596</v>
      </c>
    </row>
    <row r="841" spans="1:5" ht="15">
      <c r="A841" s="11">
        <v>66719</v>
      </c>
      <c r="B841" s="4">
        <f>65.6685 * CHOOSE(CONTROL!$C$14, $C$14, 100%, $E$14) + CHOOSE(CONTROL!$C$33, 0.0304, 0)</f>
        <v>65.698899999999995</v>
      </c>
      <c r="C841" s="4">
        <f>65.3052 * CHOOSE(CONTROL!$C$14, $C$14, 100%, $E$14) + CHOOSE(CONTROL!$C$33, 0.0304, 0)</f>
        <v>65.335599999999999</v>
      </c>
      <c r="D841" s="4">
        <f>79.0413 * CHOOSE(CONTROL!$C$14, $C$14, 100%, $E$14) + CHOOSE(CONTROL!$C$33, 0.0021, 0)</f>
        <v>79.043400000000005</v>
      </c>
      <c r="E841" s="4">
        <f>422.37741899211 * CHOOSE(CONTROL!$C$14, $C$14, 100%, $E$14) + CHOOSE(CONTROL!$C$33, 0.0021, 0)</f>
        <v>422.37951899210998</v>
      </c>
    </row>
    <row r="842" spans="1:5" ht="15">
      <c r="A842" s="11">
        <v>66749</v>
      </c>
      <c r="B842" s="4">
        <f>63.0824 * CHOOSE(CONTROL!$C$14, $C$14, 100%, $E$14) + CHOOSE(CONTROL!$C$33, 0.0304, 0)</f>
        <v>63.1128</v>
      </c>
      <c r="C842" s="4">
        <f>62.7191 * CHOOSE(CONTROL!$C$14, $C$14, 100%, $E$14) + CHOOSE(CONTROL!$C$33, 0.0304, 0)</f>
        <v>62.749499999999998</v>
      </c>
      <c r="D842" s="4">
        <f>78.6461 * CHOOSE(CONTROL!$C$14, $C$14, 100%, $E$14) + CHOOSE(CONTROL!$C$33, 0.0021, 0)</f>
        <v>78.648200000000003</v>
      </c>
      <c r="E842" s="4">
        <f>405.54531956362 * CHOOSE(CONTROL!$C$14, $C$14, 100%, $E$14) + CHOOSE(CONTROL!$C$33, 0.0021, 0)</f>
        <v>405.54741956362</v>
      </c>
    </row>
    <row r="843" spans="1:5" ht="15">
      <c r="A843" s="11">
        <v>66780</v>
      </c>
      <c r="B843" s="4">
        <f>61.0121 * CHOOSE(CONTROL!$C$14, $C$14, 100%, $E$14) + CHOOSE(CONTROL!$C$33, 0.0272, 0)</f>
        <v>61.039299999999997</v>
      </c>
      <c r="C843" s="4">
        <f>60.6489 * CHOOSE(CONTROL!$C$14, $C$14, 100%, $E$14) + CHOOSE(CONTROL!$C$33, 0.0272, 0)</f>
        <v>60.676099999999998</v>
      </c>
      <c r="D843" s="4">
        <f>77.5879 * CHOOSE(CONTROL!$C$14, $C$14, 100%, $E$14) + CHOOSE(CONTROL!$C$33, 0.0021, 0)</f>
        <v>77.59</v>
      </c>
      <c r="E843" s="4">
        <f>392.070890391495 * CHOOSE(CONTROL!$C$14, $C$14, 100%, $E$14) + CHOOSE(CONTROL!$C$33, 0.0021, 0)</f>
        <v>392.07299039149501</v>
      </c>
    </row>
    <row r="844" spans="1:5" ht="15">
      <c r="A844" s="11">
        <v>66810</v>
      </c>
      <c r="B844" s="4">
        <f>59.6787 * CHOOSE(CONTROL!$C$14, $C$14, 100%, $E$14) + CHOOSE(CONTROL!$C$33, 0.0272, 0)</f>
        <v>59.7059</v>
      </c>
      <c r="C844" s="4">
        <f>59.3155 * CHOOSE(CONTROL!$C$14, $C$14, 100%, $E$14) + CHOOSE(CONTROL!$C$33, 0.0272, 0)</f>
        <v>59.342700000000001</v>
      </c>
      <c r="D844" s="4">
        <f>77.2242 * CHOOSE(CONTROL!$C$14, $C$14, 100%, $E$14) + CHOOSE(CONTROL!$C$33, 0.0021, 0)</f>
        <v>77.226299999999995</v>
      </c>
      <c r="E844" s="4">
        <f>383.392351797274 * CHOOSE(CONTROL!$C$14, $C$14, 100%, $E$14) + CHOOSE(CONTROL!$C$33, 0.0021, 0)</f>
        <v>383.39445179727397</v>
      </c>
    </row>
    <row r="845" spans="1:5" ht="15">
      <c r="A845" s="11">
        <v>66841</v>
      </c>
      <c r="B845" s="4">
        <f>58.7562 * CHOOSE(CONTROL!$C$14, $C$14, 100%, $E$14) + CHOOSE(CONTROL!$C$33, 0.0272, 0)</f>
        <v>58.7834</v>
      </c>
      <c r="C845" s="4">
        <f>58.3929 * CHOOSE(CONTROL!$C$14, $C$14, 100%, $E$14) + CHOOSE(CONTROL!$C$33, 0.0272, 0)</f>
        <v>58.420099999999998</v>
      </c>
      <c r="D845" s="4">
        <f>74.5459 * CHOOSE(CONTROL!$C$14, $C$14, 100%, $E$14) + CHOOSE(CONTROL!$C$33, 0.0021, 0)</f>
        <v>74.548000000000002</v>
      </c>
      <c r="E845" s="4">
        <f>377.387918667812 * CHOOSE(CONTROL!$C$14, $C$14, 100%, $E$14) + CHOOSE(CONTROL!$C$33, 0.0021, 0)</f>
        <v>377.390018667812</v>
      </c>
    </row>
    <row r="846" spans="1:5" ht="15">
      <c r="A846" s="11">
        <v>66872</v>
      </c>
      <c r="B846" s="4">
        <f>56.3383 * CHOOSE(CONTROL!$C$14, $C$14, 100%, $E$14) + CHOOSE(CONTROL!$C$33, 0.0272, 0)</f>
        <v>56.365499999999997</v>
      </c>
      <c r="C846" s="4">
        <f>55.975 * CHOOSE(CONTROL!$C$14, $C$14, 100%, $E$14) + CHOOSE(CONTROL!$C$33, 0.0272, 0)</f>
        <v>56.002200000000002</v>
      </c>
      <c r="D846" s="4">
        <f>71.4624 * CHOOSE(CONTROL!$C$14, $C$14, 100%, $E$14) + CHOOSE(CONTROL!$C$33, 0.0021, 0)</f>
        <v>71.464500000000001</v>
      </c>
      <c r="E846" s="4">
        <f>361.66817837341 * CHOOSE(CONTROL!$C$14, $C$14, 100%, $E$14) + CHOOSE(CONTROL!$C$33, 0.0021, 0)</f>
        <v>361.67027837340999</v>
      </c>
    </row>
    <row r="847" spans="1:5" ht="15">
      <c r="A847" s="11">
        <v>66900</v>
      </c>
      <c r="B847" s="4">
        <f>57.6576 * CHOOSE(CONTROL!$C$14, $C$14, 100%, $E$14) + CHOOSE(CONTROL!$C$33, 0.0272, 0)</f>
        <v>57.684800000000003</v>
      </c>
      <c r="C847" s="4">
        <f>57.2943 * CHOOSE(CONTROL!$C$14, $C$14, 100%, $E$14) + CHOOSE(CONTROL!$C$33, 0.0272, 0)</f>
        <v>57.3215</v>
      </c>
      <c r="D847" s="4">
        <f>73.9193 * CHOOSE(CONTROL!$C$14, $C$14, 100%, $E$14) + CHOOSE(CONTROL!$C$33, 0.0021, 0)</f>
        <v>73.921400000000006</v>
      </c>
      <c r="E847" s="4">
        <f>370.255606229533 * CHOOSE(CONTROL!$C$14, $C$14, 100%, $E$14) + CHOOSE(CONTROL!$C$33, 0.0021, 0)</f>
        <v>370.25770622953297</v>
      </c>
    </row>
    <row r="848" spans="1:5" ht="15">
      <c r="A848" s="11">
        <v>66931</v>
      </c>
      <c r="B848" s="4">
        <f>61.1222 * CHOOSE(CONTROL!$C$14, $C$14, 100%, $E$14) + CHOOSE(CONTROL!$C$33, 0.0272, 0)</f>
        <v>61.1494</v>
      </c>
      <c r="C848" s="4">
        <f>60.7589 * CHOOSE(CONTROL!$C$14, $C$14, 100%, $E$14) + CHOOSE(CONTROL!$C$33, 0.0272, 0)</f>
        <v>60.786099999999998</v>
      </c>
      <c r="D848" s="4">
        <f>77.7652 * CHOOSE(CONTROL!$C$14, $C$14, 100%, $E$14) + CHOOSE(CONTROL!$C$33, 0.0021, 0)</f>
        <v>77.767299999999992</v>
      </c>
      <c r="E848" s="4">
        <f>392.806648143345 * CHOOSE(CONTROL!$C$14, $C$14, 100%, $E$14) + CHOOSE(CONTROL!$C$33, 0.0021, 0)</f>
        <v>392.80874814334499</v>
      </c>
    </row>
    <row r="849" spans="1:5" ht="15">
      <c r="A849" s="11">
        <v>66961</v>
      </c>
      <c r="B849" s="4">
        <f>63.5839 * CHOOSE(CONTROL!$C$14, $C$14, 100%, $E$14) + CHOOSE(CONTROL!$C$33, 0.0272, 0)</f>
        <v>63.6111</v>
      </c>
      <c r="C849" s="4">
        <f>63.2206 * CHOOSE(CONTROL!$C$14, $C$14, 100%, $E$14) + CHOOSE(CONTROL!$C$33, 0.0272, 0)</f>
        <v>63.247799999999998</v>
      </c>
      <c r="D849" s="4">
        <f>79.9807 * CHOOSE(CONTROL!$C$14, $C$14, 100%, $E$14) + CHOOSE(CONTROL!$C$33, 0.0021, 0)</f>
        <v>79.982799999999997</v>
      </c>
      <c r="E849" s="4">
        <f>408.829463955256 * CHOOSE(CONTROL!$C$14, $C$14, 100%, $E$14) + CHOOSE(CONTROL!$C$33, 0.0021, 0)</f>
        <v>408.831563955256</v>
      </c>
    </row>
    <row r="850" spans="1:5" ht="15">
      <c r="A850" s="11">
        <v>66992</v>
      </c>
      <c r="B850" s="4">
        <f>65.0879 * CHOOSE(CONTROL!$C$14, $C$14, 100%, $E$14) + CHOOSE(CONTROL!$C$33, 0.0304, 0)</f>
        <v>65.118300000000005</v>
      </c>
      <c r="C850" s="4">
        <f>64.7246 * CHOOSE(CONTROL!$C$14, $C$14, 100%, $E$14) + CHOOSE(CONTROL!$C$33, 0.0304, 0)</f>
        <v>64.754999999999995</v>
      </c>
      <c r="D850" s="4">
        <f>79.1052 * CHOOSE(CONTROL!$C$14, $C$14, 100%, $E$14) + CHOOSE(CONTROL!$C$33, 0.0021, 0)</f>
        <v>79.107299999999995</v>
      </c>
      <c r="E850" s="4">
        <f>418.619020403034 * CHOOSE(CONTROL!$C$14, $C$14, 100%, $E$14) + CHOOSE(CONTROL!$C$33, 0.0021, 0)</f>
        <v>418.62112040303401</v>
      </c>
    </row>
    <row r="851" spans="1:5" ht="15">
      <c r="A851" s="11">
        <v>67022</v>
      </c>
      <c r="B851" s="4">
        <f>65.2914 * CHOOSE(CONTROL!$C$14, $C$14, 100%, $E$14) + CHOOSE(CONTROL!$C$33, 0.0304, 0)</f>
        <v>65.321799999999996</v>
      </c>
      <c r="C851" s="4">
        <f>64.9281 * CHOOSE(CONTROL!$C$14, $C$14, 100%, $E$14) + CHOOSE(CONTROL!$C$33, 0.0304, 0)</f>
        <v>64.958500000000001</v>
      </c>
      <c r="D851" s="4">
        <f>79.8182 * CHOOSE(CONTROL!$C$14, $C$14, 100%, $E$14) + CHOOSE(CONTROL!$C$33, 0.0021, 0)</f>
        <v>79.820300000000003</v>
      </c>
      <c r="E851" s="4">
        <f>419.943588017912 * CHOOSE(CONTROL!$C$14, $C$14, 100%, $E$14) + CHOOSE(CONTROL!$C$33, 0.0021, 0)</f>
        <v>419.945688017912</v>
      </c>
    </row>
    <row r="852" spans="1:5" ht="15">
      <c r="A852" s="11">
        <v>67053</v>
      </c>
      <c r="B852" s="4">
        <f>65.2709 * CHOOSE(CONTROL!$C$14, $C$14, 100%, $E$14) + CHOOSE(CONTROL!$C$33, 0.0304, 0)</f>
        <v>65.301299999999998</v>
      </c>
      <c r="C852" s="4">
        <f>64.9076 * CHOOSE(CONTROL!$C$14, $C$14, 100%, $E$14) + CHOOSE(CONTROL!$C$33, 0.0304, 0)</f>
        <v>64.938000000000002</v>
      </c>
      <c r="D852" s="4">
        <f>81.1046 * CHOOSE(CONTROL!$C$14, $C$14, 100%, $E$14) + CHOOSE(CONTROL!$C$33, 0.0021, 0)</f>
        <v>81.106700000000004</v>
      </c>
      <c r="E852" s="4">
        <f>419.810018174395 * CHOOSE(CONTROL!$C$14, $C$14, 100%, $E$14) + CHOOSE(CONTROL!$C$33, 0.0021, 0)</f>
        <v>419.81211817439498</v>
      </c>
    </row>
    <row r="853" spans="1:5" ht="15">
      <c r="A853" s="11">
        <v>67084</v>
      </c>
      <c r="B853" s="4">
        <f>66.8151 * CHOOSE(CONTROL!$C$14, $C$14, 100%, $E$14) + CHOOSE(CONTROL!$C$33, 0.0304, 0)</f>
        <v>66.845500000000001</v>
      </c>
      <c r="C853" s="4">
        <f>66.4518 * CHOOSE(CONTROL!$C$14, $C$14, 100%, $E$14) + CHOOSE(CONTROL!$C$33, 0.0304, 0)</f>
        <v>66.482200000000006</v>
      </c>
      <c r="D853" s="4">
        <f>80.2551 * CHOOSE(CONTROL!$C$14, $C$14, 100%, $E$14) + CHOOSE(CONTROL!$C$33, 0.0021, 0)</f>
        <v>80.257199999999997</v>
      </c>
      <c r="E853" s="4">
        <f>429.86114889906 * CHOOSE(CONTROL!$C$14, $C$14, 100%, $E$14) + CHOOSE(CONTROL!$C$33, 0.0021, 0)</f>
        <v>429.86324889906001</v>
      </c>
    </row>
    <row r="854" spans="1:5" ht="15">
      <c r="A854" s="11">
        <v>67114</v>
      </c>
      <c r="B854" s="4">
        <f>64.1833 * CHOOSE(CONTROL!$C$14, $C$14, 100%, $E$14) + CHOOSE(CONTROL!$C$33, 0.0304, 0)</f>
        <v>64.213700000000003</v>
      </c>
      <c r="C854" s="4">
        <f>63.82 * CHOOSE(CONTROL!$C$14, $C$14, 100%, $E$14) + CHOOSE(CONTROL!$C$33, 0.0304, 0)</f>
        <v>63.8504</v>
      </c>
      <c r="D854" s="4">
        <f>79.8537 * CHOOSE(CONTROL!$C$14, $C$14, 100%, $E$14) + CHOOSE(CONTROL!$C$33, 0.0021, 0)</f>
        <v>79.855800000000002</v>
      </c>
      <c r="E854" s="4">
        <f>412.730816467986 * CHOOSE(CONTROL!$C$14, $C$14, 100%, $E$14) + CHOOSE(CONTROL!$C$33, 0.0021, 0)</f>
        <v>412.732916467986</v>
      </c>
    </row>
    <row r="855" spans="1:5" ht="15">
      <c r="A855" s="11">
        <v>67145</v>
      </c>
      <c r="B855" s="4">
        <f>62.0764 * CHOOSE(CONTROL!$C$14, $C$14, 100%, $E$14) + CHOOSE(CONTROL!$C$33, 0.0272, 0)</f>
        <v>62.1036</v>
      </c>
      <c r="C855" s="4">
        <f>61.7132 * CHOOSE(CONTROL!$C$14, $C$14, 100%, $E$14) + CHOOSE(CONTROL!$C$33, 0.0272, 0)</f>
        <v>61.740400000000001</v>
      </c>
      <c r="D855" s="4">
        <f>78.7789 * CHOOSE(CONTROL!$C$14, $C$14, 100%, $E$14) + CHOOSE(CONTROL!$C$33, 0.0021, 0)</f>
        <v>78.780999999999992</v>
      </c>
      <c r="E855" s="4">
        <f>399.017645866892 * CHOOSE(CONTROL!$C$14, $C$14, 100%, $E$14) + CHOOSE(CONTROL!$C$33, 0.0021, 0)</f>
        <v>399.01974586689198</v>
      </c>
    </row>
    <row r="856" spans="1:5" ht="15">
      <c r="A856" s="11">
        <v>67175</v>
      </c>
      <c r="B856" s="4">
        <f>60.7195 * CHOOSE(CONTROL!$C$14, $C$14, 100%, $E$14) + CHOOSE(CONTROL!$C$33, 0.0272, 0)</f>
        <v>60.746699999999997</v>
      </c>
      <c r="C856" s="4">
        <f>60.3562 * CHOOSE(CONTROL!$C$14, $C$14, 100%, $E$14) + CHOOSE(CONTROL!$C$33, 0.0272, 0)</f>
        <v>60.383400000000002</v>
      </c>
      <c r="D856" s="4">
        <f>78.4094 * CHOOSE(CONTROL!$C$14, $C$14, 100%, $E$14) + CHOOSE(CONTROL!$C$33, 0.0021, 0)</f>
        <v>78.411500000000004</v>
      </c>
      <c r="E856" s="4">
        <f>390.185339964321 * CHOOSE(CONTROL!$C$14, $C$14, 100%, $E$14) + CHOOSE(CONTROL!$C$33, 0.0021, 0)</f>
        <v>390.18743996432096</v>
      </c>
    </row>
    <row r="857" spans="1:5" ht="15">
      <c r="A857" s="11">
        <v>67206</v>
      </c>
      <c r="B857" s="4">
        <f>59.7807 * CHOOSE(CONTROL!$C$14, $C$14, 100%, $E$14) + CHOOSE(CONTROL!$C$33, 0.0272, 0)</f>
        <v>59.807900000000004</v>
      </c>
      <c r="C857" s="4">
        <f>59.4174 * CHOOSE(CONTROL!$C$14, $C$14, 100%, $E$14) + CHOOSE(CONTROL!$C$33, 0.0272, 0)</f>
        <v>59.444600000000001</v>
      </c>
      <c r="D857" s="4">
        <f>75.689 * CHOOSE(CONTROL!$C$14, $C$14, 100%, $E$14) + CHOOSE(CONTROL!$C$33, 0.0021, 0)</f>
        <v>75.691099999999992</v>
      </c>
      <c r="E857" s="4">
        <f>384.074519623412 * CHOOSE(CONTROL!$C$14, $C$14, 100%, $E$14) + CHOOSE(CONTROL!$C$33, 0.0021, 0)</f>
        <v>384.076619623412</v>
      </c>
    </row>
    <row r="858" spans="1:5" ht="15">
      <c r="A858" s="11">
        <v>67237</v>
      </c>
      <c r="B858" s="4">
        <f>57.32 * CHOOSE(CONTROL!$C$14, $C$14, 100%, $E$14) + CHOOSE(CONTROL!$C$33, 0.0272, 0)</f>
        <v>57.347200000000001</v>
      </c>
      <c r="C858" s="4">
        <f>56.9567 * CHOOSE(CONTROL!$C$14, $C$14, 100%, $E$14) + CHOOSE(CONTROL!$C$33, 0.0272, 0)</f>
        <v>56.983899999999998</v>
      </c>
      <c r="D858" s="4">
        <f>72.5571 * CHOOSE(CONTROL!$C$14, $C$14, 100%, $E$14) + CHOOSE(CONTROL!$C$33, 0.0021, 0)</f>
        <v>72.559200000000004</v>
      </c>
      <c r="E858" s="4">
        <f>368.076255228806 * CHOOSE(CONTROL!$C$14, $C$14, 100%, $E$14) + CHOOSE(CONTROL!$C$33, 0.0021, 0)</f>
        <v>368.078355228806</v>
      </c>
    </row>
    <row r="859" spans="1:5" ht="15">
      <c r="A859" s="11">
        <v>67266</v>
      </c>
      <c r="B859" s="4">
        <f>58.6626 * CHOOSE(CONTROL!$C$14, $C$14, 100%, $E$14) + CHOOSE(CONTROL!$C$33, 0.0272, 0)</f>
        <v>58.689799999999998</v>
      </c>
      <c r="C859" s="4">
        <f>58.2994 * CHOOSE(CONTROL!$C$14, $C$14, 100%, $E$14) + CHOOSE(CONTROL!$C$33, 0.0272, 0)</f>
        <v>58.326599999999999</v>
      </c>
      <c r="D859" s="4">
        <f>75.0525 * CHOOSE(CONTROL!$C$14, $C$14, 100%, $E$14) + CHOOSE(CONTROL!$C$33, 0.0021, 0)</f>
        <v>75.054599999999994</v>
      </c>
      <c r="E859" s="4">
        <f>376.815836083127 * CHOOSE(CONTROL!$C$14, $C$14, 100%, $E$14) + CHOOSE(CONTROL!$C$33, 0.0021, 0)</f>
        <v>376.81793608312699</v>
      </c>
    </row>
    <row r="860" spans="1:5" ht="15">
      <c r="A860" s="11">
        <v>67297</v>
      </c>
      <c r="B860" s="4">
        <f>62.1885 * CHOOSE(CONTROL!$C$14, $C$14, 100%, $E$14) + CHOOSE(CONTROL!$C$33, 0.0272, 0)</f>
        <v>62.215699999999998</v>
      </c>
      <c r="C860" s="4">
        <f>61.8252 * CHOOSE(CONTROL!$C$14, $C$14, 100%, $E$14) + CHOOSE(CONTROL!$C$33, 0.0272, 0)</f>
        <v>61.852400000000003</v>
      </c>
      <c r="D860" s="4">
        <f>78.959 * CHOOSE(CONTROL!$C$14, $C$14, 100%, $E$14) + CHOOSE(CONTROL!$C$33, 0.0021, 0)</f>
        <v>78.961100000000002</v>
      </c>
      <c r="E860" s="4">
        <f>399.766439856108 * CHOOSE(CONTROL!$C$14, $C$14, 100%, $E$14) + CHOOSE(CONTROL!$C$33, 0.0021, 0)</f>
        <v>399.76853985610796</v>
      </c>
    </row>
    <row r="861" spans="1:5" ht="15">
      <c r="A861" s="11">
        <v>67327</v>
      </c>
      <c r="B861" s="4">
        <f>64.6936 * CHOOSE(CONTROL!$C$14, $C$14, 100%, $E$14) + CHOOSE(CONTROL!$C$33, 0.0272, 0)</f>
        <v>64.720799999999997</v>
      </c>
      <c r="C861" s="4">
        <f>64.3304 * CHOOSE(CONTROL!$C$14, $C$14, 100%, $E$14) + CHOOSE(CONTROL!$C$33, 0.0272, 0)</f>
        <v>64.357599999999991</v>
      </c>
      <c r="D861" s="4">
        <f>81.2092 * CHOOSE(CONTROL!$C$14, $C$14, 100%, $E$14) + CHOOSE(CONTROL!$C$33, 0.0021, 0)</f>
        <v>81.211299999999994</v>
      </c>
      <c r="E861" s="4">
        <f>416.07314969382 * CHOOSE(CONTROL!$C$14, $C$14, 100%, $E$14) + CHOOSE(CONTROL!$C$33, 0.0021, 0)</f>
        <v>416.07524969382001</v>
      </c>
    </row>
    <row r="862" spans="1:5" ht="15">
      <c r="A862" s="11">
        <v>67358</v>
      </c>
      <c r="B862" s="4">
        <f>66.2242 * CHOOSE(CONTROL!$C$14, $C$14, 100%, $E$14) + CHOOSE(CONTROL!$C$33, 0.0304, 0)</f>
        <v>66.254599999999996</v>
      </c>
      <c r="C862" s="4">
        <f>65.8609 * CHOOSE(CONTROL!$C$14, $C$14, 100%, $E$14) + CHOOSE(CONTROL!$C$33, 0.0304, 0)</f>
        <v>65.891300000000001</v>
      </c>
      <c r="D862" s="4">
        <f>80.32 * CHOOSE(CONTROL!$C$14, $C$14, 100%, $E$14) + CHOOSE(CONTROL!$C$33, 0.0021, 0)</f>
        <v>80.322099999999992</v>
      </c>
      <c r="E862" s="4">
        <f>426.036158587372 * CHOOSE(CONTROL!$C$14, $C$14, 100%, $E$14) + CHOOSE(CONTROL!$C$33, 0.0021, 0)</f>
        <v>426.03825858737196</v>
      </c>
    </row>
    <row r="863" spans="1:5" ht="15">
      <c r="A863" s="11">
        <v>67388</v>
      </c>
      <c r="B863" s="4">
        <f>66.4313 * CHOOSE(CONTROL!$C$14, $C$14, 100%, $E$14) + CHOOSE(CONTROL!$C$33, 0.0304, 0)</f>
        <v>66.461699999999993</v>
      </c>
      <c r="C863" s="4">
        <f>66.068 * CHOOSE(CONTROL!$C$14, $C$14, 100%, $E$14) + CHOOSE(CONTROL!$C$33, 0.0304, 0)</f>
        <v>66.098399999999998</v>
      </c>
      <c r="D863" s="4">
        <f>81.0442 * CHOOSE(CONTROL!$C$14, $C$14, 100%, $E$14) + CHOOSE(CONTROL!$C$33, 0.0021, 0)</f>
        <v>81.046300000000002</v>
      </c>
      <c r="E863" s="4">
        <f>427.384195038006 * CHOOSE(CONTROL!$C$14, $C$14, 100%, $E$14) + CHOOSE(CONTROL!$C$33, 0.0021, 0)</f>
        <v>427.38629503800598</v>
      </c>
    </row>
    <row r="864" spans="1:5" ht="15">
      <c r="A864" s="11">
        <v>67419</v>
      </c>
      <c r="B864" s="4">
        <f>66.4104 * CHOOSE(CONTROL!$C$14, $C$14, 100%, $E$14) + CHOOSE(CONTROL!$C$33, 0.0304, 0)</f>
        <v>66.440799999999996</v>
      </c>
      <c r="C864" s="4">
        <f>66.0472 * CHOOSE(CONTROL!$C$14, $C$14, 100%, $E$14) + CHOOSE(CONTROL!$C$33, 0.0304, 0)</f>
        <v>66.077600000000004</v>
      </c>
      <c r="D864" s="4">
        <f>82.3509 * CHOOSE(CONTROL!$C$14, $C$14, 100%, $E$14) + CHOOSE(CONTROL!$C$33, 0.0021, 0)</f>
        <v>82.352999999999994</v>
      </c>
      <c r="E864" s="4">
        <f>427.248258589202 * CHOOSE(CONTROL!$C$14, $C$14, 100%, $E$14) + CHOOSE(CONTROL!$C$33, 0.0021, 0)</f>
        <v>427.25035858920199</v>
      </c>
    </row>
    <row r="865" spans="1:5" ht="15">
      <c r="A865" s="11">
        <v>67450</v>
      </c>
      <c r="B865" s="4">
        <f>67.9819 * CHOOSE(CONTROL!$C$14, $C$14, 100%, $E$14) + CHOOSE(CONTROL!$C$33, 0.0304, 0)</f>
        <v>68.012299999999996</v>
      </c>
      <c r="C865" s="4">
        <f>67.6186 * CHOOSE(CONTROL!$C$14, $C$14, 100%, $E$14) + CHOOSE(CONTROL!$C$33, 0.0304, 0)</f>
        <v>67.649000000000001</v>
      </c>
      <c r="D865" s="4">
        <f>81.488 * CHOOSE(CONTROL!$C$14, $C$14, 100%, $E$14) + CHOOSE(CONTROL!$C$33, 0.0021, 0)</f>
        <v>81.490099999999998</v>
      </c>
      <c r="E865" s="4">
        <f>437.477476361661 * CHOOSE(CONTROL!$C$14, $C$14, 100%, $E$14) + CHOOSE(CONTROL!$C$33, 0.0021, 0)</f>
        <v>437.47957636166097</v>
      </c>
    </row>
    <row r="866" spans="1:5" ht="15">
      <c r="A866" s="11">
        <v>67480</v>
      </c>
      <c r="B866" s="4">
        <f>65.3036 * CHOOSE(CONTROL!$C$14, $C$14, 100%, $E$14) + CHOOSE(CONTROL!$C$33, 0.0304, 0)</f>
        <v>65.334000000000003</v>
      </c>
      <c r="C866" s="4">
        <f>64.9403 * CHOOSE(CONTROL!$C$14, $C$14, 100%, $E$14) + CHOOSE(CONTROL!$C$33, 0.0304, 0)</f>
        <v>64.970699999999994</v>
      </c>
      <c r="D866" s="4">
        <f>81.0802 * CHOOSE(CONTROL!$C$14, $C$14, 100%, $E$14) + CHOOSE(CONTROL!$C$33, 0.0021, 0)</f>
        <v>81.082300000000004</v>
      </c>
      <c r="E866" s="4">
        <f>420.04362680262 * CHOOSE(CONTROL!$C$14, $C$14, 100%, $E$14) + CHOOSE(CONTROL!$C$33, 0.0021, 0)</f>
        <v>420.04572680261998</v>
      </c>
    </row>
    <row r="867" spans="1:5" ht="15">
      <c r="A867" s="11">
        <v>67511</v>
      </c>
      <c r="B867" s="4">
        <f>63.1596 * CHOOSE(CONTROL!$C$14, $C$14, 100%, $E$14) + CHOOSE(CONTROL!$C$33, 0.0272, 0)</f>
        <v>63.186799999999998</v>
      </c>
      <c r="C867" s="4">
        <f>62.7963 * CHOOSE(CONTROL!$C$14, $C$14, 100%, $E$14) + CHOOSE(CONTROL!$C$33, 0.0272, 0)</f>
        <v>62.823500000000003</v>
      </c>
      <c r="D867" s="4">
        <f>79.9886 * CHOOSE(CONTROL!$C$14, $C$14, 100%, $E$14) + CHOOSE(CONTROL!$C$33, 0.0021, 0)</f>
        <v>79.990700000000004</v>
      </c>
      <c r="E867" s="4">
        <f>406.087484725467 * CHOOSE(CONTROL!$C$14, $C$14, 100%, $E$14) + CHOOSE(CONTROL!$C$33, 0.0021, 0)</f>
        <v>406.08958472546698</v>
      </c>
    </row>
    <row r="868" spans="1:5" ht="15">
      <c r="A868" s="11">
        <v>67541</v>
      </c>
      <c r="B868" s="4">
        <f>61.7786 * CHOOSE(CONTROL!$C$14, $C$14, 100%, $E$14) + CHOOSE(CONTROL!$C$33, 0.0272, 0)</f>
        <v>61.805799999999998</v>
      </c>
      <c r="C868" s="4">
        <f>61.4154 * CHOOSE(CONTROL!$C$14, $C$14, 100%, $E$14) + CHOOSE(CONTROL!$C$33, 0.0272, 0)</f>
        <v>61.442599999999999</v>
      </c>
      <c r="D868" s="4">
        <f>79.6132 * CHOOSE(CONTROL!$C$14, $C$14, 100%, $E$14) + CHOOSE(CONTROL!$C$33, 0.0021, 0)</f>
        <v>79.615300000000005</v>
      </c>
      <c r="E868" s="4">
        <f>397.09868704834 * CHOOSE(CONTROL!$C$14, $C$14, 100%, $E$14) + CHOOSE(CONTROL!$C$33, 0.0021, 0)</f>
        <v>397.10078704834001</v>
      </c>
    </row>
    <row r="869" spans="1:5" ht="15">
      <c r="A869" s="11">
        <v>67572</v>
      </c>
      <c r="B869" s="4">
        <f>60.8232 * CHOOSE(CONTROL!$C$14, $C$14, 100%, $E$14) + CHOOSE(CONTROL!$C$33, 0.0272, 0)</f>
        <v>60.8504</v>
      </c>
      <c r="C869" s="4">
        <f>60.4599 * CHOOSE(CONTROL!$C$14, $C$14, 100%, $E$14) + CHOOSE(CONTROL!$C$33, 0.0272, 0)</f>
        <v>60.487099999999998</v>
      </c>
      <c r="D869" s="4">
        <f>76.8501 * CHOOSE(CONTROL!$C$14, $C$14, 100%, $E$14) + CHOOSE(CONTROL!$C$33, 0.0021, 0)</f>
        <v>76.852199999999996</v>
      </c>
      <c r="E869" s="4">
        <f>390.879594515583 * CHOOSE(CONTROL!$C$14, $C$14, 100%, $E$14) + CHOOSE(CONTROL!$C$33, 0.0021, 0)</f>
        <v>390.88169451558298</v>
      </c>
    </row>
    <row r="870" spans="1:5" ht="15">
      <c r="A870" s="11">
        <v>67603</v>
      </c>
      <c r="B870" s="4">
        <f>58.3191 * CHOOSE(CONTROL!$C$14, $C$14, 100%, $E$14) + CHOOSE(CONTROL!$C$33, 0.0272, 0)</f>
        <v>58.346299999999999</v>
      </c>
      <c r="C870" s="4">
        <f>57.9558 * CHOOSE(CONTROL!$C$14, $C$14, 100%, $E$14) + CHOOSE(CONTROL!$C$33, 0.0272, 0)</f>
        <v>57.983000000000004</v>
      </c>
      <c r="D870" s="4">
        <f>73.6689 * CHOOSE(CONTROL!$C$14, $C$14, 100%, $E$14) + CHOOSE(CONTROL!$C$33, 0.0021, 0)</f>
        <v>73.670999999999992</v>
      </c>
      <c r="E870" s="4">
        <f>374.597871099909 * CHOOSE(CONTROL!$C$14, $C$14, 100%, $E$14) + CHOOSE(CONTROL!$C$33, 0.0021, 0)</f>
        <v>374.599971099909</v>
      </c>
    </row>
    <row r="871" spans="1:5" ht="15">
      <c r="A871" s="11">
        <v>67631</v>
      </c>
      <c r="B871" s="4">
        <f>59.6854 * CHOOSE(CONTROL!$C$14, $C$14, 100%, $E$14) + CHOOSE(CONTROL!$C$33, 0.0272, 0)</f>
        <v>59.712600000000002</v>
      </c>
      <c r="C871" s="4">
        <f>59.3222 * CHOOSE(CONTROL!$C$14, $C$14, 100%, $E$14) + CHOOSE(CONTROL!$C$33, 0.0272, 0)</f>
        <v>59.349400000000003</v>
      </c>
      <c r="D871" s="4">
        <f>76.2036 * CHOOSE(CONTROL!$C$14, $C$14, 100%, $E$14) + CHOOSE(CONTROL!$C$33, 0.0021, 0)</f>
        <v>76.205699999999993</v>
      </c>
      <c r="E871" s="4">
        <f>383.492300816107 * CHOOSE(CONTROL!$C$14, $C$14, 100%, $E$14) + CHOOSE(CONTROL!$C$33, 0.0021, 0)</f>
        <v>383.49440081610697</v>
      </c>
    </row>
    <row r="872" spans="1:5" ht="15">
      <c r="A872" s="11">
        <v>67662</v>
      </c>
      <c r="B872" s="4">
        <f>63.2736 * CHOOSE(CONTROL!$C$14, $C$14, 100%, $E$14) + CHOOSE(CONTROL!$C$33, 0.0272, 0)</f>
        <v>63.300800000000002</v>
      </c>
      <c r="C872" s="4">
        <f>62.9103 * CHOOSE(CONTROL!$C$14, $C$14, 100%, $E$14) + CHOOSE(CONTROL!$C$33, 0.0272, 0)</f>
        <v>62.9375</v>
      </c>
      <c r="D872" s="4">
        <f>80.1715 * CHOOSE(CONTROL!$C$14, $C$14, 100%, $E$14) + CHOOSE(CONTROL!$C$33, 0.0021, 0)</f>
        <v>80.173599999999993</v>
      </c>
      <c r="E872" s="4">
        <f>406.849545929546 * CHOOSE(CONTROL!$C$14, $C$14, 100%, $E$14) + CHOOSE(CONTROL!$C$33, 0.0021, 0)</f>
        <v>406.85164592954601</v>
      </c>
    </row>
    <row r="873" spans="1:5" ht="15">
      <c r="A873" s="11">
        <v>67692</v>
      </c>
      <c r="B873" s="4">
        <f>65.823 * CHOOSE(CONTROL!$C$14, $C$14, 100%, $E$14) + CHOOSE(CONTROL!$C$33, 0.0272, 0)</f>
        <v>65.850199999999987</v>
      </c>
      <c r="C873" s="4">
        <f>65.4597 * CHOOSE(CONTROL!$C$14, $C$14, 100%, $E$14) + CHOOSE(CONTROL!$C$33, 0.0272, 0)</f>
        <v>65.486899999999991</v>
      </c>
      <c r="D873" s="4">
        <f>82.4571 * CHOOSE(CONTROL!$C$14, $C$14, 100%, $E$14) + CHOOSE(CONTROL!$C$33, 0.0021, 0)</f>
        <v>82.459199999999996</v>
      </c>
      <c r="E873" s="4">
        <f>423.445179858863 * CHOOSE(CONTROL!$C$14, $C$14, 100%, $E$14) + CHOOSE(CONTROL!$C$33, 0.0021, 0)</f>
        <v>423.447279858863</v>
      </c>
    </row>
    <row r="874" spans="1:5" ht="15">
      <c r="A874" s="11">
        <v>67723</v>
      </c>
      <c r="B874" s="4">
        <f>67.3806 * CHOOSE(CONTROL!$C$14, $C$14, 100%, $E$14) + CHOOSE(CONTROL!$C$33, 0.0304, 0)</f>
        <v>67.411000000000001</v>
      </c>
      <c r="C874" s="4">
        <f>67.0174 * CHOOSE(CONTROL!$C$14, $C$14, 100%, $E$14) + CHOOSE(CONTROL!$C$33, 0.0304, 0)</f>
        <v>67.047799999999995</v>
      </c>
      <c r="D874" s="4">
        <f>81.5539 * CHOOSE(CONTROL!$C$14, $C$14, 100%, $E$14) + CHOOSE(CONTROL!$C$33, 0.0021, 0)</f>
        <v>81.555999999999997</v>
      </c>
      <c r="E874" s="4">
        <f>433.584714447841 * CHOOSE(CONTROL!$C$14, $C$14, 100%, $E$14) + CHOOSE(CONTROL!$C$33, 0.0021, 0)</f>
        <v>433.58681444784099</v>
      </c>
    </row>
    <row r="875" spans="1:5" ht="15">
      <c r="A875" s="11">
        <v>67753</v>
      </c>
      <c r="B875" s="4">
        <f>67.5914 * CHOOSE(CONTROL!$C$14, $C$14, 100%, $E$14) + CHOOSE(CONTROL!$C$33, 0.0304, 0)</f>
        <v>67.621799999999993</v>
      </c>
      <c r="C875" s="4">
        <f>67.2281 * CHOOSE(CONTROL!$C$14, $C$14, 100%, $E$14) + CHOOSE(CONTROL!$C$33, 0.0304, 0)</f>
        <v>67.258499999999998</v>
      </c>
      <c r="D875" s="4">
        <f>82.2895 * CHOOSE(CONTROL!$C$14, $C$14, 100%, $E$14) + CHOOSE(CONTROL!$C$33, 0.0021, 0)</f>
        <v>82.291600000000003</v>
      </c>
      <c r="E875" s="4">
        <f>434.956635557663 * CHOOSE(CONTROL!$C$14, $C$14, 100%, $E$14) + CHOOSE(CONTROL!$C$33, 0.0021, 0)</f>
        <v>434.95873555766298</v>
      </c>
    </row>
    <row r="876" spans="1:5" ht="15">
      <c r="A876" s="11">
        <v>67784</v>
      </c>
      <c r="B876" s="4">
        <f>67.5701 * CHOOSE(CONTROL!$C$14, $C$14, 100%, $E$14) + CHOOSE(CONTROL!$C$33, 0.0304, 0)</f>
        <v>67.600499999999997</v>
      </c>
      <c r="C876" s="4">
        <f>67.2069 * CHOOSE(CONTROL!$C$14, $C$14, 100%, $E$14) + CHOOSE(CONTROL!$C$33, 0.0304, 0)</f>
        <v>67.237300000000005</v>
      </c>
      <c r="D876" s="4">
        <f>83.6167 * CHOOSE(CONTROL!$C$14, $C$14, 100%, $E$14) + CHOOSE(CONTROL!$C$33, 0.0021, 0)</f>
        <v>83.618799999999993</v>
      </c>
      <c r="E876" s="4">
        <f>434.818290571798 * CHOOSE(CONTROL!$C$14, $C$14, 100%, $E$14) + CHOOSE(CONTROL!$C$33, 0.0021, 0)</f>
        <v>434.82039057179799</v>
      </c>
    </row>
    <row r="877" spans="1:5" ht="15">
      <c r="A877" s="11">
        <v>67815</v>
      </c>
      <c r="B877" s="4">
        <f>69.1694 * CHOOSE(CONTROL!$C$14, $C$14, 100%, $E$14) + CHOOSE(CONTROL!$C$33, 0.0304, 0)</f>
        <v>69.199799999999996</v>
      </c>
      <c r="C877" s="4">
        <f>68.8061 * CHOOSE(CONTROL!$C$14, $C$14, 100%, $E$14) + CHOOSE(CONTROL!$C$33, 0.0304, 0)</f>
        <v>68.836500000000001</v>
      </c>
      <c r="D877" s="4">
        <f>82.7402 * CHOOSE(CONTROL!$C$14, $C$14, 100%, $E$14) + CHOOSE(CONTROL!$C$33, 0.0021, 0)</f>
        <v>82.7423</v>
      </c>
      <c r="E877" s="4">
        <f>445.228750758094 * CHOOSE(CONTROL!$C$14, $C$14, 100%, $E$14) + CHOOSE(CONTROL!$C$33, 0.0021, 0)</f>
        <v>445.23085075809399</v>
      </c>
    </row>
    <row r="878" spans="1:5" ht="15">
      <c r="A878" s="11">
        <v>67845</v>
      </c>
      <c r="B878" s="4">
        <f>66.4437 * CHOOSE(CONTROL!$C$14, $C$14, 100%, $E$14) + CHOOSE(CONTROL!$C$33, 0.0304, 0)</f>
        <v>66.474100000000007</v>
      </c>
      <c r="C878" s="4">
        <f>66.0805 * CHOOSE(CONTROL!$C$14, $C$14, 100%, $E$14) + CHOOSE(CONTROL!$C$33, 0.0304, 0)</f>
        <v>66.110900000000001</v>
      </c>
      <c r="D878" s="4">
        <f>82.3261 * CHOOSE(CONTROL!$C$14, $C$14, 100%, $E$14) + CHOOSE(CONTROL!$C$33, 0.0021, 0)</f>
        <v>82.328199999999995</v>
      </c>
      <c r="E878" s="4">
        <f>427.486006320985 * CHOOSE(CONTROL!$C$14, $C$14, 100%, $E$14) + CHOOSE(CONTROL!$C$33, 0.0021, 0)</f>
        <v>427.48810632098497</v>
      </c>
    </row>
    <row r="879" spans="1:5" ht="15">
      <c r="A879" s="11">
        <v>67876</v>
      </c>
      <c r="B879" s="4">
        <f>64.2618 * CHOOSE(CONTROL!$C$14, $C$14, 100%, $E$14) + CHOOSE(CONTROL!$C$33, 0.0272, 0)</f>
        <v>64.288999999999987</v>
      </c>
      <c r="C879" s="4">
        <f>63.8985 * CHOOSE(CONTROL!$C$14, $C$14, 100%, $E$14) + CHOOSE(CONTROL!$C$33, 0.0272, 0)</f>
        <v>63.925699999999999</v>
      </c>
      <c r="D879" s="4">
        <f>81.2173 * CHOOSE(CONTROL!$C$14, $C$14, 100%, $E$14) + CHOOSE(CONTROL!$C$33, 0.0021, 0)</f>
        <v>81.219399999999993</v>
      </c>
      <c r="E879" s="4">
        <f>413.28258777224 * CHOOSE(CONTROL!$C$14, $C$14, 100%, $E$14) + CHOOSE(CONTROL!$C$33, 0.0021, 0)</f>
        <v>413.28468777223998</v>
      </c>
    </row>
    <row r="880" spans="1:5" ht="15">
      <c r="A880" s="11">
        <v>67906</v>
      </c>
      <c r="B880" s="4">
        <f>62.8565 * CHOOSE(CONTROL!$C$14, $C$14, 100%, $E$14) + CHOOSE(CONTROL!$C$33, 0.0272, 0)</f>
        <v>62.883699999999997</v>
      </c>
      <c r="C880" s="4">
        <f>62.4932 * CHOOSE(CONTROL!$C$14, $C$14, 100%, $E$14) + CHOOSE(CONTROL!$C$33, 0.0272, 0)</f>
        <v>62.520400000000002</v>
      </c>
      <c r="D880" s="4">
        <f>80.836 * CHOOSE(CONTROL!$C$14, $C$14, 100%, $E$14) + CHOOSE(CONTROL!$C$33, 0.0021, 0)</f>
        <v>80.838099999999997</v>
      </c>
      <c r="E880" s="4">
        <f>404.134525581957 * CHOOSE(CONTROL!$C$14, $C$14, 100%, $E$14) + CHOOSE(CONTROL!$C$33, 0.0021, 0)</f>
        <v>404.13662558195699</v>
      </c>
    </row>
    <row r="881" spans="1:5" ht="15">
      <c r="A881" s="11">
        <v>67937</v>
      </c>
      <c r="B881" s="4">
        <f>61.8842 * CHOOSE(CONTROL!$C$14, $C$14, 100%, $E$14) + CHOOSE(CONTROL!$C$33, 0.0272, 0)</f>
        <v>61.9114</v>
      </c>
      <c r="C881" s="4">
        <f>61.5209 * CHOOSE(CONTROL!$C$14, $C$14, 100%, $E$14) + CHOOSE(CONTROL!$C$33, 0.0272, 0)</f>
        <v>61.548099999999998</v>
      </c>
      <c r="D881" s="4">
        <f>78.0294 * CHOOSE(CONTROL!$C$14, $C$14, 100%, $E$14) + CHOOSE(CONTROL!$C$33, 0.0021, 0)</f>
        <v>78.031499999999994</v>
      </c>
      <c r="E881" s="4">
        <f>397.805242478661 * CHOOSE(CONTROL!$C$14, $C$14, 100%, $E$14) + CHOOSE(CONTROL!$C$33, 0.0021, 0)</f>
        <v>397.80734247866098</v>
      </c>
    </row>
    <row r="882" spans="1:5" ht="15">
      <c r="A882" s="11">
        <v>67968</v>
      </c>
      <c r="B882" s="4">
        <f>59.3358 * CHOOSE(CONTROL!$C$14, $C$14, 100%, $E$14) + CHOOSE(CONTROL!$C$33, 0.0272, 0)</f>
        <v>59.363</v>
      </c>
      <c r="C882" s="4">
        <f>58.9725 * CHOOSE(CONTROL!$C$14, $C$14, 100%, $E$14) + CHOOSE(CONTROL!$C$33, 0.0272, 0)</f>
        <v>58.999699999999997</v>
      </c>
      <c r="D882" s="4">
        <f>74.7982 * CHOOSE(CONTROL!$C$14, $C$14, 100%, $E$14) + CHOOSE(CONTROL!$C$33, 0.0021, 0)</f>
        <v>74.800299999999993</v>
      </c>
      <c r="E882" s="4">
        <f>381.235037683577 * CHOOSE(CONTROL!$C$14, $C$14, 100%, $E$14) + CHOOSE(CONTROL!$C$33, 0.0021, 0)</f>
        <v>381.23713768357698</v>
      </c>
    </row>
    <row r="883" spans="1:5" ht="15">
      <c r="A883" s="11">
        <v>67996</v>
      </c>
      <c r="B883" s="4">
        <f>60.7263 * CHOOSE(CONTROL!$C$14, $C$14, 100%, $E$14) + CHOOSE(CONTROL!$C$33, 0.0272, 0)</f>
        <v>60.753500000000003</v>
      </c>
      <c r="C883" s="4">
        <f>60.363 * CHOOSE(CONTROL!$C$14, $C$14, 100%, $E$14) + CHOOSE(CONTROL!$C$33, 0.0272, 0)</f>
        <v>60.3902</v>
      </c>
      <c r="D883" s="4">
        <f>77.3728 * CHOOSE(CONTROL!$C$14, $C$14, 100%, $E$14) + CHOOSE(CONTROL!$C$33, 0.0021, 0)</f>
        <v>77.374899999999997</v>
      </c>
      <c r="E883" s="4">
        <f>390.287059890944 * CHOOSE(CONTROL!$C$14, $C$14, 100%, $E$14) + CHOOSE(CONTROL!$C$33, 0.0021, 0)</f>
        <v>390.28915989094401</v>
      </c>
    </row>
    <row r="884" spans="1:5" ht="15">
      <c r="A884" s="11">
        <v>68027</v>
      </c>
      <c r="B884" s="4">
        <f>64.3779 * CHOOSE(CONTROL!$C$14, $C$14, 100%, $E$14) + CHOOSE(CONTROL!$C$33, 0.0272, 0)</f>
        <v>64.40509999999999</v>
      </c>
      <c r="C884" s="4">
        <f>64.0146 * CHOOSE(CONTROL!$C$14, $C$14, 100%, $E$14) + CHOOSE(CONTROL!$C$33, 0.0272, 0)</f>
        <v>64.041799999999995</v>
      </c>
      <c r="D884" s="4">
        <f>81.4031 * CHOOSE(CONTROL!$C$14, $C$14, 100%, $E$14) + CHOOSE(CONTROL!$C$33, 0.0021, 0)</f>
        <v>81.405199999999994</v>
      </c>
      <c r="E884" s="4">
        <f>414.058151261165 * CHOOSE(CONTROL!$C$14, $C$14, 100%, $E$14) + CHOOSE(CONTROL!$C$33, 0.0021, 0)</f>
        <v>414.06025126116498</v>
      </c>
    </row>
    <row r="885" spans="1:5" ht="15">
      <c r="A885" s="11">
        <v>68057</v>
      </c>
      <c r="B885" s="4">
        <f>66.9723 * CHOOSE(CONTROL!$C$14, $C$14, 100%, $E$14) + CHOOSE(CONTROL!$C$33, 0.0272, 0)</f>
        <v>66.999499999999998</v>
      </c>
      <c r="C885" s="4">
        <f>66.609 * CHOOSE(CONTROL!$C$14, $C$14, 100%, $E$14) + CHOOSE(CONTROL!$C$33, 0.0272, 0)</f>
        <v>66.636199999999988</v>
      </c>
      <c r="D885" s="4">
        <f>83.7246 * CHOOSE(CONTROL!$C$14, $C$14, 100%, $E$14) + CHOOSE(CONTROL!$C$33, 0.0021, 0)</f>
        <v>83.726699999999994</v>
      </c>
      <c r="E885" s="4">
        <f>430.947828471153 * CHOOSE(CONTROL!$C$14, $C$14, 100%, $E$14) + CHOOSE(CONTROL!$C$33, 0.0021, 0)</f>
        <v>430.94992847115299</v>
      </c>
    </row>
    <row r="886" spans="1:5" ht="15">
      <c r="A886" s="11">
        <v>68088</v>
      </c>
      <c r="B886" s="4">
        <f>68.5575 * CHOOSE(CONTROL!$C$14, $C$14, 100%, $E$14) + CHOOSE(CONTROL!$C$33, 0.0304, 0)</f>
        <v>68.587900000000005</v>
      </c>
      <c r="C886" s="4">
        <f>68.1942 * CHOOSE(CONTROL!$C$14, $C$14, 100%, $E$14) + CHOOSE(CONTROL!$C$33, 0.0304, 0)</f>
        <v>68.224599999999995</v>
      </c>
      <c r="D886" s="4">
        <f>82.8073 * CHOOSE(CONTROL!$C$14, $C$14, 100%, $E$14) + CHOOSE(CONTROL!$C$33, 0.0021, 0)</f>
        <v>82.809399999999997</v>
      </c>
      <c r="E886" s="4">
        <f>441.267016457387 * CHOOSE(CONTROL!$C$14, $C$14, 100%, $E$14) + CHOOSE(CONTROL!$C$33, 0.0021, 0)</f>
        <v>441.26911645738699</v>
      </c>
    </row>
    <row r="887" spans="1:5" ht="15">
      <c r="A887" s="11">
        <v>68118</v>
      </c>
      <c r="B887" s="4">
        <f>68.7719 * CHOOSE(CONTROL!$C$14, $C$14, 100%, $E$14) + CHOOSE(CONTROL!$C$33, 0.0304, 0)</f>
        <v>68.802300000000002</v>
      </c>
      <c r="C887" s="4">
        <f>68.4087 * CHOOSE(CONTROL!$C$14, $C$14, 100%, $E$14) + CHOOSE(CONTROL!$C$33, 0.0304, 0)</f>
        <v>68.439099999999996</v>
      </c>
      <c r="D887" s="4">
        <f>83.5544 * CHOOSE(CONTROL!$C$14, $C$14, 100%, $E$14) + CHOOSE(CONTROL!$C$33, 0.0021, 0)</f>
        <v>83.5565</v>
      </c>
      <c r="E887" s="4">
        <f>442.663245417434 * CHOOSE(CONTROL!$C$14, $C$14, 100%, $E$14) + CHOOSE(CONTROL!$C$33, 0.0021, 0)</f>
        <v>442.66534541743397</v>
      </c>
    </row>
    <row r="888" spans="1:5" ht="15">
      <c r="A888" s="11">
        <v>68149</v>
      </c>
      <c r="B888" s="4">
        <f>68.7503 * CHOOSE(CONTROL!$C$14, $C$14, 100%, $E$14) + CHOOSE(CONTROL!$C$33, 0.0304, 0)</f>
        <v>68.780699999999996</v>
      </c>
      <c r="C888" s="4">
        <f>68.387 * CHOOSE(CONTROL!$C$14, $C$14, 100%, $E$14) + CHOOSE(CONTROL!$C$33, 0.0304, 0)</f>
        <v>68.417400000000001</v>
      </c>
      <c r="D888" s="4">
        <f>84.9025 * CHOOSE(CONTROL!$C$14, $C$14, 100%, $E$14) + CHOOSE(CONTROL!$C$33, 0.0021, 0)</f>
        <v>84.904600000000002</v>
      </c>
      <c r="E888" s="4">
        <f>442.522449219782 * CHOOSE(CONTROL!$C$14, $C$14, 100%, $E$14) + CHOOSE(CONTROL!$C$33, 0.0021, 0)</f>
        <v>442.52454921978199</v>
      </c>
    </row>
    <row r="889" spans="1:5" ht="15">
      <c r="A889" s="11">
        <v>68180</v>
      </c>
      <c r="B889" s="4">
        <f>70.3778 * CHOOSE(CONTROL!$C$14, $C$14, 100%, $E$14) + CHOOSE(CONTROL!$C$33, 0.0304, 0)</f>
        <v>70.408199999999994</v>
      </c>
      <c r="C889" s="4">
        <f>70.0145 * CHOOSE(CONTROL!$C$14, $C$14, 100%, $E$14) + CHOOSE(CONTROL!$C$33, 0.0304, 0)</f>
        <v>70.044899999999998</v>
      </c>
      <c r="D889" s="4">
        <f>84.0122 * CHOOSE(CONTROL!$C$14, $C$14, 100%, $E$14) + CHOOSE(CONTROL!$C$33, 0.0021, 0)</f>
        <v>84.014300000000006</v>
      </c>
      <c r="E889" s="4">
        <f>453.117363093084 * CHOOSE(CONTROL!$C$14, $C$14, 100%, $E$14) + CHOOSE(CONTROL!$C$33, 0.0021, 0)</f>
        <v>453.11946309308399</v>
      </c>
    </row>
    <row r="890" spans="1:5" ht="15">
      <c r="A890" s="11">
        <v>68210</v>
      </c>
      <c r="B890" s="4">
        <f>67.604 * CHOOSE(CONTROL!$C$14, $C$14, 100%, $E$14) + CHOOSE(CONTROL!$C$33, 0.0304, 0)</f>
        <v>67.634399999999999</v>
      </c>
      <c r="C890" s="4">
        <f>67.2407 * CHOOSE(CONTROL!$C$14, $C$14, 100%, $E$14) + CHOOSE(CONTROL!$C$33, 0.0304, 0)</f>
        <v>67.271100000000004</v>
      </c>
      <c r="D890" s="4">
        <f>83.5916 * CHOOSE(CONTROL!$C$14, $C$14, 100%, $E$14) + CHOOSE(CONTROL!$C$33, 0.0021, 0)</f>
        <v>83.593699999999998</v>
      </c>
      <c r="E890" s="4">
        <f>435.060250744234 * CHOOSE(CONTROL!$C$14, $C$14, 100%, $E$14) + CHOOSE(CONTROL!$C$33, 0.0021, 0)</f>
        <v>435.06235074423398</v>
      </c>
    </row>
    <row r="891" spans="1:5" ht="15">
      <c r="A891" s="11">
        <v>68241</v>
      </c>
      <c r="B891" s="4">
        <f>65.3836 * CHOOSE(CONTROL!$C$14, $C$14, 100%, $E$14) + CHOOSE(CONTROL!$C$33, 0.0272, 0)</f>
        <v>65.410799999999995</v>
      </c>
      <c r="C891" s="4">
        <f>65.0203 * CHOOSE(CONTROL!$C$14, $C$14, 100%, $E$14) + CHOOSE(CONTROL!$C$33, 0.0272, 0)</f>
        <v>65.047499999999999</v>
      </c>
      <c r="D891" s="4">
        <f>82.4653 * CHOOSE(CONTROL!$C$14, $C$14, 100%, $E$14) + CHOOSE(CONTROL!$C$33, 0.0021, 0)</f>
        <v>82.467399999999998</v>
      </c>
      <c r="E891" s="4">
        <f>420.605174451977 * CHOOSE(CONTROL!$C$14, $C$14, 100%, $E$14) + CHOOSE(CONTROL!$C$33, 0.0021, 0)</f>
        <v>420.60727445197699</v>
      </c>
    </row>
    <row r="892" spans="1:5" ht="15">
      <c r="A892" s="11">
        <v>68271</v>
      </c>
      <c r="B892" s="4">
        <f>63.9534 * CHOOSE(CONTROL!$C$14, $C$14, 100%, $E$14) + CHOOSE(CONTROL!$C$33, 0.0272, 0)</f>
        <v>63.980600000000003</v>
      </c>
      <c r="C892" s="4">
        <f>63.5901 * CHOOSE(CONTROL!$C$14, $C$14, 100%, $E$14) + CHOOSE(CONTROL!$C$33, 0.0272, 0)</f>
        <v>63.6173</v>
      </c>
      <c r="D892" s="4">
        <f>82.0781 * CHOOSE(CONTROL!$C$14, $C$14, 100%, $E$14) + CHOOSE(CONTROL!$C$33, 0.0021, 0)</f>
        <v>82.080200000000005</v>
      </c>
      <c r="E892" s="4">
        <f>411.295025882248 * CHOOSE(CONTROL!$C$14, $C$14, 100%, $E$14) + CHOOSE(CONTROL!$C$33, 0.0021, 0)</f>
        <v>411.297125882248</v>
      </c>
    </row>
    <row r="893" spans="1:5" ht="15">
      <c r="A893" s="11">
        <v>68302</v>
      </c>
      <c r="B893" s="4">
        <f>62.9639 * CHOOSE(CONTROL!$C$14, $C$14, 100%, $E$14) + CHOOSE(CONTROL!$C$33, 0.0272, 0)</f>
        <v>62.991100000000003</v>
      </c>
      <c r="C893" s="4">
        <f>62.6006 * CHOOSE(CONTROL!$C$14, $C$14, 100%, $E$14) + CHOOSE(CONTROL!$C$33, 0.0272, 0)</f>
        <v>62.627800000000001</v>
      </c>
      <c r="D893" s="4">
        <f>79.2273 * CHOOSE(CONTROL!$C$14, $C$14, 100%, $E$14) + CHOOSE(CONTROL!$C$33, 0.0021, 0)</f>
        <v>79.229399999999998</v>
      </c>
      <c r="E893" s="4">
        <f>404.853599839675 * CHOOSE(CONTROL!$C$14, $C$14, 100%, $E$14) + CHOOSE(CONTROL!$C$33, 0.0021, 0)</f>
        <v>404.85569983967497</v>
      </c>
    </row>
    <row r="894" spans="1:5" ht="15">
      <c r="A894" s="11">
        <v>68333</v>
      </c>
      <c r="B894" s="4">
        <f>60.3705 * CHOOSE(CONTROL!$C$14, $C$14, 100%, $E$14) + CHOOSE(CONTROL!$C$33, 0.0272, 0)</f>
        <v>60.3977</v>
      </c>
      <c r="C894" s="4">
        <f>60.0072 * CHOOSE(CONTROL!$C$14, $C$14, 100%, $E$14) + CHOOSE(CONTROL!$C$33, 0.0272, 0)</f>
        <v>60.034399999999998</v>
      </c>
      <c r="D894" s="4">
        <f>75.9453 * CHOOSE(CONTROL!$C$14, $C$14, 100%, $E$14) + CHOOSE(CONTROL!$C$33, 0.0021, 0)</f>
        <v>75.947400000000002</v>
      </c>
      <c r="E894" s="4">
        <f>387.989802320138 * CHOOSE(CONTROL!$C$14, $C$14, 100%, $E$14) + CHOOSE(CONTROL!$C$33, 0.0021, 0)</f>
        <v>387.99190232013797</v>
      </c>
    </row>
    <row r="895" spans="1:5" ht="15">
      <c r="A895" s="11">
        <v>68361</v>
      </c>
      <c r="B895" s="4">
        <f>61.7856 * CHOOSE(CONTROL!$C$14, $C$14, 100%, $E$14) + CHOOSE(CONTROL!$C$33, 0.0272, 0)</f>
        <v>61.812800000000003</v>
      </c>
      <c r="C895" s="4">
        <f>61.4223 * CHOOSE(CONTROL!$C$14, $C$14, 100%, $E$14) + CHOOSE(CONTROL!$C$33, 0.0272, 0)</f>
        <v>61.4495</v>
      </c>
      <c r="D895" s="4">
        <f>78.5603 * CHOOSE(CONTROL!$C$14, $C$14, 100%, $E$14) + CHOOSE(CONTROL!$C$33, 0.0021, 0)</f>
        <v>78.562399999999997</v>
      </c>
      <c r="E895" s="4">
        <f>397.202209259893 * CHOOSE(CONTROL!$C$14, $C$14, 100%, $E$14) + CHOOSE(CONTROL!$C$33, 0.0021, 0)</f>
        <v>397.20430925989297</v>
      </c>
    </row>
    <row r="896" spans="1:5" ht="15">
      <c r="A896" s="11">
        <v>68392</v>
      </c>
      <c r="B896" s="4">
        <f>65.5016 * CHOOSE(CONTROL!$C$14, $C$14, 100%, $E$14) + CHOOSE(CONTROL!$C$33, 0.0272, 0)</f>
        <v>65.52879999999999</v>
      </c>
      <c r="C896" s="4">
        <f>65.1383 * CHOOSE(CONTROL!$C$14, $C$14, 100%, $E$14) + CHOOSE(CONTROL!$C$33, 0.0272, 0)</f>
        <v>65.165499999999994</v>
      </c>
      <c r="D896" s="4">
        <f>82.654 * CHOOSE(CONTROL!$C$14, $C$14, 100%, $E$14) + CHOOSE(CONTROL!$C$33, 0.0021, 0)</f>
        <v>82.656099999999995</v>
      </c>
      <c r="E896" s="4">
        <f>421.394479460727 * CHOOSE(CONTROL!$C$14, $C$14, 100%, $E$14) + CHOOSE(CONTROL!$C$33, 0.0021, 0)</f>
        <v>421.39657946072697</v>
      </c>
    </row>
    <row r="897" spans="1:5" ht="15">
      <c r="A897" s="11">
        <v>68422</v>
      </c>
      <c r="B897" s="4">
        <f>68.1419 * CHOOSE(CONTROL!$C$14, $C$14, 100%, $E$14) + CHOOSE(CONTROL!$C$33, 0.0272, 0)</f>
        <v>68.1691</v>
      </c>
      <c r="C897" s="4">
        <f>67.7787 * CHOOSE(CONTROL!$C$14, $C$14, 100%, $E$14) + CHOOSE(CONTROL!$C$33, 0.0272, 0)</f>
        <v>67.805899999999994</v>
      </c>
      <c r="D897" s="4">
        <f>85.0121 * CHOOSE(CONTROL!$C$14, $C$14, 100%, $E$14) + CHOOSE(CONTROL!$C$33, 0.0021, 0)</f>
        <v>85.014200000000002</v>
      </c>
      <c r="E897" s="4">
        <f>438.58340984281 * CHOOSE(CONTROL!$C$14, $C$14, 100%, $E$14) + CHOOSE(CONTROL!$C$33, 0.0021, 0)</f>
        <v>438.58550984280998</v>
      </c>
    </row>
    <row r="898" spans="1:5" ht="15">
      <c r="A898" s="11">
        <v>68453</v>
      </c>
      <c r="B898" s="4">
        <f>69.7551 * CHOOSE(CONTROL!$C$14, $C$14, 100%, $E$14) + CHOOSE(CONTROL!$C$33, 0.0304, 0)</f>
        <v>69.785499999999999</v>
      </c>
      <c r="C898" s="4">
        <f>69.3918 * CHOOSE(CONTROL!$C$14, $C$14, 100%, $E$14) + CHOOSE(CONTROL!$C$33, 0.0304, 0)</f>
        <v>69.422200000000004</v>
      </c>
      <c r="D898" s="4">
        <f>84.0803 * CHOOSE(CONTROL!$C$14, $C$14, 100%, $E$14) + CHOOSE(CONTROL!$C$33, 0.0021, 0)</f>
        <v>84.082399999999993</v>
      </c>
      <c r="E898" s="4">
        <f>449.085434345097 * CHOOSE(CONTROL!$C$14, $C$14, 100%, $E$14) + CHOOSE(CONTROL!$C$33, 0.0021, 0)</f>
        <v>449.08753434509697</v>
      </c>
    </row>
    <row r="899" spans="1:5" ht="15">
      <c r="A899" s="11">
        <v>68483</v>
      </c>
      <c r="B899" s="4">
        <f>69.9734 * CHOOSE(CONTROL!$C$14, $C$14, 100%, $E$14) + CHOOSE(CONTROL!$C$33, 0.0304, 0)</f>
        <v>70.003799999999998</v>
      </c>
      <c r="C899" s="4">
        <f>69.6101 * CHOOSE(CONTROL!$C$14, $C$14, 100%, $E$14) + CHOOSE(CONTROL!$C$33, 0.0304, 0)</f>
        <v>69.640500000000003</v>
      </c>
      <c r="D899" s="4">
        <f>84.8392 * CHOOSE(CONTROL!$C$14, $C$14, 100%, $E$14) + CHOOSE(CONTROL!$C$33, 0.0021, 0)</f>
        <v>84.841300000000004</v>
      </c>
      <c r="E899" s="4">
        <f>450.506401844554 * CHOOSE(CONTROL!$C$14, $C$14, 100%, $E$14) + CHOOSE(CONTROL!$C$33, 0.0021, 0)</f>
        <v>450.50850184455396</v>
      </c>
    </row>
    <row r="900" spans="1:5" ht="15">
      <c r="A900" s="11">
        <v>68514</v>
      </c>
      <c r="B900" s="4">
        <f>69.9514 * CHOOSE(CONTROL!$C$14, $C$14, 100%, $E$14) + CHOOSE(CONTROL!$C$33, 0.0304, 0)</f>
        <v>69.981800000000007</v>
      </c>
      <c r="C900" s="4">
        <f>69.5881 * CHOOSE(CONTROL!$C$14, $C$14, 100%, $E$14) + CHOOSE(CONTROL!$C$33, 0.0304, 0)</f>
        <v>69.618499999999997</v>
      </c>
      <c r="D900" s="4">
        <f>86.2084 * CHOOSE(CONTROL!$C$14, $C$14, 100%, $E$14) + CHOOSE(CONTROL!$C$33, 0.0021, 0)</f>
        <v>86.210499999999996</v>
      </c>
      <c r="E900" s="4">
        <f>450.363111004272 * CHOOSE(CONTROL!$C$14, $C$14, 100%, $E$14) + CHOOSE(CONTROL!$C$33, 0.0021, 0)</f>
        <v>450.365211004272</v>
      </c>
    </row>
    <row r="901" spans="1:5" ht="15">
      <c r="A901" s="11">
        <v>68545</v>
      </c>
      <c r="B901" s="4">
        <f>71.6076 * CHOOSE(CONTROL!$C$14, $C$14, 100%, $E$14) + CHOOSE(CONTROL!$C$33, 0.0304, 0)</f>
        <v>71.638000000000005</v>
      </c>
      <c r="C901" s="4">
        <f>71.2443 * CHOOSE(CONTROL!$C$14, $C$14, 100%, $E$14) + CHOOSE(CONTROL!$C$33, 0.0304, 0)</f>
        <v>71.274699999999996</v>
      </c>
      <c r="D901" s="4">
        <f>85.3042 * CHOOSE(CONTROL!$C$14, $C$14, 100%, $E$14) + CHOOSE(CONTROL!$C$33, 0.0021, 0)</f>
        <v>85.306299999999993</v>
      </c>
      <c r="E901" s="4">
        <f>461.145746735444 * CHOOSE(CONTROL!$C$14, $C$14, 100%, $E$14) + CHOOSE(CONTROL!$C$33, 0.0021, 0)</f>
        <v>461.14784673544398</v>
      </c>
    </row>
    <row r="902" spans="1:5" ht="15">
      <c r="A902" s="11">
        <v>68575</v>
      </c>
      <c r="B902" s="4">
        <f>68.7848 * CHOOSE(CONTROL!$C$14, $C$14, 100%, $E$14) + CHOOSE(CONTROL!$C$33, 0.0304, 0)</f>
        <v>68.815200000000004</v>
      </c>
      <c r="C902" s="4">
        <f>68.4215 * CHOOSE(CONTROL!$C$14, $C$14, 100%, $E$14) + CHOOSE(CONTROL!$C$33, 0.0304, 0)</f>
        <v>68.451899999999995</v>
      </c>
      <c r="D902" s="4">
        <f>84.8769 * CHOOSE(CONTROL!$C$14, $C$14, 100%, $E$14) + CHOOSE(CONTROL!$C$33, 0.0021, 0)</f>
        <v>84.879000000000005</v>
      </c>
      <c r="E902" s="4">
        <f>442.768696469361 * CHOOSE(CONTROL!$C$14, $C$14, 100%, $E$14) + CHOOSE(CONTROL!$C$33, 0.0021, 0)</f>
        <v>442.77079646936096</v>
      </c>
    </row>
    <row r="903" spans="1:5" ht="15">
      <c r="A903" s="11">
        <v>68606</v>
      </c>
      <c r="B903" s="4">
        <f>66.5251 * CHOOSE(CONTROL!$C$14, $C$14, 100%, $E$14) + CHOOSE(CONTROL!$C$33, 0.0272, 0)</f>
        <v>66.552299999999988</v>
      </c>
      <c r="C903" s="4">
        <f>66.1618 * CHOOSE(CONTROL!$C$14, $C$14, 100%, $E$14) + CHOOSE(CONTROL!$C$33, 0.0272, 0)</f>
        <v>66.188999999999993</v>
      </c>
      <c r="D903" s="4">
        <f>83.7329 * CHOOSE(CONTROL!$C$14, $C$14, 100%, $E$14) + CHOOSE(CONTROL!$C$33, 0.0021, 0)</f>
        <v>83.734999999999999</v>
      </c>
      <c r="E903" s="4">
        <f>428.057503533809 * CHOOSE(CONTROL!$C$14, $C$14, 100%, $E$14) + CHOOSE(CONTROL!$C$33, 0.0021, 0)</f>
        <v>428.05960353380897</v>
      </c>
    </row>
    <row r="904" spans="1:5" ht="15">
      <c r="A904" s="11">
        <v>68636</v>
      </c>
      <c r="B904" s="4">
        <f>65.0697 * CHOOSE(CONTROL!$C$14, $C$14, 100%, $E$14) + CHOOSE(CONTROL!$C$33, 0.0272, 0)</f>
        <v>65.096899999999991</v>
      </c>
      <c r="C904" s="4">
        <f>64.7064 * CHOOSE(CONTROL!$C$14, $C$14, 100%, $E$14) + CHOOSE(CONTROL!$C$33, 0.0272, 0)</f>
        <v>64.733599999999996</v>
      </c>
      <c r="D904" s="4">
        <f>83.3396 * CHOOSE(CONTROL!$C$14, $C$14, 100%, $E$14) + CHOOSE(CONTROL!$C$33, 0.0021, 0)</f>
        <v>83.341700000000003</v>
      </c>
      <c r="E904" s="4">
        <f>418.582396720205 * CHOOSE(CONTROL!$C$14, $C$14, 100%, $E$14) + CHOOSE(CONTROL!$C$33, 0.0021, 0)</f>
        <v>418.58449672020498</v>
      </c>
    </row>
    <row r="905" spans="1:5" ht="15">
      <c r="A905" s="11">
        <v>68667</v>
      </c>
      <c r="B905" s="4">
        <f>64.0627 * CHOOSE(CONTROL!$C$14, $C$14, 100%, $E$14) + CHOOSE(CONTROL!$C$33, 0.0272, 0)</f>
        <v>64.0899</v>
      </c>
      <c r="C905" s="4">
        <f>63.6994 * CHOOSE(CONTROL!$C$14, $C$14, 100%, $E$14) + CHOOSE(CONTROL!$C$33, 0.0272, 0)</f>
        <v>63.726599999999998</v>
      </c>
      <c r="D905" s="4">
        <f>80.4441 * CHOOSE(CONTROL!$C$14, $C$14, 100%, $E$14) + CHOOSE(CONTROL!$C$33, 0.0021, 0)</f>
        <v>80.446200000000005</v>
      </c>
      <c r="E905" s="4">
        <f>412.026840777334 * CHOOSE(CONTROL!$C$14, $C$14, 100%, $E$14) + CHOOSE(CONTROL!$C$33, 0.0021, 0)</f>
        <v>412.02894077733396</v>
      </c>
    </row>
    <row r="906" spans="1:5" ht="15">
      <c r="A906" s="11">
        <v>68698</v>
      </c>
      <c r="B906" s="4">
        <f>61.4235 * CHOOSE(CONTROL!$C$14, $C$14, 100%, $E$14) + CHOOSE(CONTROL!$C$33, 0.0272, 0)</f>
        <v>61.450699999999998</v>
      </c>
      <c r="C906" s="4">
        <f>61.0602 * CHOOSE(CONTROL!$C$14, $C$14, 100%, $E$14) + CHOOSE(CONTROL!$C$33, 0.0272, 0)</f>
        <v>61.087400000000002</v>
      </c>
      <c r="D906" s="4">
        <f>77.1104 * CHOOSE(CONTROL!$C$14, $C$14, 100%, $E$14) + CHOOSE(CONTROL!$C$33, 0.0021, 0)</f>
        <v>77.112499999999997</v>
      </c>
      <c r="E906" s="4">
        <f>394.864248624923 * CHOOSE(CONTROL!$C$14, $C$14, 100%, $E$14) + CHOOSE(CONTROL!$C$33, 0.0021, 0)</f>
        <v>394.86634862492298</v>
      </c>
    </row>
    <row r="907" spans="1:5" ht="15">
      <c r="A907" s="11">
        <v>68727</v>
      </c>
      <c r="B907" s="4">
        <f>62.8636 * CHOOSE(CONTROL!$C$14, $C$14, 100%, $E$14) + CHOOSE(CONTROL!$C$33, 0.0272, 0)</f>
        <v>62.890799999999999</v>
      </c>
      <c r="C907" s="4">
        <f>62.5003 * CHOOSE(CONTROL!$C$14, $C$14, 100%, $E$14) + CHOOSE(CONTROL!$C$33, 0.0272, 0)</f>
        <v>62.527500000000003</v>
      </c>
      <c r="D907" s="4">
        <f>79.7666 * CHOOSE(CONTROL!$C$14, $C$14, 100%, $E$14) + CHOOSE(CONTROL!$C$33, 0.0021, 0)</f>
        <v>79.768699999999995</v>
      </c>
      <c r="E907" s="4">
        <f>404.239882011524 * CHOOSE(CONTROL!$C$14, $C$14, 100%, $E$14) + CHOOSE(CONTROL!$C$33, 0.0021, 0)</f>
        <v>404.24198201152399</v>
      </c>
    </row>
    <row r="908" spans="1:5" ht="15">
      <c r="A908" s="11">
        <v>68758</v>
      </c>
      <c r="B908" s="4">
        <f>66.6453 * CHOOSE(CONTROL!$C$14, $C$14, 100%, $E$14) + CHOOSE(CONTROL!$C$33, 0.0272, 0)</f>
        <v>66.672499999999999</v>
      </c>
      <c r="C908" s="4">
        <f>66.282 * CHOOSE(CONTROL!$C$14, $C$14, 100%, $E$14) + CHOOSE(CONTROL!$C$33, 0.0272, 0)</f>
        <v>66.30919999999999</v>
      </c>
      <c r="D908" s="4">
        <f>83.9246 * CHOOSE(CONTROL!$C$14, $C$14, 100%, $E$14) + CHOOSE(CONTROL!$C$33, 0.0021, 0)</f>
        <v>83.926699999999997</v>
      </c>
      <c r="E908" s="4">
        <f>428.860793536156 * CHOOSE(CONTROL!$C$14, $C$14, 100%, $E$14) + CHOOSE(CONTROL!$C$33, 0.0021, 0)</f>
        <v>428.86289353615598</v>
      </c>
    </row>
    <row r="909" spans="1:5" ht="15">
      <c r="A909" s="11">
        <v>68788</v>
      </c>
      <c r="B909" s="4">
        <f>69.3322 * CHOOSE(CONTROL!$C$14, $C$14, 100%, $E$14) + CHOOSE(CONTROL!$C$33, 0.0272, 0)</f>
        <v>69.359399999999994</v>
      </c>
      <c r="C909" s="4">
        <f>68.9689 * CHOOSE(CONTROL!$C$14, $C$14, 100%, $E$14) + CHOOSE(CONTROL!$C$33, 0.0272, 0)</f>
        <v>68.996099999999998</v>
      </c>
      <c r="D909" s="4">
        <f>86.3198 * CHOOSE(CONTROL!$C$14, $C$14, 100%, $E$14) + CHOOSE(CONTROL!$C$33, 0.0021, 0)</f>
        <v>86.321899999999999</v>
      </c>
      <c r="E909" s="4">
        <f>446.354279291194 * CHOOSE(CONTROL!$C$14, $C$14, 100%, $E$14) + CHOOSE(CONTROL!$C$33, 0.0021, 0)</f>
        <v>446.356379291194</v>
      </c>
    </row>
    <row r="910" spans="1:5" ht="15">
      <c r="A910" s="11">
        <v>68819</v>
      </c>
      <c r="B910" s="4">
        <f>70.9739 * CHOOSE(CONTROL!$C$14, $C$14, 100%, $E$14) + CHOOSE(CONTROL!$C$33, 0.0304, 0)</f>
        <v>71.004300000000001</v>
      </c>
      <c r="C910" s="4">
        <f>70.6106 * CHOOSE(CONTROL!$C$14, $C$14, 100%, $E$14) + CHOOSE(CONTROL!$C$33, 0.0304, 0)</f>
        <v>70.641000000000005</v>
      </c>
      <c r="D910" s="4">
        <f>85.3733 * CHOOSE(CONTROL!$C$14, $C$14, 100%, $E$14) + CHOOSE(CONTROL!$C$33, 0.0021, 0)</f>
        <v>85.375399999999999</v>
      </c>
      <c r="E910" s="4">
        <f>457.042379827183 * CHOOSE(CONTROL!$C$14, $C$14, 100%, $E$14) + CHOOSE(CONTROL!$C$33, 0.0021, 0)</f>
        <v>457.04447982718301</v>
      </c>
    </row>
    <row r="911" spans="1:5" ht="15">
      <c r="A911" s="11">
        <v>68849</v>
      </c>
      <c r="B911" s="4">
        <f>71.196 * CHOOSE(CONTROL!$C$14, $C$14, 100%, $E$14) + CHOOSE(CONTROL!$C$33, 0.0304, 0)</f>
        <v>71.226399999999998</v>
      </c>
      <c r="C911" s="4">
        <f>70.8327 * CHOOSE(CONTROL!$C$14, $C$14, 100%, $E$14) + CHOOSE(CONTROL!$C$33, 0.0304, 0)</f>
        <v>70.863100000000003</v>
      </c>
      <c r="D911" s="4">
        <f>86.1441 * CHOOSE(CONTROL!$C$14, $C$14, 100%, $E$14) + CHOOSE(CONTROL!$C$33, 0.0021, 0)</f>
        <v>86.146199999999993</v>
      </c>
      <c r="E911" s="4">
        <f>458.488524186231 * CHOOSE(CONTROL!$C$14, $C$14, 100%, $E$14) + CHOOSE(CONTROL!$C$33, 0.0021, 0)</f>
        <v>458.490624186231</v>
      </c>
    </row>
    <row r="912" spans="1:5" ht="15">
      <c r="A912" s="11">
        <v>68880</v>
      </c>
      <c r="B912" s="4">
        <f>71.1736 * CHOOSE(CONTROL!$C$14, $C$14, 100%, $E$14) + CHOOSE(CONTROL!$C$33, 0.0304, 0)</f>
        <v>71.203999999999994</v>
      </c>
      <c r="C912" s="4">
        <f>70.8103 * CHOOSE(CONTROL!$C$14, $C$14, 100%, $E$14) + CHOOSE(CONTROL!$C$33, 0.0304, 0)</f>
        <v>70.840699999999998</v>
      </c>
      <c r="D912" s="4">
        <f>87.5349 * CHOOSE(CONTROL!$C$14, $C$14, 100%, $E$14) + CHOOSE(CONTROL!$C$33, 0.0021, 0)</f>
        <v>87.536999999999992</v>
      </c>
      <c r="E912" s="4">
        <f>458.342694502965 * CHOOSE(CONTROL!$C$14, $C$14, 100%, $E$14) + CHOOSE(CONTROL!$C$33, 0.0021, 0)</f>
        <v>458.34479450296499</v>
      </c>
    </row>
    <row r="913" spans="1:5" ht="15">
      <c r="A913" s="11">
        <v>68911</v>
      </c>
      <c r="B913" s="4">
        <f>72.8591 * CHOOSE(CONTROL!$C$14, $C$14, 100%, $E$14) + CHOOSE(CONTROL!$C$33, 0.0304, 0)</f>
        <v>72.889499999999998</v>
      </c>
      <c r="C913" s="4">
        <f>72.4959 * CHOOSE(CONTROL!$C$14, $C$14, 100%, $E$14) + CHOOSE(CONTROL!$C$33, 0.0304, 0)</f>
        <v>72.526300000000006</v>
      </c>
      <c r="D913" s="4">
        <f>86.6164 * CHOOSE(CONTROL!$C$14, $C$14, 100%, $E$14) + CHOOSE(CONTROL!$C$33, 0.0021, 0)</f>
        <v>86.618499999999997</v>
      </c>
      <c r="E913" s="4">
        <f>469.316378168682 * CHOOSE(CONTROL!$C$14, $C$14, 100%, $E$14) + CHOOSE(CONTROL!$C$33, 0.0021, 0)</f>
        <v>469.31847816868196</v>
      </c>
    </row>
    <row r="914" spans="1:5" ht="15">
      <c r="A914" s="11">
        <v>68941</v>
      </c>
      <c r="B914" s="4">
        <f>69.9865 * CHOOSE(CONTROL!$C$14, $C$14, 100%, $E$14) + CHOOSE(CONTROL!$C$33, 0.0304, 0)</f>
        <v>70.016900000000007</v>
      </c>
      <c r="C914" s="4">
        <f>69.6232 * CHOOSE(CONTROL!$C$14, $C$14, 100%, $E$14) + CHOOSE(CONTROL!$C$33, 0.0304, 0)</f>
        <v>69.653599999999997</v>
      </c>
      <c r="D914" s="4">
        <f>86.1825 * CHOOSE(CONTROL!$C$14, $C$14, 100%, $E$14) + CHOOSE(CONTROL!$C$33, 0.0021, 0)</f>
        <v>86.184600000000003</v>
      </c>
      <c r="E914" s="4">
        <f>450.613721289902 * CHOOSE(CONTROL!$C$14, $C$14, 100%, $E$14) + CHOOSE(CONTROL!$C$33, 0.0021, 0)</f>
        <v>450.61582128990199</v>
      </c>
    </row>
    <row r="915" spans="1:5" ht="15">
      <c r="A915" s="11">
        <v>68972</v>
      </c>
      <c r="B915" s="4">
        <f>67.6868 * CHOOSE(CONTROL!$C$14, $C$14, 100%, $E$14) + CHOOSE(CONTROL!$C$33, 0.0272, 0)</f>
        <v>67.713999999999999</v>
      </c>
      <c r="C915" s="4">
        <f>67.3235 * CHOOSE(CONTROL!$C$14, $C$14, 100%, $E$14) + CHOOSE(CONTROL!$C$33, 0.0272, 0)</f>
        <v>67.350699999999989</v>
      </c>
      <c r="D915" s="4">
        <f>85.0205 * CHOOSE(CONTROL!$C$14, $C$14, 100%, $E$14) + CHOOSE(CONTROL!$C$33, 0.0021, 0)</f>
        <v>85.022599999999997</v>
      </c>
      <c r="E915" s="4">
        <f>435.641873807994 * CHOOSE(CONTROL!$C$14, $C$14, 100%, $E$14) + CHOOSE(CONTROL!$C$33, 0.0021, 0)</f>
        <v>435.64397380799397</v>
      </c>
    </row>
    <row r="916" spans="1:5" ht="15">
      <c r="A916" s="11">
        <v>69002</v>
      </c>
      <c r="B916" s="4">
        <f>66.2057 * CHOOSE(CONTROL!$C$14, $C$14, 100%, $E$14) + CHOOSE(CONTROL!$C$33, 0.0272, 0)</f>
        <v>66.232899999999987</v>
      </c>
      <c r="C916" s="4">
        <f>65.8424 * CHOOSE(CONTROL!$C$14, $C$14, 100%, $E$14) + CHOOSE(CONTROL!$C$33, 0.0272, 0)</f>
        <v>65.869599999999991</v>
      </c>
      <c r="D916" s="4">
        <f>84.621 * CHOOSE(CONTROL!$C$14, $C$14, 100%, $E$14) + CHOOSE(CONTROL!$C$33, 0.0021, 0)</f>
        <v>84.623099999999994</v>
      </c>
      <c r="E916" s="4">
        <f>425.998886002073 * CHOOSE(CONTROL!$C$14, $C$14, 100%, $E$14) + CHOOSE(CONTROL!$C$33, 0.0021, 0)</f>
        <v>426.00098600207298</v>
      </c>
    </row>
    <row r="917" spans="1:5" ht="15">
      <c r="A917" s="11">
        <v>69033</v>
      </c>
      <c r="B917" s="4">
        <f>65.1809 * CHOOSE(CONTROL!$C$14, $C$14, 100%, $E$14) + CHOOSE(CONTROL!$C$33, 0.0272, 0)</f>
        <v>65.208099999999988</v>
      </c>
      <c r="C917" s="4">
        <f>64.8176 * CHOOSE(CONTROL!$C$14, $C$14, 100%, $E$14) + CHOOSE(CONTROL!$C$33, 0.0272, 0)</f>
        <v>64.844799999999992</v>
      </c>
      <c r="D917" s="4">
        <f>81.6799 * CHOOSE(CONTROL!$C$14, $C$14, 100%, $E$14) + CHOOSE(CONTROL!$C$33, 0.0021, 0)</f>
        <v>81.682000000000002</v>
      </c>
      <c r="E917" s="4">
        <f>419.327177992684 * CHOOSE(CONTROL!$C$14, $C$14, 100%, $E$14) + CHOOSE(CONTROL!$C$33, 0.0021, 0)</f>
        <v>419.32927799268401</v>
      </c>
    </row>
    <row r="918" spans="1:5" ht="15">
      <c r="A918" s="11">
        <v>69064</v>
      </c>
      <c r="B918" s="4">
        <f>62.4951 * CHOOSE(CONTROL!$C$14, $C$14, 100%, $E$14) + CHOOSE(CONTROL!$C$33, 0.0272, 0)</f>
        <v>62.522300000000001</v>
      </c>
      <c r="C918" s="4">
        <f>62.1318 * CHOOSE(CONTROL!$C$14, $C$14, 100%, $E$14) + CHOOSE(CONTROL!$C$33, 0.0272, 0)</f>
        <v>62.158999999999999</v>
      </c>
      <c r="D918" s="4">
        <f>78.2938 * CHOOSE(CONTROL!$C$14, $C$14, 100%, $E$14) + CHOOSE(CONTROL!$C$33, 0.0021, 0)</f>
        <v>78.295900000000003</v>
      </c>
      <c r="E918" s="4">
        <f>401.86049713099 * CHOOSE(CONTROL!$C$14, $C$14, 100%, $E$14) + CHOOSE(CONTROL!$C$33, 0.0021, 0)</f>
        <v>401.86259713098997</v>
      </c>
    </row>
    <row r="919" spans="1:5" ht="15">
      <c r="A919" s="11">
        <v>69092</v>
      </c>
      <c r="B919" s="4">
        <f>63.9606 * CHOOSE(CONTROL!$C$14, $C$14, 100%, $E$14) + CHOOSE(CONTROL!$C$33, 0.0272, 0)</f>
        <v>63.9878</v>
      </c>
      <c r="C919" s="4">
        <f>63.5973 * CHOOSE(CONTROL!$C$14, $C$14, 100%, $E$14) + CHOOSE(CONTROL!$C$33, 0.0272, 0)</f>
        <v>63.624499999999998</v>
      </c>
      <c r="D919" s="4">
        <f>80.9918 * CHOOSE(CONTROL!$C$14, $C$14, 100%, $E$14) + CHOOSE(CONTROL!$C$33, 0.0021, 0)</f>
        <v>80.993899999999996</v>
      </c>
      <c r="E919" s="4">
        <f>411.402249028707 * CHOOSE(CONTROL!$C$14, $C$14, 100%, $E$14) + CHOOSE(CONTROL!$C$33, 0.0021, 0)</f>
        <v>411.40434902870697</v>
      </c>
    </row>
    <row r="920" spans="1:5" ht="15">
      <c r="A920" s="11">
        <v>69123</v>
      </c>
      <c r="B920" s="4">
        <f>67.8091 * CHOOSE(CONTROL!$C$14, $C$14, 100%, $E$14) + CHOOSE(CONTROL!$C$33, 0.0272, 0)</f>
        <v>67.836299999999994</v>
      </c>
      <c r="C920" s="4">
        <f>67.4458 * CHOOSE(CONTROL!$C$14, $C$14, 100%, $E$14) + CHOOSE(CONTROL!$C$33, 0.0272, 0)</f>
        <v>67.472999999999999</v>
      </c>
      <c r="D920" s="4">
        <f>85.2152 * CHOOSE(CONTROL!$C$14, $C$14, 100%, $E$14) + CHOOSE(CONTROL!$C$33, 0.0021, 0)</f>
        <v>85.217299999999994</v>
      </c>
      <c r="E920" s="4">
        <f>436.459396591602 * CHOOSE(CONTROL!$C$14, $C$14, 100%, $E$14) + CHOOSE(CONTROL!$C$33, 0.0021, 0)</f>
        <v>436.46149659160199</v>
      </c>
    </row>
    <row r="921" spans="1:5" ht="15">
      <c r="A921" s="11">
        <v>69153</v>
      </c>
      <c r="B921" s="4">
        <f>70.5435 * CHOOSE(CONTROL!$C$14, $C$14, 100%, $E$14) + CHOOSE(CONTROL!$C$33, 0.0272, 0)</f>
        <v>70.570699999999988</v>
      </c>
      <c r="C921" s="4">
        <f>70.1803 * CHOOSE(CONTROL!$C$14, $C$14, 100%, $E$14) + CHOOSE(CONTROL!$C$33, 0.0272, 0)</f>
        <v>70.207499999999996</v>
      </c>
      <c r="D921" s="4">
        <f>87.648 * CHOOSE(CONTROL!$C$14, $C$14, 100%, $E$14) + CHOOSE(CONTROL!$C$33, 0.0021, 0)</f>
        <v>87.650099999999995</v>
      </c>
      <c r="E921" s="4">
        <f>454.262833865436 * CHOOSE(CONTROL!$C$14, $C$14, 100%, $E$14) + CHOOSE(CONTROL!$C$33, 0.0021, 0)</f>
        <v>454.26493386543598</v>
      </c>
    </row>
    <row r="922" spans="1:5" ht="15">
      <c r="A922" s="11">
        <v>69184</v>
      </c>
      <c r="B922" s="4">
        <f>72.2142 * CHOOSE(CONTROL!$C$14, $C$14, 100%, $E$14) + CHOOSE(CONTROL!$C$33, 0.0304, 0)</f>
        <v>72.244600000000005</v>
      </c>
      <c r="C922" s="4">
        <f>71.8509 * CHOOSE(CONTROL!$C$14, $C$14, 100%, $E$14) + CHOOSE(CONTROL!$C$33, 0.0304, 0)</f>
        <v>71.881299999999996</v>
      </c>
      <c r="D922" s="4">
        <f>86.6867 * CHOOSE(CONTROL!$C$14, $C$14, 100%, $E$14) + CHOOSE(CONTROL!$C$33, 0.0021, 0)</f>
        <v>86.688800000000001</v>
      </c>
      <c r="E922" s="4">
        <f>465.140307350909 * CHOOSE(CONTROL!$C$14, $C$14, 100%, $E$14) + CHOOSE(CONTROL!$C$33, 0.0021, 0)</f>
        <v>465.14240735090897</v>
      </c>
    </row>
    <row r="923" spans="1:5" ht="15">
      <c r="A923" s="11">
        <v>69214</v>
      </c>
      <c r="B923" s="4">
        <f>72.4403 * CHOOSE(CONTROL!$C$14, $C$14, 100%, $E$14) + CHOOSE(CONTROL!$C$33, 0.0304, 0)</f>
        <v>72.470699999999994</v>
      </c>
      <c r="C923" s="4">
        <f>72.077 * CHOOSE(CONTROL!$C$14, $C$14, 100%, $E$14) + CHOOSE(CONTROL!$C$33, 0.0304, 0)</f>
        <v>72.107399999999998</v>
      </c>
      <c r="D923" s="4">
        <f>87.4696 * CHOOSE(CONTROL!$C$14, $C$14, 100%, $E$14) + CHOOSE(CONTROL!$C$33, 0.0021, 0)</f>
        <v>87.471699999999998</v>
      </c>
      <c r="E923" s="4">
        <f>466.612074655935 * CHOOSE(CONTROL!$C$14, $C$14, 100%, $E$14) + CHOOSE(CONTROL!$C$33, 0.0021, 0)</f>
        <v>466.61417465593496</v>
      </c>
    </row>
    <row r="924" spans="1:5" ht="15">
      <c r="A924" s="11">
        <v>69245</v>
      </c>
      <c r="B924" s="4">
        <f>72.4175 * CHOOSE(CONTROL!$C$14, $C$14, 100%, $E$14) + CHOOSE(CONTROL!$C$33, 0.0304, 0)</f>
        <v>72.447900000000004</v>
      </c>
      <c r="C924" s="4">
        <f>72.0542 * CHOOSE(CONTROL!$C$14, $C$14, 100%, $E$14) + CHOOSE(CONTROL!$C$33, 0.0304, 0)</f>
        <v>72.084599999999995</v>
      </c>
      <c r="D924" s="4">
        <f>88.8823 * CHOOSE(CONTROL!$C$14, $C$14, 100%, $E$14) + CHOOSE(CONTROL!$C$33, 0.0021, 0)</f>
        <v>88.884399999999999</v>
      </c>
      <c r="E924" s="4">
        <f>466.463661146185 * CHOOSE(CONTROL!$C$14, $C$14, 100%, $E$14) + CHOOSE(CONTROL!$C$33, 0.0021, 0)</f>
        <v>466.465761146185</v>
      </c>
    </row>
    <row r="925" spans="1:5" ht="15">
      <c r="A925" s="11">
        <v>69276</v>
      </c>
      <c r="B925" s="4">
        <f>74.1328 * CHOOSE(CONTROL!$C$14, $C$14, 100%, $E$14) + CHOOSE(CONTROL!$C$33, 0.0304, 0)</f>
        <v>74.163200000000003</v>
      </c>
      <c r="C925" s="4">
        <f>73.7695 * CHOOSE(CONTROL!$C$14, $C$14, 100%, $E$14) + CHOOSE(CONTROL!$C$33, 0.0304, 0)</f>
        <v>73.799899999999994</v>
      </c>
      <c r="D925" s="4">
        <f>87.9494 * CHOOSE(CONTROL!$C$14, $C$14, 100%, $E$14) + CHOOSE(CONTROL!$C$33, 0.0021, 0)</f>
        <v>87.951499999999996</v>
      </c>
      <c r="E925" s="4">
        <f>477.631777754919 * CHOOSE(CONTROL!$C$14, $C$14, 100%, $E$14) + CHOOSE(CONTROL!$C$33, 0.0021, 0)</f>
        <v>477.63387775491901</v>
      </c>
    </row>
    <row r="926" spans="1:5" ht="15">
      <c r="A926" s="11">
        <v>69306</v>
      </c>
      <c r="B926" s="4">
        <f>71.2093 * CHOOSE(CONTROL!$C$14, $C$14, 100%, $E$14) + CHOOSE(CONTROL!$C$33, 0.0304, 0)</f>
        <v>71.239699999999999</v>
      </c>
      <c r="C926" s="4">
        <f>70.8461 * CHOOSE(CONTROL!$C$14, $C$14, 100%, $E$14) + CHOOSE(CONTROL!$C$33, 0.0304, 0)</f>
        <v>70.876500000000007</v>
      </c>
      <c r="D926" s="4">
        <f>87.5086 * CHOOSE(CONTROL!$C$14, $C$14, 100%, $E$14) + CHOOSE(CONTROL!$C$33, 0.0021, 0)</f>
        <v>87.5107</v>
      </c>
      <c r="E926" s="4">
        <f>458.597745129402 * CHOOSE(CONTROL!$C$14, $C$14, 100%, $E$14) + CHOOSE(CONTROL!$C$33, 0.0021, 0)</f>
        <v>458.59984512940201</v>
      </c>
    </row>
    <row r="927" spans="1:5" ht="15">
      <c r="A927" s="11">
        <v>69337</v>
      </c>
      <c r="B927" s="4">
        <f>68.8691 * CHOOSE(CONTROL!$C$14, $C$14, 100%, $E$14) + CHOOSE(CONTROL!$C$33, 0.0272, 0)</f>
        <v>68.896299999999997</v>
      </c>
      <c r="C927" s="4">
        <f>68.5058 * CHOOSE(CONTROL!$C$14, $C$14, 100%, $E$14) + CHOOSE(CONTROL!$C$33, 0.0272, 0)</f>
        <v>68.532999999999987</v>
      </c>
      <c r="D927" s="4">
        <f>86.3283 * CHOOSE(CONTROL!$C$14, $C$14, 100%, $E$14) + CHOOSE(CONTROL!$C$33, 0.0021, 0)</f>
        <v>86.330399999999997</v>
      </c>
      <c r="E927" s="4">
        <f>443.360624795006 * CHOOSE(CONTROL!$C$14, $C$14, 100%, $E$14) + CHOOSE(CONTROL!$C$33, 0.0021, 0)</f>
        <v>443.36272479500599</v>
      </c>
    </row>
    <row r="928" spans="1:5" ht="15">
      <c r="A928" s="11">
        <v>69367</v>
      </c>
      <c r="B928" s="4">
        <f>67.3618 * CHOOSE(CONTROL!$C$14, $C$14, 100%, $E$14) + CHOOSE(CONTROL!$C$33, 0.0272, 0)</f>
        <v>67.388999999999996</v>
      </c>
      <c r="C928" s="4">
        <f>66.9985 * CHOOSE(CONTROL!$C$14, $C$14, 100%, $E$14) + CHOOSE(CONTROL!$C$33, 0.0272, 0)</f>
        <v>67.025700000000001</v>
      </c>
      <c r="D928" s="4">
        <f>85.9225 * CHOOSE(CONTROL!$C$14, $C$14, 100%, $E$14) + CHOOSE(CONTROL!$C$33, 0.0021, 0)</f>
        <v>85.924599999999998</v>
      </c>
      <c r="E928" s="4">
        <f>433.546781462746 * CHOOSE(CONTROL!$C$14, $C$14, 100%, $E$14) + CHOOSE(CONTROL!$C$33, 0.0021, 0)</f>
        <v>433.54888146274601</v>
      </c>
    </row>
    <row r="929" spans="1:5" ht="15">
      <c r="A929" s="11">
        <v>69398</v>
      </c>
      <c r="B929" s="4">
        <f>66.3189 * CHOOSE(CONTROL!$C$14, $C$14, 100%, $E$14) + CHOOSE(CONTROL!$C$33, 0.0272, 0)</f>
        <v>66.346099999999993</v>
      </c>
      <c r="C929" s="4">
        <f>65.9556 * CHOOSE(CONTROL!$C$14, $C$14, 100%, $E$14) + CHOOSE(CONTROL!$C$33, 0.0272, 0)</f>
        <v>65.982799999999997</v>
      </c>
      <c r="D929" s="4">
        <f>82.9352 * CHOOSE(CONTROL!$C$14, $C$14, 100%, $E$14) + CHOOSE(CONTROL!$C$33, 0.0021, 0)</f>
        <v>82.937299999999993</v>
      </c>
      <c r="E929" s="4">
        <f>426.756863391656 * CHOOSE(CONTROL!$C$14, $C$14, 100%, $E$14) + CHOOSE(CONTROL!$C$33, 0.0021, 0)</f>
        <v>426.75896339165598</v>
      </c>
    </row>
    <row r="930" spans="1:5" ht="15">
      <c r="A930" s="11">
        <v>69429</v>
      </c>
      <c r="B930" s="4">
        <f>63.5856 * CHOOSE(CONTROL!$C$14, $C$14, 100%, $E$14) + CHOOSE(CONTROL!$C$33, 0.0272, 0)</f>
        <v>63.6128</v>
      </c>
      <c r="C930" s="4">
        <f>63.2223 * CHOOSE(CONTROL!$C$14, $C$14, 100%, $E$14) + CHOOSE(CONTROL!$C$33, 0.0272, 0)</f>
        <v>63.249499999999998</v>
      </c>
      <c r="D930" s="4">
        <f>79.4959 * CHOOSE(CONTROL!$C$14, $C$14, 100%, $E$14) + CHOOSE(CONTROL!$C$33, 0.0021, 0)</f>
        <v>79.498000000000005</v>
      </c>
      <c r="E930" s="4">
        <f>408.980705943235 * CHOOSE(CONTROL!$C$14, $C$14, 100%, $E$14) + CHOOSE(CONTROL!$C$33, 0.0021, 0)</f>
        <v>408.98280594323501</v>
      </c>
    </row>
    <row r="931" spans="1:5" ht="15">
      <c r="A931" s="11">
        <v>69457</v>
      </c>
      <c r="B931" s="4">
        <f>65.077 * CHOOSE(CONTROL!$C$14, $C$14, 100%, $E$14) + CHOOSE(CONTROL!$C$33, 0.0272, 0)</f>
        <v>65.104199999999992</v>
      </c>
      <c r="C931" s="4">
        <f>64.7137 * CHOOSE(CONTROL!$C$14, $C$14, 100%, $E$14) + CHOOSE(CONTROL!$C$33, 0.0272, 0)</f>
        <v>64.740899999999996</v>
      </c>
      <c r="D931" s="4">
        <f>82.2362 * CHOOSE(CONTROL!$C$14, $C$14, 100%, $E$14) + CHOOSE(CONTROL!$C$33, 0.0021, 0)</f>
        <v>82.238299999999995</v>
      </c>
      <c r="E931" s="4">
        <f>418.691519658253 * CHOOSE(CONTROL!$C$14, $C$14, 100%, $E$14) + CHOOSE(CONTROL!$C$33, 0.0021, 0)</f>
        <v>418.693619658253</v>
      </c>
    </row>
    <row r="932" spans="1:5" ht="15">
      <c r="A932" s="11">
        <v>69488</v>
      </c>
      <c r="B932" s="4">
        <f>68.9935 * CHOOSE(CONTROL!$C$14, $C$14, 100%, $E$14) + CHOOSE(CONTROL!$C$33, 0.0272, 0)</f>
        <v>69.020699999999991</v>
      </c>
      <c r="C932" s="4">
        <f>68.6302 * CHOOSE(CONTROL!$C$14, $C$14, 100%, $E$14) + CHOOSE(CONTROL!$C$33, 0.0272, 0)</f>
        <v>68.657399999999996</v>
      </c>
      <c r="D932" s="4">
        <f>86.5261 * CHOOSE(CONTROL!$C$14, $C$14, 100%, $E$14) + CHOOSE(CONTROL!$C$33, 0.0021, 0)</f>
        <v>86.528199999999998</v>
      </c>
      <c r="E932" s="4">
        <f>444.192632537871 * CHOOSE(CONTROL!$C$14, $C$14, 100%, $E$14) + CHOOSE(CONTROL!$C$33, 0.0021, 0)</f>
        <v>444.194732537871</v>
      </c>
    </row>
    <row r="933" spans="1:5" ht="15">
      <c r="A933" s="11">
        <v>69518</v>
      </c>
      <c r="B933" s="4">
        <f>71.7763 * CHOOSE(CONTROL!$C$14, $C$14, 100%, $E$14) + CHOOSE(CONTROL!$C$33, 0.0272, 0)</f>
        <v>71.8035</v>
      </c>
      <c r="C933" s="4">
        <f>71.413 * CHOOSE(CONTROL!$C$14, $C$14, 100%, $E$14) + CHOOSE(CONTROL!$C$33, 0.0272, 0)</f>
        <v>71.44019999999999</v>
      </c>
      <c r="D933" s="4">
        <f>88.9972 * CHOOSE(CONTROL!$C$14, $C$14, 100%, $E$14) + CHOOSE(CONTROL!$C$33, 0.0021, 0)</f>
        <v>88.999300000000005</v>
      </c>
      <c r="E933" s="4">
        <f>462.311513085853 * CHOOSE(CONTROL!$C$14, $C$14, 100%, $E$14) + CHOOSE(CONTROL!$C$33, 0.0021, 0)</f>
        <v>462.31361308585298</v>
      </c>
    </row>
    <row r="934" spans="1:5" ht="15">
      <c r="A934" s="11">
        <v>69549</v>
      </c>
      <c r="B934" s="4">
        <f>73.4764 * CHOOSE(CONTROL!$C$14, $C$14, 100%, $E$14) + CHOOSE(CONTROL!$C$33, 0.0304, 0)</f>
        <v>73.506799999999998</v>
      </c>
      <c r="C934" s="4">
        <f>73.1132 * CHOOSE(CONTROL!$C$14, $C$14, 100%, $E$14) + CHOOSE(CONTROL!$C$33, 0.0304, 0)</f>
        <v>73.143600000000006</v>
      </c>
      <c r="D934" s="4">
        <f>88.0207 * CHOOSE(CONTROL!$C$14, $C$14, 100%, $E$14) + CHOOSE(CONTROL!$C$33, 0.0021, 0)</f>
        <v>88.022800000000004</v>
      </c>
      <c r="E934" s="4">
        <f>473.381714851709 * CHOOSE(CONTROL!$C$14, $C$14, 100%, $E$14) + CHOOSE(CONTROL!$C$33, 0.0021, 0)</f>
        <v>473.38381485170896</v>
      </c>
    </row>
    <row r="935" spans="1:5" ht="15">
      <c r="A935" s="11">
        <v>69579</v>
      </c>
      <c r="B935" s="4">
        <f>73.7065 * CHOOSE(CONTROL!$C$14, $C$14, 100%, $E$14) + CHOOSE(CONTROL!$C$33, 0.0304, 0)</f>
        <v>73.736900000000006</v>
      </c>
      <c r="C935" s="4">
        <f>73.3432 * CHOOSE(CONTROL!$C$14, $C$14, 100%, $E$14) + CHOOSE(CONTROL!$C$33, 0.0304, 0)</f>
        <v>73.373599999999996</v>
      </c>
      <c r="D935" s="4">
        <f>88.8159 * CHOOSE(CONTROL!$C$14, $C$14, 100%, $E$14) + CHOOSE(CONTROL!$C$33, 0.0021, 0)</f>
        <v>88.817999999999998</v>
      </c>
      <c r="E935" s="4">
        <f>474.87955909291 * CHOOSE(CONTROL!$C$14, $C$14, 100%, $E$14) + CHOOSE(CONTROL!$C$33, 0.0021, 0)</f>
        <v>474.88165909290996</v>
      </c>
    </row>
    <row r="936" spans="1:5" ht="15">
      <c r="A936" s="11">
        <v>69610</v>
      </c>
      <c r="B936" s="4">
        <f>73.6833 * CHOOSE(CONTROL!$C$14, $C$14, 100%, $E$14) + CHOOSE(CONTROL!$C$33, 0.0304, 0)</f>
        <v>73.713700000000003</v>
      </c>
      <c r="C936" s="4">
        <f>73.32 * CHOOSE(CONTROL!$C$14, $C$14, 100%, $E$14) + CHOOSE(CONTROL!$C$33, 0.0304, 0)</f>
        <v>73.350399999999993</v>
      </c>
      <c r="D936" s="4">
        <f>90.2509 * CHOOSE(CONTROL!$C$14, $C$14, 100%, $E$14) + CHOOSE(CONTROL!$C$33, 0.0021, 0)</f>
        <v>90.253</v>
      </c>
      <c r="E936" s="4">
        <f>474.72851597615 * CHOOSE(CONTROL!$C$14, $C$14, 100%, $E$14) + CHOOSE(CONTROL!$C$33, 0.0021, 0)</f>
        <v>474.73061597614998</v>
      </c>
    </row>
    <row r="937" spans="1:5" ht="15">
      <c r="A937" s="11">
        <v>69641</v>
      </c>
      <c r="B937" s="4">
        <f>75.4289 * CHOOSE(CONTROL!$C$14, $C$14, 100%, $E$14) + CHOOSE(CONTROL!$C$33, 0.0304, 0)</f>
        <v>75.459299999999999</v>
      </c>
      <c r="C937" s="4">
        <f>75.0656 * CHOOSE(CONTROL!$C$14, $C$14, 100%, $E$14) + CHOOSE(CONTROL!$C$33, 0.0304, 0)</f>
        <v>75.096000000000004</v>
      </c>
      <c r="D937" s="4">
        <f>89.3032 * CHOOSE(CONTROL!$C$14, $C$14, 100%, $E$14) + CHOOSE(CONTROL!$C$33, 0.0021, 0)</f>
        <v>89.305300000000003</v>
      </c>
      <c r="E937" s="4">
        <f>486.094510512328 * CHOOSE(CONTROL!$C$14, $C$14, 100%, $E$14) + CHOOSE(CONTROL!$C$33, 0.0021, 0)</f>
        <v>486.09661051232797</v>
      </c>
    </row>
    <row r="938" spans="1:5" ht="15">
      <c r="A938" s="11">
        <v>69671</v>
      </c>
      <c r="B938" s="4">
        <f>72.4538 * CHOOSE(CONTROL!$C$14, $C$14, 100%, $E$14) + CHOOSE(CONTROL!$C$33, 0.0304, 0)</f>
        <v>72.484200000000001</v>
      </c>
      <c r="C938" s="4">
        <f>72.0905 * CHOOSE(CONTROL!$C$14, $C$14, 100%, $E$14) + CHOOSE(CONTROL!$C$33, 0.0304, 0)</f>
        <v>72.120900000000006</v>
      </c>
      <c r="D938" s="4">
        <f>88.8555 * CHOOSE(CONTROL!$C$14, $C$14, 100%, $E$14) + CHOOSE(CONTROL!$C$33, 0.0021, 0)</f>
        <v>88.857600000000005</v>
      </c>
      <c r="E938" s="4">
        <f>466.723230787879 * CHOOSE(CONTROL!$C$14, $C$14, 100%, $E$14) + CHOOSE(CONTROL!$C$33, 0.0021, 0)</f>
        <v>466.72533078787899</v>
      </c>
    </row>
    <row r="939" spans="1:5" ht="15">
      <c r="A939" s="11">
        <v>69702</v>
      </c>
      <c r="B939" s="4">
        <f>70.0722 * CHOOSE(CONTROL!$C$14, $C$14, 100%, $E$14) + CHOOSE(CONTROL!$C$33, 0.0272, 0)</f>
        <v>70.099399999999989</v>
      </c>
      <c r="C939" s="4">
        <f>69.7089 * CHOOSE(CONTROL!$C$14, $C$14, 100%, $E$14) + CHOOSE(CONTROL!$C$33, 0.0272, 0)</f>
        <v>69.736099999999993</v>
      </c>
      <c r="D939" s="4">
        <f>87.6567 * CHOOSE(CONTROL!$C$14, $C$14, 100%, $E$14) + CHOOSE(CONTROL!$C$33, 0.0021, 0)</f>
        <v>87.658799999999999</v>
      </c>
      <c r="E939" s="4">
        <f>451.216137467203 * CHOOSE(CONTROL!$C$14, $C$14, 100%, $E$14) + CHOOSE(CONTROL!$C$33, 0.0021, 0)</f>
        <v>451.21823746720298</v>
      </c>
    </row>
    <row r="940" spans="1:5" ht="15">
      <c r="A940" s="11">
        <v>69732</v>
      </c>
      <c r="B940" s="4">
        <f>68.5383 * CHOOSE(CONTROL!$C$14, $C$14, 100%, $E$14) + CHOOSE(CONTROL!$C$33, 0.0272, 0)</f>
        <v>68.5655</v>
      </c>
      <c r="C940" s="4">
        <f>68.175 * CHOOSE(CONTROL!$C$14, $C$14, 100%, $E$14) + CHOOSE(CONTROL!$C$33, 0.0272, 0)</f>
        <v>68.202199999999991</v>
      </c>
      <c r="D940" s="4">
        <f>87.2445 * CHOOSE(CONTROL!$C$14, $C$14, 100%, $E$14) + CHOOSE(CONTROL!$C$33, 0.0021, 0)</f>
        <v>87.246600000000001</v>
      </c>
      <c r="E940" s="4">
        <f>441.228411371459 * CHOOSE(CONTROL!$C$14, $C$14, 100%, $E$14) + CHOOSE(CONTROL!$C$33, 0.0021, 0)</f>
        <v>441.23051137145899</v>
      </c>
    </row>
    <row r="941" spans="1:5" ht="15">
      <c r="A941" s="11">
        <v>69763</v>
      </c>
      <c r="B941" s="4">
        <f>67.477 * CHOOSE(CONTROL!$C$14, $C$14, 100%, $E$14) + CHOOSE(CONTROL!$C$33, 0.0272, 0)</f>
        <v>67.504199999999997</v>
      </c>
      <c r="C941" s="4">
        <f>67.1137 * CHOOSE(CONTROL!$C$14, $C$14, 100%, $E$14) + CHOOSE(CONTROL!$C$33, 0.0272, 0)</f>
        <v>67.140899999999988</v>
      </c>
      <c r="D941" s="4">
        <f>84.2102 * CHOOSE(CONTROL!$C$14, $C$14, 100%, $E$14) + CHOOSE(CONTROL!$C$33, 0.0021, 0)</f>
        <v>84.212299999999999</v>
      </c>
      <c r="E941" s="4">
        <f>434.318188779697 * CHOOSE(CONTROL!$C$14, $C$14, 100%, $E$14) + CHOOSE(CONTROL!$C$33, 0.0021, 0)</f>
        <v>434.32028877969697</v>
      </c>
    </row>
    <row r="942" spans="1:5" ht="15">
      <c r="A942" s="11">
        <v>69794</v>
      </c>
      <c r="B942" s="4">
        <f>64.6954 * CHOOSE(CONTROL!$C$14, $C$14, 100%, $E$14) + CHOOSE(CONTROL!$C$33, 0.0272, 0)</f>
        <v>64.7226</v>
      </c>
      <c r="C942" s="4">
        <f>64.3321 * CHOOSE(CONTROL!$C$14, $C$14, 100%, $E$14) + CHOOSE(CONTROL!$C$33, 0.0272, 0)</f>
        <v>64.35929999999999</v>
      </c>
      <c r="D942" s="4">
        <f>80.7168 * CHOOSE(CONTROL!$C$14, $C$14, 100%, $E$14) + CHOOSE(CONTROL!$C$33, 0.0021, 0)</f>
        <v>80.718900000000005</v>
      </c>
      <c r="E942" s="4">
        <f>416.227071404099 * CHOOSE(CONTROL!$C$14, $C$14, 100%, $E$14) + CHOOSE(CONTROL!$C$33, 0.0021, 0)</f>
        <v>416.22917140409896</v>
      </c>
    </row>
    <row r="943" spans="1:5" ht="15">
      <c r="A943" s="11">
        <v>69822</v>
      </c>
      <c r="B943" s="4">
        <f>66.2131 * CHOOSE(CONTROL!$C$14, $C$14, 100%, $E$14) + CHOOSE(CONTROL!$C$33, 0.0272, 0)</f>
        <v>66.240299999999991</v>
      </c>
      <c r="C943" s="4">
        <f>65.8498 * CHOOSE(CONTROL!$C$14, $C$14, 100%, $E$14) + CHOOSE(CONTROL!$C$33, 0.0272, 0)</f>
        <v>65.876999999999995</v>
      </c>
      <c r="D943" s="4">
        <f>83.5003 * CHOOSE(CONTROL!$C$14, $C$14, 100%, $E$14) + CHOOSE(CONTROL!$C$33, 0.0021, 0)</f>
        <v>83.502399999999994</v>
      </c>
      <c r="E943" s="4">
        <f>426.109942392427 * CHOOSE(CONTROL!$C$14, $C$14, 100%, $E$14) + CHOOSE(CONTROL!$C$33, 0.0021, 0)</f>
        <v>426.11204239242699</v>
      </c>
    </row>
    <row r="944" spans="1:5" ht="15">
      <c r="A944" s="11">
        <v>69853</v>
      </c>
      <c r="B944" s="4">
        <f>70.1988 * CHOOSE(CONTROL!$C$14, $C$14, 100%, $E$14) + CHOOSE(CONTROL!$C$33, 0.0272, 0)</f>
        <v>70.225999999999999</v>
      </c>
      <c r="C944" s="4">
        <f>69.8356 * CHOOSE(CONTROL!$C$14, $C$14, 100%, $E$14) + CHOOSE(CONTROL!$C$33, 0.0272, 0)</f>
        <v>69.862799999999993</v>
      </c>
      <c r="D944" s="4">
        <f>87.8576 * CHOOSE(CONTROL!$C$14, $C$14, 100%, $E$14) + CHOOSE(CONTROL!$C$33, 0.0021, 0)</f>
        <v>87.859700000000004</v>
      </c>
      <c r="E944" s="4">
        <f>452.062886815439 * CHOOSE(CONTROL!$C$14, $C$14, 100%, $E$14) + CHOOSE(CONTROL!$C$33, 0.0021, 0)</f>
        <v>452.064986815439</v>
      </c>
    </row>
    <row r="945" spans="1:5" ht="15">
      <c r="A945" s="11">
        <v>69883</v>
      </c>
      <c r="B945" s="4">
        <f>73.0307 * CHOOSE(CONTROL!$C$14, $C$14, 100%, $E$14) + CHOOSE(CONTROL!$C$33, 0.0272, 0)</f>
        <v>73.057899999999989</v>
      </c>
      <c r="C945" s="4">
        <f>72.6675 * CHOOSE(CONTROL!$C$14, $C$14, 100%, $E$14) + CHOOSE(CONTROL!$C$33, 0.0272, 0)</f>
        <v>72.694699999999997</v>
      </c>
      <c r="D945" s="4">
        <f>90.3675 * CHOOSE(CONTROL!$C$14, $C$14, 100%, $E$14) + CHOOSE(CONTROL!$C$33, 0.0021, 0)</f>
        <v>90.369600000000005</v>
      </c>
      <c r="E945" s="4">
        <f>470.502799696449 * CHOOSE(CONTROL!$C$14, $C$14, 100%, $E$14) + CHOOSE(CONTROL!$C$33, 0.0021, 0)</f>
        <v>470.504899696449</v>
      </c>
    </row>
    <row r="946" spans="1:5" ht="15">
      <c r="A946" s="11">
        <v>69914</v>
      </c>
      <c r="B946" s="4">
        <f>74.761 * CHOOSE(CONTROL!$C$14, $C$14, 100%, $E$14) + CHOOSE(CONTROL!$C$33, 0.0304, 0)</f>
        <v>74.791399999999996</v>
      </c>
      <c r="C946" s="4">
        <f>74.3977 * CHOOSE(CONTROL!$C$14, $C$14, 100%, $E$14) + CHOOSE(CONTROL!$C$33, 0.0304, 0)</f>
        <v>74.428100000000001</v>
      </c>
      <c r="D946" s="4">
        <f>89.3757 * CHOOSE(CONTROL!$C$14, $C$14, 100%, $E$14) + CHOOSE(CONTROL!$C$33, 0.0021, 0)</f>
        <v>89.377799999999993</v>
      </c>
      <c r="E946" s="4">
        <f>481.769144523713 * CHOOSE(CONTROL!$C$14, $C$14, 100%, $E$14) + CHOOSE(CONTROL!$C$33, 0.0021, 0)</f>
        <v>481.77124452371299</v>
      </c>
    </row>
    <row r="947" spans="1:5" ht="15">
      <c r="A947" s="11">
        <v>69944</v>
      </c>
      <c r="B947" s="4">
        <f>74.9951 * CHOOSE(CONTROL!$C$14, $C$14, 100%, $E$14) + CHOOSE(CONTROL!$C$33, 0.0304, 0)</f>
        <v>75.025499999999994</v>
      </c>
      <c r="C947" s="4">
        <f>74.6318 * CHOOSE(CONTROL!$C$14, $C$14, 100%, $E$14) + CHOOSE(CONTROL!$C$33, 0.0304, 0)</f>
        <v>74.662199999999999</v>
      </c>
      <c r="D947" s="4">
        <f>90.1835 * CHOOSE(CONTROL!$C$14, $C$14, 100%, $E$14) + CHOOSE(CONTROL!$C$33, 0.0021, 0)</f>
        <v>90.185599999999994</v>
      </c>
      <c r="E947" s="4">
        <f>483.293527735134 * CHOOSE(CONTROL!$C$14, $C$14, 100%, $E$14) + CHOOSE(CONTROL!$C$33, 0.0021, 0)</f>
        <v>483.29562773513396</v>
      </c>
    </row>
    <row r="948" spans="1:5" ht="15">
      <c r="A948" s="11">
        <v>69975</v>
      </c>
      <c r="B948" s="4">
        <f>74.9715 * CHOOSE(CONTROL!$C$14, $C$14, 100%, $E$14) + CHOOSE(CONTROL!$C$33, 0.0304, 0)</f>
        <v>75.001900000000006</v>
      </c>
      <c r="C948" s="4">
        <f>74.6082 * CHOOSE(CONTROL!$C$14, $C$14, 100%, $E$14) + CHOOSE(CONTROL!$C$33, 0.0304, 0)</f>
        <v>74.638599999999997</v>
      </c>
      <c r="D948" s="4">
        <f>91.6409 * CHOOSE(CONTROL!$C$14, $C$14, 100%, $E$14) + CHOOSE(CONTROL!$C$33, 0.0021, 0)</f>
        <v>91.643000000000001</v>
      </c>
      <c r="E948" s="4">
        <f>483.139808419697 * CHOOSE(CONTROL!$C$14, $C$14, 100%, $E$14) + CHOOSE(CONTROL!$C$33, 0.0021, 0)</f>
        <v>483.14190841969696</v>
      </c>
    </row>
    <row r="949" spans="1:5" ht="15">
      <c r="A949" s="11">
        <v>70006</v>
      </c>
      <c r="B949" s="4">
        <f>76.7479 * CHOOSE(CONTROL!$C$14, $C$14, 100%, $E$14) + CHOOSE(CONTROL!$C$33, 0.0304, 0)</f>
        <v>76.778300000000002</v>
      </c>
      <c r="C949" s="4">
        <f>76.3846 * CHOOSE(CONTROL!$C$14, $C$14, 100%, $E$14) + CHOOSE(CONTROL!$C$33, 0.0304, 0)</f>
        <v>76.415000000000006</v>
      </c>
      <c r="D949" s="4">
        <f>90.6784 * CHOOSE(CONTROL!$C$14, $C$14, 100%, $E$14) + CHOOSE(CONTROL!$C$33, 0.0021, 0)</f>
        <v>90.680499999999995</v>
      </c>
      <c r="E949" s="4">
        <f>494.70718690636 * CHOOSE(CONTROL!$C$14, $C$14, 100%, $E$14) + CHOOSE(CONTROL!$C$33, 0.0021, 0)</f>
        <v>494.70928690635998</v>
      </c>
    </row>
    <row r="950" spans="1:5" ht="15">
      <c r="A950" s="11">
        <v>70036</v>
      </c>
      <c r="B950" s="4">
        <f>73.7203 * CHOOSE(CONTROL!$C$14, $C$14, 100%, $E$14) + CHOOSE(CONTROL!$C$33, 0.0304, 0)</f>
        <v>73.750699999999995</v>
      </c>
      <c r="C950" s="4">
        <f>73.357 * CHOOSE(CONTROL!$C$14, $C$14, 100%, $E$14) + CHOOSE(CONTROL!$C$33, 0.0304, 0)</f>
        <v>73.3874</v>
      </c>
      <c r="D950" s="4">
        <f>90.2236 * CHOOSE(CONTROL!$C$14, $C$14, 100%, $E$14) + CHOOSE(CONTROL!$C$33, 0.0021, 0)</f>
        <v>90.225700000000003</v>
      </c>
      <c r="E950" s="4">
        <f>474.992684701515 * CHOOSE(CONTROL!$C$14, $C$14, 100%, $E$14) + CHOOSE(CONTROL!$C$33, 0.0021, 0)</f>
        <v>474.99478470151496</v>
      </c>
    </row>
    <row r="951" spans="1:5" ht="15">
      <c r="A951" s="11">
        <v>70067</v>
      </c>
      <c r="B951" s="4">
        <f>71.2966 * CHOOSE(CONTROL!$C$14, $C$14, 100%, $E$14) + CHOOSE(CONTROL!$C$33, 0.0272, 0)</f>
        <v>71.323799999999991</v>
      </c>
      <c r="C951" s="4">
        <f>70.9333 * CHOOSE(CONTROL!$C$14, $C$14, 100%, $E$14) + CHOOSE(CONTROL!$C$33, 0.0272, 0)</f>
        <v>70.960499999999996</v>
      </c>
      <c r="D951" s="4">
        <f>89.006 * CHOOSE(CONTROL!$C$14, $C$14, 100%, $E$14) + CHOOSE(CONTROL!$C$33, 0.0021, 0)</f>
        <v>89.008099999999999</v>
      </c>
      <c r="E951" s="4">
        <f>459.210834983277 * CHOOSE(CONTROL!$C$14, $C$14, 100%, $E$14) + CHOOSE(CONTROL!$C$33, 0.0021, 0)</f>
        <v>459.21293498327697</v>
      </c>
    </row>
    <row r="952" spans="1:5" ht="15">
      <c r="A952" s="11">
        <v>70097</v>
      </c>
      <c r="B952" s="4">
        <f>69.7356 * CHOOSE(CONTROL!$C$14, $C$14, 100%, $E$14) + CHOOSE(CONTROL!$C$33, 0.0272, 0)</f>
        <v>69.762799999999999</v>
      </c>
      <c r="C952" s="4">
        <f>69.3723 * CHOOSE(CONTROL!$C$14, $C$14, 100%, $E$14) + CHOOSE(CONTROL!$C$33, 0.0272, 0)</f>
        <v>69.399499999999989</v>
      </c>
      <c r="D952" s="4">
        <f>88.5873 * CHOOSE(CONTROL!$C$14, $C$14, 100%, $E$14) + CHOOSE(CONTROL!$C$33, 0.0021, 0)</f>
        <v>88.589399999999998</v>
      </c>
      <c r="E952" s="4">
        <f>449.04614524998 * CHOOSE(CONTROL!$C$14, $C$14, 100%, $E$14) + CHOOSE(CONTROL!$C$33, 0.0021, 0)</f>
        <v>449.04824524997997</v>
      </c>
    </row>
    <row r="953" spans="1:5" ht="15">
      <c r="A953" s="11">
        <v>70128</v>
      </c>
      <c r="B953" s="4">
        <f>68.6555 * CHOOSE(CONTROL!$C$14, $C$14, 100%, $E$14) + CHOOSE(CONTROL!$C$33, 0.0272, 0)</f>
        <v>68.682699999999997</v>
      </c>
      <c r="C953" s="4">
        <f>68.2922 * CHOOSE(CONTROL!$C$14, $C$14, 100%, $E$14) + CHOOSE(CONTROL!$C$33, 0.0272, 0)</f>
        <v>68.319399999999987</v>
      </c>
      <c r="D953" s="4">
        <f>85.5053 * CHOOSE(CONTROL!$C$14, $C$14, 100%, $E$14) + CHOOSE(CONTROL!$C$33, 0.0021, 0)</f>
        <v>85.507400000000004</v>
      </c>
      <c r="E953" s="4">
        <f>442.01348656872 * CHOOSE(CONTROL!$C$14, $C$14, 100%, $E$14) + CHOOSE(CONTROL!$C$33, 0.0021, 0)</f>
        <v>442.01558656871998</v>
      </c>
    </row>
    <row r="954" spans="1:5" ht="15">
      <c r="A954" s="11">
        <v>70159</v>
      </c>
      <c r="B954" s="4">
        <f>65.8248 * CHOOSE(CONTROL!$C$14, $C$14, 100%, $E$14) + CHOOSE(CONTROL!$C$33, 0.0272, 0)</f>
        <v>65.85199999999999</v>
      </c>
      <c r="C954" s="4">
        <f>65.4615 * CHOOSE(CONTROL!$C$14, $C$14, 100%, $E$14) + CHOOSE(CONTROL!$C$33, 0.0272, 0)</f>
        <v>65.488699999999994</v>
      </c>
      <c r="D954" s="4">
        <f>81.957 * CHOOSE(CONTROL!$C$14, $C$14, 100%, $E$14) + CHOOSE(CONTROL!$C$33, 0.0021, 0)</f>
        <v>81.959099999999992</v>
      </c>
      <c r="E954" s="4">
        <f>423.601828771058 * CHOOSE(CONTROL!$C$14, $C$14, 100%, $E$14) + CHOOSE(CONTROL!$C$33, 0.0021, 0)</f>
        <v>423.60392877105801</v>
      </c>
    </row>
    <row r="955" spans="1:5" ht="15">
      <c r="A955" s="11">
        <v>70188</v>
      </c>
      <c r="B955" s="4">
        <f>67.3693 * CHOOSE(CONTROL!$C$14, $C$14, 100%, $E$14) + CHOOSE(CONTROL!$C$33, 0.0272, 0)</f>
        <v>67.396499999999989</v>
      </c>
      <c r="C955" s="4">
        <f>67.0061 * CHOOSE(CONTROL!$C$14, $C$14, 100%, $E$14) + CHOOSE(CONTROL!$C$33, 0.0272, 0)</f>
        <v>67.033299999999997</v>
      </c>
      <c r="D955" s="4">
        <f>84.7842 * CHOOSE(CONTROL!$C$14, $C$14, 100%, $E$14) + CHOOSE(CONTROL!$C$33, 0.0021, 0)</f>
        <v>84.786299999999997</v>
      </c>
      <c r="E955" s="4">
        <f>433.659805562529 * CHOOSE(CONTROL!$C$14, $C$14, 100%, $E$14) + CHOOSE(CONTROL!$C$33, 0.0021, 0)</f>
        <v>433.661905562529</v>
      </c>
    </row>
    <row r="956" spans="1:5" ht="15">
      <c r="A956" s="11">
        <v>70219</v>
      </c>
      <c r="B956" s="4">
        <f>71.4255 * CHOOSE(CONTROL!$C$14, $C$14, 100%, $E$14) + CHOOSE(CONTROL!$C$33, 0.0272, 0)</f>
        <v>71.452699999999993</v>
      </c>
      <c r="C956" s="4">
        <f>71.0622 * CHOOSE(CONTROL!$C$14, $C$14, 100%, $E$14) + CHOOSE(CONTROL!$C$33, 0.0272, 0)</f>
        <v>71.089399999999998</v>
      </c>
      <c r="D956" s="4">
        <f>89.21 * CHOOSE(CONTROL!$C$14, $C$14, 100%, $E$14) + CHOOSE(CONTROL!$C$33, 0.0021, 0)</f>
        <v>89.212099999999992</v>
      </c>
      <c r="E956" s="4">
        <f>460.072587130281 * CHOOSE(CONTROL!$C$14, $C$14, 100%, $E$14) + CHOOSE(CONTROL!$C$33, 0.0021, 0)</f>
        <v>460.07468713028101</v>
      </c>
    </row>
    <row r="957" spans="1:5" ht="15">
      <c r="A957" s="11">
        <v>70249</v>
      </c>
      <c r="B957" s="4">
        <f>74.3074 * CHOOSE(CONTROL!$C$14, $C$14, 100%, $E$14) + CHOOSE(CONTROL!$C$33, 0.0272, 0)</f>
        <v>74.334599999999995</v>
      </c>
      <c r="C957" s="4">
        <f>73.9441 * CHOOSE(CONTROL!$C$14, $C$14, 100%, $E$14) + CHOOSE(CONTROL!$C$33, 0.0272, 0)</f>
        <v>73.971299999999999</v>
      </c>
      <c r="D957" s="4">
        <f>91.7594 * CHOOSE(CONTROL!$C$14, $C$14, 100%, $E$14) + CHOOSE(CONTROL!$C$33, 0.0021, 0)</f>
        <v>91.761499999999998</v>
      </c>
      <c r="E957" s="4">
        <f>478.839220430763 * CHOOSE(CONTROL!$C$14, $C$14, 100%, $E$14) + CHOOSE(CONTROL!$C$33, 0.0021, 0)</f>
        <v>478.84132043076301</v>
      </c>
    </row>
    <row r="958" spans="1:5" ht="15">
      <c r="A958" s="11">
        <v>70280</v>
      </c>
      <c r="B958" s="4">
        <f>76.0682 * CHOOSE(CONTROL!$C$14, $C$14, 100%, $E$14) + CHOOSE(CONTROL!$C$33, 0.0304, 0)</f>
        <v>76.098600000000005</v>
      </c>
      <c r="C958" s="4">
        <f>75.7049 * CHOOSE(CONTROL!$C$14, $C$14, 100%, $E$14) + CHOOSE(CONTROL!$C$33, 0.0304, 0)</f>
        <v>75.735299999999995</v>
      </c>
      <c r="D958" s="4">
        <f>90.752 * CHOOSE(CONTROL!$C$14, $C$14, 100%, $E$14) + CHOOSE(CONTROL!$C$33, 0.0021, 0)</f>
        <v>90.754099999999994</v>
      </c>
      <c r="E958" s="4">
        <f>490.305183603931 * CHOOSE(CONTROL!$C$14, $C$14, 100%, $E$14) + CHOOSE(CONTROL!$C$33, 0.0021, 0)</f>
        <v>490.30728360393101</v>
      </c>
    </row>
    <row r="959" spans="1:5" ht="15">
      <c r="A959" s="11">
        <v>70310</v>
      </c>
      <c r="B959" s="4">
        <f>76.3064 * CHOOSE(CONTROL!$C$14, $C$14, 100%, $E$14) + CHOOSE(CONTROL!$C$33, 0.0304, 0)</f>
        <v>76.336799999999997</v>
      </c>
      <c r="C959" s="4">
        <f>75.9432 * CHOOSE(CONTROL!$C$14, $C$14, 100%, $E$14) + CHOOSE(CONTROL!$C$33, 0.0304, 0)</f>
        <v>75.973600000000005</v>
      </c>
      <c r="D959" s="4">
        <f>91.5725 * CHOOSE(CONTROL!$C$14, $C$14, 100%, $E$14) + CHOOSE(CONTROL!$C$33, 0.0021, 0)</f>
        <v>91.574600000000004</v>
      </c>
      <c r="E959" s="4">
        <f>491.856576005985 * CHOOSE(CONTROL!$C$14, $C$14, 100%, $E$14) + CHOOSE(CONTROL!$C$33, 0.0021, 0)</f>
        <v>491.85867600598499</v>
      </c>
    </row>
    <row r="960" spans="1:5" ht="15">
      <c r="A960" s="11">
        <v>70341</v>
      </c>
      <c r="B960" s="4">
        <f>76.2824 * CHOOSE(CONTROL!$C$14, $C$14, 100%, $E$14) + CHOOSE(CONTROL!$C$33, 0.0304, 0)</f>
        <v>76.312799999999996</v>
      </c>
      <c r="C960" s="4">
        <f>75.9191 * CHOOSE(CONTROL!$C$14, $C$14, 100%, $E$14) + CHOOSE(CONTROL!$C$33, 0.0304, 0)</f>
        <v>75.9495</v>
      </c>
      <c r="D960" s="4">
        <f>93.0529 * CHOOSE(CONTROL!$C$14, $C$14, 100%, $E$14) + CHOOSE(CONTROL!$C$33, 0.0021, 0)</f>
        <v>93.054999999999993</v>
      </c>
      <c r="E960" s="4">
        <f>491.700133074686 * CHOOSE(CONTROL!$C$14, $C$14, 100%, $E$14) + CHOOSE(CONTROL!$C$33, 0.0021, 0)</f>
        <v>491.70223307468598</v>
      </c>
    </row>
    <row r="961" spans="1:5" ht="15">
      <c r="A961" s="11">
        <v>70372</v>
      </c>
      <c r="B961" s="4">
        <f>78.0903 * CHOOSE(CONTROL!$C$14, $C$14, 100%, $E$14) + CHOOSE(CONTROL!$C$33, 0.0304, 0)</f>
        <v>78.120699999999999</v>
      </c>
      <c r="C961" s="4">
        <f>77.727 * CHOOSE(CONTROL!$C$14, $C$14, 100%, $E$14) + CHOOSE(CONTROL!$C$33, 0.0304, 0)</f>
        <v>77.757400000000004</v>
      </c>
      <c r="D961" s="4">
        <f>92.0752 * CHOOSE(CONTROL!$C$14, $C$14, 100%, $E$14) + CHOOSE(CONTROL!$C$33, 0.0021, 0)</f>
        <v>92.077299999999994</v>
      </c>
      <c r="E961" s="4">
        <f>503.472463654982 * CHOOSE(CONTROL!$C$14, $C$14, 100%, $E$14) + CHOOSE(CONTROL!$C$33, 0.0021, 0)</f>
        <v>503.47456365498198</v>
      </c>
    </row>
    <row r="962" spans="1:5" ht="15">
      <c r="A962" s="11">
        <v>70402</v>
      </c>
      <c r="B962" s="4">
        <f>75.0091 * CHOOSE(CONTROL!$C$14, $C$14, 100%, $E$14) + CHOOSE(CONTROL!$C$33, 0.0304, 0)</f>
        <v>75.039500000000004</v>
      </c>
      <c r="C962" s="4">
        <f>74.6458 * CHOOSE(CONTROL!$C$14, $C$14, 100%, $E$14) + CHOOSE(CONTROL!$C$33, 0.0304, 0)</f>
        <v>74.676199999999994</v>
      </c>
      <c r="D962" s="4">
        <f>91.6133 * CHOOSE(CONTROL!$C$14, $C$14, 100%, $E$14) + CHOOSE(CONTROL!$C$33, 0.0021, 0)</f>
        <v>91.615399999999994</v>
      </c>
      <c r="E962" s="4">
        <f>483.408657715806 * CHOOSE(CONTROL!$C$14, $C$14, 100%, $E$14) + CHOOSE(CONTROL!$C$33, 0.0021, 0)</f>
        <v>483.41075771580597</v>
      </c>
    </row>
    <row r="963" spans="1:5" ht="15">
      <c r="A963" s="11">
        <v>70433</v>
      </c>
      <c r="B963" s="4">
        <f>72.5426 * CHOOSE(CONTROL!$C$14, $C$14, 100%, $E$14) + CHOOSE(CONTROL!$C$33, 0.0272, 0)</f>
        <v>72.569799999999987</v>
      </c>
      <c r="C963" s="4">
        <f>72.1793 * CHOOSE(CONTROL!$C$14, $C$14, 100%, $E$14) + CHOOSE(CONTROL!$C$33, 0.0272, 0)</f>
        <v>72.206499999999991</v>
      </c>
      <c r="D963" s="4">
        <f>90.3765 * CHOOSE(CONTROL!$C$14, $C$14, 100%, $E$14) + CHOOSE(CONTROL!$C$33, 0.0021, 0)</f>
        <v>90.378599999999992</v>
      </c>
      <c r="E963" s="4">
        <f>467.347183435713 * CHOOSE(CONTROL!$C$14, $C$14, 100%, $E$14) + CHOOSE(CONTROL!$C$33, 0.0021, 0)</f>
        <v>467.34928343571301</v>
      </c>
    </row>
    <row r="964" spans="1:5" ht="15">
      <c r="A964" s="11">
        <v>70463</v>
      </c>
      <c r="B964" s="4">
        <f>70.954 * CHOOSE(CONTROL!$C$14, $C$14, 100%, $E$14) + CHOOSE(CONTROL!$C$33, 0.0272, 0)</f>
        <v>70.981199999999987</v>
      </c>
      <c r="C964" s="4">
        <f>70.5907 * CHOOSE(CONTROL!$C$14, $C$14, 100%, $E$14) + CHOOSE(CONTROL!$C$33, 0.0272, 0)</f>
        <v>70.617899999999992</v>
      </c>
      <c r="D964" s="4">
        <f>89.9512 * CHOOSE(CONTROL!$C$14, $C$14, 100%, $E$14) + CHOOSE(CONTROL!$C$33, 0.0021, 0)</f>
        <v>89.953299999999999</v>
      </c>
      <c r="E964" s="4">
        <f>457.002394603526 * CHOOSE(CONTROL!$C$14, $C$14, 100%, $E$14) + CHOOSE(CONTROL!$C$33, 0.0021, 0)</f>
        <v>457.00449460352598</v>
      </c>
    </row>
    <row r="965" spans="1:5" ht="15">
      <c r="A965" s="11">
        <v>70494</v>
      </c>
      <c r="B965" s="4">
        <f>69.8549 * CHOOSE(CONTROL!$C$14, $C$14, 100%, $E$14) + CHOOSE(CONTROL!$C$33, 0.0272, 0)</f>
        <v>69.882099999999994</v>
      </c>
      <c r="C965" s="4">
        <f>69.4916 * CHOOSE(CONTROL!$C$14, $C$14, 100%, $E$14) + CHOOSE(CONTROL!$C$33, 0.0272, 0)</f>
        <v>69.518799999999999</v>
      </c>
      <c r="D965" s="4">
        <f>86.8208 * CHOOSE(CONTROL!$C$14, $C$14, 100%, $E$14) + CHOOSE(CONTROL!$C$33, 0.0021, 0)</f>
        <v>86.822900000000004</v>
      </c>
      <c r="E965" s="4">
        <f>449.845130496568 * CHOOSE(CONTROL!$C$14, $C$14, 100%, $E$14) + CHOOSE(CONTROL!$C$33, 0.0021, 0)</f>
        <v>449.84723049656799</v>
      </c>
    </row>
    <row r="966" spans="1:5" ht="15">
      <c r="A966" s="11">
        <v>70525</v>
      </c>
      <c r="B966" s="4">
        <f>66.9741 * CHOOSE(CONTROL!$C$14, $C$14, 100%, $E$14) + CHOOSE(CONTROL!$C$33, 0.0272, 0)</f>
        <v>67.001300000000001</v>
      </c>
      <c r="C966" s="4">
        <f>66.6108 * CHOOSE(CONTROL!$C$14, $C$14, 100%, $E$14) + CHOOSE(CONTROL!$C$33, 0.0272, 0)</f>
        <v>66.637999999999991</v>
      </c>
      <c r="D966" s="4">
        <f>83.2166 * CHOOSE(CONTROL!$C$14, $C$14, 100%, $E$14) + CHOOSE(CONTROL!$C$33, 0.0021, 0)</f>
        <v>83.218699999999998</v>
      </c>
      <c r="E966" s="4">
        <f>431.10725290613 * CHOOSE(CONTROL!$C$14, $C$14, 100%, $E$14) + CHOOSE(CONTROL!$C$33, 0.0021, 0)</f>
        <v>431.10935290612997</v>
      </c>
    </row>
    <row r="967" spans="1:5" ht="15">
      <c r="A967" s="11">
        <v>70553</v>
      </c>
      <c r="B967" s="4">
        <f>68.546 * CHOOSE(CONTROL!$C$14, $C$14, 100%, $E$14) + CHOOSE(CONTROL!$C$33, 0.0272, 0)</f>
        <v>68.5732</v>
      </c>
      <c r="C967" s="4">
        <f>68.1827 * CHOOSE(CONTROL!$C$14, $C$14, 100%, $E$14) + CHOOSE(CONTROL!$C$33, 0.0272, 0)</f>
        <v>68.20989999999999</v>
      </c>
      <c r="D967" s="4">
        <f>86.0883 * CHOOSE(CONTROL!$C$14, $C$14, 100%, $E$14) + CHOOSE(CONTROL!$C$33, 0.0021, 0)</f>
        <v>86.090400000000002</v>
      </c>
      <c r="E967" s="4">
        <f>441.343438044765 * CHOOSE(CONTROL!$C$14, $C$14, 100%, $E$14) + CHOOSE(CONTROL!$C$33, 0.0021, 0)</f>
        <v>441.34553804476496</v>
      </c>
    </row>
    <row r="968" spans="1:5" ht="15">
      <c r="A968" s="11">
        <v>70584</v>
      </c>
      <c r="B968" s="4">
        <f>72.6738 * CHOOSE(CONTROL!$C$14, $C$14, 100%, $E$14) + CHOOSE(CONTROL!$C$33, 0.0272, 0)</f>
        <v>72.700999999999993</v>
      </c>
      <c r="C968" s="4">
        <f>72.3105 * CHOOSE(CONTROL!$C$14, $C$14, 100%, $E$14) + CHOOSE(CONTROL!$C$33, 0.0272, 0)</f>
        <v>72.337699999999998</v>
      </c>
      <c r="D968" s="4">
        <f>90.5837 * CHOOSE(CONTROL!$C$14, $C$14, 100%, $E$14) + CHOOSE(CONTROL!$C$33, 0.0021, 0)</f>
        <v>90.585799999999992</v>
      </c>
      <c r="E968" s="4">
        <f>468.224204202734 * CHOOSE(CONTROL!$C$14, $C$14, 100%, $E$14) + CHOOSE(CONTROL!$C$33, 0.0021, 0)</f>
        <v>468.22630420273396</v>
      </c>
    </row>
    <row r="969" spans="1:5" ht="15">
      <c r="A969" s="11">
        <v>70614</v>
      </c>
      <c r="B969" s="4">
        <f>75.6066 * CHOOSE(CONTROL!$C$14, $C$14, 100%, $E$14) + CHOOSE(CONTROL!$C$33, 0.0272, 0)</f>
        <v>75.633799999999994</v>
      </c>
      <c r="C969" s="4">
        <f>75.2433 * CHOOSE(CONTROL!$C$14, $C$14, 100%, $E$14) + CHOOSE(CONTROL!$C$33, 0.0272, 0)</f>
        <v>75.270499999999998</v>
      </c>
      <c r="D969" s="4">
        <f>93.1732 * CHOOSE(CONTROL!$C$14, $C$14, 100%, $E$14) + CHOOSE(CONTROL!$C$33, 0.0021, 0)</f>
        <v>93.175299999999993</v>
      </c>
      <c r="E969" s="4">
        <f>487.323346791281 * CHOOSE(CONTROL!$C$14, $C$14, 100%, $E$14) + CHOOSE(CONTROL!$C$33, 0.0021, 0)</f>
        <v>487.32544679128097</v>
      </c>
    </row>
    <row r="970" spans="1:5" ht="15">
      <c r="A970" s="11">
        <v>70645</v>
      </c>
      <c r="B970" s="4">
        <f>77.3985 * CHOOSE(CONTROL!$C$14, $C$14, 100%, $E$14) + CHOOSE(CONTROL!$C$33, 0.0304, 0)</f>
        <v>77.428899999999999</v>
      </c>
      <c r="C970" s="4">
        <f>77.0353 * CHOOSE(CONTROL!$C$14, $C$14, 100%, $E$14) + CHOOSE(CONTROL!$C$33, 0.0304, 0)</f>
        <v>77.065700000000007</v>
      </c>
      <c r="D970" s="4">
        <f>92.15 * CHOOSE(CONTROL!$C$14, $C$14, 100%, $E$14) + CHOOSE(CONTROL!$C$33, 0.0021, 0)</f>
        <v>92.152100000000004</v>
      </c>
      <c r="E970" s="4">
        <f>498.992465170321 * CHOOSE(CONTROL!$C$14, $C$14, 100%, $E$14) + CHOOSE(CONTROL!$C$33, 0.0021, 0)</f>
        <v>498.99456517032098</v>
      </c>
    </row>
    <row r="971" spans="1:5" ht="15">
      <c r="A971" s="11">
        <v>70675</v>
      </c>
      <c r="B971" s="4">
        <f>77.641 * CHOOSE(CONTROL!$C$14, $C$14, 100%, $E$14) + CHOOSE(CONTROL!$C$33, 0.0304, 0)</f>
        <v>77.671400000000006</v>
      </c>
      <c r="C971" s="4">
        <f>77.2777 * CHOOSE(CONTROL!$C$14, $C$14, 100%, $E$14) + CHOOSE(CONTROL!$C$33, 0.0304, 0)</f>
        <v>77.308099999999996</v>
      </c>
      <c r="D971" s="4">
        <f>92.9833 * CHOOSE(CONTROL!$C$14, $C$14, 100%, $E$14) + CHOOSE(CONTROL!$C$33, 0.0021, 0)</f>
        <v>92.985399999999998</v>
      </c>
      <c r="E971" s="4">
        <f>500.571345314841 * CHOOSE(CONTROL!$C$14, $C$14, 100%, $E$14) + CHOOSE(CONTROL!$C$33, 0.0021, 0)</f>
        <v>500.57344531484097</v>
      </c>
    </row>
    <row r="972" spans="1:5" ht="15">
      <c r="A972" s="11">
        <v>70706</v>
      </c>
      <c r="B972" s="4">
        <f>77.6165 * CHOOSE(CONTROL!$C$14, $C$14, 100%, $E$14) + CHOOSE(CONTROL!$C$33, 0.0304, 0)</f>
        <v>77.646900000000002</v>
      </c>
      <c r="C972" s="4">
        <f>77.2533 * CHOOSE(CONTROL!$C$14, $C$14, 100%, $E$14) + CHOOSE(CONTROL!$C$33, 0.0304, 0)</f>
        <v>77.283699999999996</v>
      </c>
      <c r="D972" s="4">
        <f>94.487 * CHOOSE(CONTROL!$C$14, $C$14, 100%, $E$14) + CHOOSE(CONTROL!$C$33, 0.0021, 0)</f>
        <v>94.489099999999993</v>
      </c>
      <c r="E972" s="4">
        <f>500.412130510352 * CHOOSE(CONTROL!$C$14, $C$14, 100%, $E$14) + CHOOSE(CONTROL!$C$33, 0.0021, 0)</f>
        <v>500.41423051035196</v>
      </c>
    </row>
    <row r="973" spans="1:5" ht="15">
      <c r="A973" s="11">
        <v>70737</v>
      </c>
      <c r="B973" s="4">
        <f>79.4563 * CHOOSE(CONTROL!$C$14, $C$14, 100%, $E$14) + CHOOSE(CONTROL!$C$33, 0.0304, 0)</f>
        <v>79.486699999999999</v>
      </c>
      <c r="C973" s="4">
        <f>79.093 * CHOOSE(CONTROL!$C$14, $C$14, 100%, $E$14) + CHOOSE(CONTROL!$C$33, 0.0304, 0)</f>
        <v>79.123400000000004</v>
      </c>
      <c r="D973" s="4">
        <f>93.4939 * CHOOSE(CONTROL!$C$14, $C$14, 100%, $E$14) + CHOOSE(CONTROL!$C$33, 0.0021, 0)</f>
        <v>93.495999999999995</v>
      </c>
      <c r="E973" s="4">
        <f>512.393044548183 * CHOOSE(CONTROL!$C$14, $C$14, 100%, $E$14) + CHOOSE(CONTROL!$C$33, 0.0021, 0)</f>
        <v>512.395144548183</v>
      </c>
    </row>
    <row r="974" spans="1:5" ht="15">
      <c r="A974" s="11">
        <v>70767</v>
      </c>
      <c r="B974" s="4">
        <f>76.3207 * CHOOSE(CONTROL!$C$14, $C$14, 100%, $E$14) + CHOOSE(CONTROL!$C$33, 0.0304, 0)</f>
        <v>76.351100000000002</v>
      </c>
      <c r="C974" s="4">
        <f>75.9575 * CHOOSE(CONTROL!$C$14, $C$14, 100%, $E$14) + CHOOSE(CONTROL!$C$33, 0.0304, 0)</f>
        <v>75.987899999999996</v>
      </c>
      <c r="D974" s="4">
        <f>93.0248 * CHOOSE(CONTROL!$C$14, $C$14, 100%, $E$14) + CHOOSE(CONTROL!$C$33, 0.0021, 0)</f>
        <v>93.026899999999998</v>
      </c>
      <c r="E974" s="4">
        <f>491.973745872411 * CHOOSE(CONTROL!$C$14, $C$14, 100%, $E$14) + CHOOSE(CONTROL!$C$33, 0.0021, 0)</f>
        <v>491.97584587241096</v>
      </c>
    </row>
    <row r="975" spans="1:5" ht="15">
      <c r="A975" s="11">
        <v>70798</v>
      </c>
      <c r="B975" s="4">
        <f>73.8107 * CHOOSE(CONTROL!$C$14, $C$14, 100%, $E$14) + CHOOSE(CONTROL!$C$33, 0.0272, 0)</f>
        <v>73.837899999999991</v>
      </c>
      <c r="C975" s="4">
        <f>73.4474 * CHOOSE(CONTROL!$C$14, $C$14, 100%, $E$14) + CHOOSE(CONTROL!$C$33, 0.0272, 0)</f>
        <v>73.474599999999995</v>
      </c>
      <c r="D975" s="4">
        <f>91.7685 * CHOOSE(CONTROL!$C$14, $C$14, 100%, $E$14) + CHOOSE(CONTROL!$C$33, 0.0021, 0)</f>
        <v>91.770600000000002</v>
      </c>
      <c r="E975" s="4">
        <f>475.627692611494 * CHOOSE(CONTROL!$C$14, $C$14, 100%, $E$14) + CHOOSE(CONTROL!$C$33, 0.0021, 0)</f>
        <v>475.629792611494</v>
      </c>
    </row>
    <row r="976" spans="1:5" ht="15">
      <c r="A976" s="11">
        <v>70828</v>
      </c>
      <c r="B976" s="4">
        <f>72.194 * CHOOSE(CONTROL!$C$14, $C$14, 100%, $E$14) + CHOOSE(CONTROL!$C$33, 0.0272, 0)</f>
        <v>72.221199999999996</v>
      </c>
      <c r="C976" s="4">
        <f>71.8307 * CHOOSE(CONTROL!$C$14, $C$14, 100%, $E$14) + CHOOSE(CONTROL!$C$33, 0.0272, 0)</f>
        <v>71.857899999999987</v>
      </c>
      <c r="D976" s="4">
        <f>91.3366 * CHOOSE(CONTROL!$C$14, $C$14, 100%, $E$14) + CHOOSE(CONTROL!$C$33, 0.0021, 0)</f>
        <v>91.338700000000003</v>
      </c>
      <c r="E976" s="4">
        <f>465.099613664629 * CHOOSE(CONTROL!$C$14, $C$14, 100%, $E$14) + CHOOSE(CONTROL!$C$33, 0.0021, 0)</f>
        <v>465.10171366462896</v>
      </c>
    </row>
    <row r="977" spans="1:5" ht="15">
      <c r="A977" s="11">
        <v>70859</v>
      </c>
      <c r="B977" s="4">
        <f>71.0754 * CHOOSE(CONTROL!$C$14, $C$14, 100%, $E$14) + CHOOSE(CONTROL!$C$33, 0.0272, 0)</f>
        <v>71.102599999999995</v>
      </c>
      <c r="C977" s="4">
        <f>70.7121 * CHOOSE(CONTROL!$C$14, $C$14, 100%, $E$14) + CHOOSE(CONTROL!$C$33, 0.0272, 0)</f>
        <v>70.7393</v>
      </c>
      <c r="D977" s="4">
        <f>88.1569 * CHOOSE(CONTROL!$C$14, $C$14, 100%, $E$14) + CHOOSE(CONTROL!$C$33, 0.0021, 0)</f>
        <v>88.158999999999992</v>
      </c>
      <c r="E977" s="4">
        <f>457.815536359236 * CHOOSE(CONTROL!$C$14, $C$14, 100%, $E$14) + CHOOSE(CONTROL!$C$33, 0.0021, 0)</f>
        <v>457.81763635923596</v>
      </c>
    </row>
    <row r="978" spans="1:5" ht="15">
      <c r="A978" s="11">
        <v>70890</v>
      </c>
      <c r="B978" s="4">
        <f>68.1438 * CHOOSE(CONTROL!$C$14, $C$14, 100%, $E$14) + CHOOSE(CONTROL!$C$33, 0.0272, 0)</f>
        <v>68.170999999999992</v>
      </c>
      <c r="C978" s="4">
        <f>67.7805 * CHOOSE(CONTROL!$C$14, $C$14, 100%, $E$14) + CHOOSE(CONTROL!$C$33, 0.0272, 0)</f>
        <v>67.807699999999997</v>
      </c>
      <c r="D978" s="4">
        <f>84.4961 * CHOOSE(CONTROL!$C$14, $C$14, 100%, $E$14) + CHOOSE(CONTROL!$C$33, 0.0021, 0)</f>
        <v>84.498199999999997</v>
      </c>
      <c r="E978" s="4">
        <f>438.74565897759 * CHOOSE(CONTROL!$C$14, $C$14, 100%, $E$14) + CHOOSE(CONTROL!$C$33, 0.0021, 0)</f>
        <v>438.74775897758997</v>
      </c>
    </row>
    <row r="979" spans="1:5" ht="15">
      <c r="A979" s="11">
        <v>70918</v>
      </c>
      <c r="B979" s="4">
        <f>69.7434 * CHOOSE(CONTROL!$C$14, $C$14, 100%, $E$14) + CHOOSE(CONTROL!$C$33, 0.0272, 0)</f>
        <v>69.770599999999988</v>
      </c>
      <c r="C979" s="4">
        <f>69.3801 * CHOOSE(CONTROL!$C$14, $C$14, 100%, $E$14) + CHOOSE(CONTROL!$C$33, 0.0272, 0)</f>
        <v>69.407299999999992</v>
      </c>
      <c r="D979" s="4">
        <f>87.4129 * CHOOSE(CONTROL!$C$14, $C$14, 100%, $E$14) + CHOOSE(CONTROL!$C$33, 0.0021, 0)</f>
        <v>87.414999999999992</v>
      </c>
      <c r="E979" s="4">
        <f>449.163209978628 * CHOOSE(CONTROL!$C$14, $C$14, 100%, $E$14) + CHOOSE(CONTROL!$C$33, 0.0021, 0)</f>
        <v>449.16530997862799</v>
      </c>
    </row>
    <row r="980" spans="1:5" ht="15">
      <c r="A980" s="11">
        <v>70949</v>
      </c>
      <c r="B980" s="4">
        <f>73.9441 * CHOOSE(CONTROL!$C$14, $C$14, 100%, $E$14) + CHOOSE(CONTROL!$C$33, 0.0272, 0)</f>
        <v>73.971299999999999</v>
      </c>
      <c r="C980" s="4">
        <f>73.5808 * CHOOSE(CONTROL!$C$14, $C$14, 100%, $E$14) + CHOOSE(CONTROL!$C$33, 0.0272, 0)</f>
        <v>73.60799999999999</v>
      </c>
      <c r="D980" s="4">
        <f>91.979 * CHOOSE(CONTROL!$C$14, $C$14, 100%, $E$14) + CHOOSE(CONTROL!$C$33, 0.0021, 0)</f>
        <v>91.981099999999998</v>
      </c>
      <c r="E980" s="4">
        <f>476.520252529635 * CHOOSE(CONTROL!$C$14, $C$14, 100%, $E$14) + CHOOSE(CONTROL!$C$33, 0.0021, 0)</f>
        <v>476.52235252963499</v>
      </c>
    </row>
    <row r="981" spans="1:5" ht="15">
      <c r="A981" s="11">
        <v>70979</v>
      </c>
      <c r="B981" s="4">
        <f>76.9288 * CHOOSE(CONTROL!$C$14, $C$14, 100%, $E$14) + CHOOSE(CONTROL!$C$33, 0.0272, 0)</f>
        <v>76.955999999999989</v>
      </c>
      <c r="C981" s="4">
        <f>76.5655 * CHOOSE(CONTROL!$C$14, $C$14, 100%, $E$14) + CHOOSE(CONTROL!$C$33, 0.0272, 0)</f>
        <v>76.592699999999994</v>
      </c>
      <c r="D981" s="4">
        <f>94.6092 * CHOOSE(CONTROL!$C$14, $C$14, 100%, $E$14) + CHOOSE(CONTROL!$C$33, 0.0021, 0)</f>
        <v>94.6113</v>
      </c>
      <c r="E981" s="4">
        <f>495.957795842653 * CHOOSE(CONTROL!$C$14, $C$14, 100%, $E$14) + CHOOSE(CONTROL!$C$33, 0.0021, 0)</f>
        <v>495.959895842653</v>
      </c>
    </row>
    <row r="982" spans="1:5" ht="15">
      <c r="A982" s="11">
        <v>71010</v>
      </c>
      <c r="B982" s="4">
        <f>78.7524 * CHOOSE(CONTROL!$C$14, $C$14, 100%, $E$14) + CHOOSE(CONTROL!$C$33, 0.0304, 0)</f>
        <v>78.782799999999995</v>
      </c>
      <c r="C982" s="4">
        <f>78.3891 * CHOOSE(CONTROL!$C$14, $C$14, 100%, $E$14) + CHOOSE(CONTROL!$C$33, 0.0304, 0)</f>
        <v>78.419499999999999</v>
      </c>
      <c r="D982" s="4">
        <f>93.5699 * CHOOSE(CONTROL!$C$14, $C$14, 100%, $E$14) + CHOOSE(CONTROL!$C$33, 0.0021, 0)</f>
        <v>93.572000000000003</v>
      </c>
      <c r="E982" s="4">
        <f>507.833668954011 * CHOOSE(CONTROL!$C$14, $C$14, 100%, $E$14) + CHOOSE(CONTROL!$C$33, 0.0021, 0)</f>
        <v>507.83576895401097</v>
      </c>
    </row>
    <row r="983" spans="1:5" ht="15">
      <c r="A983" s="11">
        <v>71040</v>
      </c>
      <c r="B983" s="4">
        <f>78.9991 * CHOOSE(CONTROL!$C$14, $C$14, 100%, $E$14) + CHOOSE(CONTROL!$C$33, 0.0304, 0)</f>
        <v>79.029499999999999</v>
      </c>
      <c r="C983" s="4">
        <f>78.6358 * CHOOSE(CONTROL!$C$14, $C$14, 100%, $E$14) + CHOOSE(CONTROL!$C$33, 0.0304, 0)</f>
        <v>78.666200000000003</v>
      </c>
      <c r="D983" s="4">
        <f>94.4163 * CHOOSE(CONTROL!$C$14, $C$14, 100%, $E$14) + CHOOSE(CONTROL!$C$33, 0.0021, 0)</f>
        <v>94.418400000000005</v>
      </c>
      <c r="E983" s="4">
        <f>509.440523871863 * CHOOSE(CONTROL!$C$14, $C$14, 100%, $E$14) + CHOOSE(CONTROL!$C$33, 0.0021, 0)</f>
        <v>509.44262387186296</v>
      </c>
    </row>
    <row r="984" spans="1:5" ht="15">
      <c r="A984" s="11">
        <v>71071</v>
      </c>
      <c r="B984" s="4">
        <f>78.9742 * CHOOSE(CONTROL!$C$14, $C$14, 100%, $E$14) + CHOOSE(CONTROL!$C$33, 0.0304, 0)</f>
        <v>79.004599999999996</v>
      </c>
      <c r="C984" s="4">
        <f>78.6109 * CHOOSE(CONTROL!$C$14, $C$14, 100%, $E$14) + CHOOSE(CONTROL!$C$33, 0.0304, 0)</f>
        <v>78.641300000000001</v>
      </c>
      <c r="D984" s="4">
        <f>95.9437 * CHOOSE(CONTROL!$C$14, $C$14, 100%, $E$14) + CHOOSE(CONTROL!$C$33, 0.0021, 0)</f>
        <v>95.945800000000006</v>
      </c>
      <c r="E984" s="4">
        <f>509.278488081828 * CHOOSE(CONTROL!$C$14, $C$14, 100%, $E$14) + CHOOSE(CONTROL!$C$33, 0.0021, 0)</f>
        <v>509.280588081828</v>
      </c>
    </row>
    <row r="985" spans="1:5" ht="15">
      <c r="A985" s="11">
        <v>71102</v>
      </c>
      <c r="B985" s="4">
        <f>80.8465 * CHOOSE(CONTROL!$C$14, $C$14, 100%, $E$14) + CHOOSE(CONTROL!$C$33, 0.0304, 0)</f>
        <v>80.876900000000006</v>
      </c>
      <c r="C985" s="4">
        <f>80.4832 * CHOOSE(CONTROL!$C$14, $C$14, 100%, $E$14) + CHOOSE(CONTROL!$C$33, 0.0304, 0)</f>
        <v>80.513599999999997</v>
      </c>
      <c r="D985" s="4">
        <f>94.935 * CHOOSE(CONTROL!$C$14, $C$14, 100%, $E$14) + CHOOSE(CONTROL!$C$33, 0.0021, 0)</f>
        <v>94.937100000000001</v>
      </c>
      <c r="E985" s="4">
        <f>521.471681282005 * CHOOSE(CONTROL!$C$14, $C$14, 100%, $E$14) + CHOOSE(CONTROL!$C$33, 0.0021, 0)</f>
        <v>521.47378128200501</v>
      </c>
    </row>
    <row r="986" spans="1:5" ht="15">
      <c r="A986" s="11">
        <v>71132</v>
      </c>
      <c r="B986" s="4">
        <f>77.6555 * CHOOSE(CONTROL!$C$14, $C$14, 100%, $E$14) + CHOOSE(CONTROL!$C$33, 0.0304, 0)</f>
        <v>77.685900000000004</v>
      </c>
      <c r="C986" s="4">
        <f>77.2923 * CHOOSE(CONTROL!$C$14, $C$14, 100%, $E$14) + CHOOSE(CONTROL!$C$33, 0.0304, 0)</f>
        <v>77.322699999999998</v>
      </c>
      <c r="D986" s="4">
        <f>94.4585 * CHOOSE(CONTROL!$C$14, $C$14, 100%, $E$14) + CHOOSE(CONTROL!$C$33, 0.0021, 0)</f>
        <v>94.460599999999999</v>
      </c>
      <c r="E986" s="4">
        <f>500.690591209942 * CHOOSE(CONTROL!$C$14, $C$14, 100%, $E$14) + CHOOSE(CONTROL!$C$33, 0.0021, 0)</f>
        <v>500.69269120994198</v>
      </c>
    </row>
    <row r="987" spans="1:5" ht="15">
      <c r="A987" s="11">
        <v>71163</v>
      </c>
      <c r="B987" s="4">
        <f>75.1011 * CHOOSE(CONTROL!$C$14, $C$14, 100%, $E$14) + CHOOSE(CONTROL!$C$33, 0.0272, 0)</f>
        <v>75.128299999999996</v>
      </c>
      <c r="C987" s="4">
        <f>74.7378 * CHOOSE(CONTROL!$C$14, $C$14, 100%, $E$14) + CHOOSE(CONTROL!$C$33, 0.0272, 0)</f>
        <v>74.764999999999986</v>
      </c>
      <c r="D987" s="4">
        <f>93.1824 * CHOOSE(CONTROL!$C$14, $C$14, 100%, $E$14) + CHOOSE(CONTROL!$C$33, 0.0021, 0)</f>
        <v>93.1845</v>
      </c>
      <c r="E987" s="4">
        <f>484.054916766289 * CHOOSE(CONTROL!$C$14, $C$14, 100%, $E$14) + CHOOSE(CONTROL!$C$33, 0.0021, 0)</f>
        <v>484.057016766289</v>
      </c>
    </row>
    <row r="988" spans="1:5" ht="15">
      <c r="A988" s="11">
        <v>71193</v>
      </c>
      <c r="B988" s="4">
        <f>73.4558 * CHOOSE(CONTROL!$C$14, $C$14, 100%, $E$14) + CHOOSE(CONTROL!$C$33, 0.0272, 0)</f>
        <v>73.48299999999999</v>
      </c>
      <c r="C988" s="4">
        <f>73.0926 * CHOOSE(CONTROL!$C$14, $C$14, 100%, $E$14) + CHOOSE(CONTROL!$C$33, 0.0272, 0)</f>
        <v>73.119799999999998</v>
      </c>
      <c r="D988" s="4">
        <f>92.7437 * CHOOSE(CONTROL!$C$14, $C$14, 100%, $E$14) + CHOOSE(CONTROL!$C$33, 0.0021, 0)</f>
        <v>92.745800000000003</v>
      </c>
      <c r="E988" s="4">
        <f>473.340300150186 * CHOOSE(CONTROL!$C$14, $C$14, 100%, $E$14) + CHOOSE(CONTROL!$C$33, 0.0021, 0)</f>
        <v>473.34240015018599</v>
      </c>
    </row>
    <row r="989" spans="1:5" ht="15">
      <c r="A989" s="11">
        <v>71224</v>
      </c>
      <c r="B989" s="4">
        <f>72.3175 * CHOOSE(CONTROL!$C$14, $C$14, 100%, $E$14) + CHOOSE(CONTROL!$C$33, 0.0272, 0)</f>
        <v>72.344699999999989</v>
      </c>
      <c r="C989" s="4">
        <f>71.9543 * CHOOSE(CONTROL!$C$14, $C$14, 100%, $E$14) + CHOOSE(CONTROL!$C$33, 0.0272, 0)</f>
        <v>71.981499999999997</v>
      </c>
      <c r="D989" s="4">
        <f>89.514 * CHOOSE(CONTROL!$C$14, $C$14, 100%, $E$14) + CHOOSE(CONTROL!$C$33, 0.0021, 0)</f>
        <v>89.516099999999994</v>
      </c>
      <c r="E989" s="4">
        <f>465.927162756059 * CHOOSE(CONTROL!$C$14, $C$14, 100%, $E$14) + CHOOSE(CONTROL!$C$33, 0.0021, 0)</f>
        <v>465.92926275605896</v>
      </c>
    </row>
    <row r="990" spans="1:5" ht="15">
      <c r="A990" s="11">
        <v>71255</v>
      </c>
      <c r="B990" s="4">
        <f>69.3341 * CHOOSE(CONTROL!$C$14, $C$14, 100%, $E$14) + CHOOSE(CONTROL!$C$33, 0.0272, 0)</f>
        <v>69.3613</v>
      </c>
      <c r="C990" s="4">
        <f>68.9708 * CHOOSE(CONTROL!$C$14, $C$14, 100%, $E$14) + CHOOSE(CONTROL!$C$33, 0.0272, 0)</f>
        <v>68.99799999999999</v>
      </c>
      <c r="D990" s="4">
        <f>85.7957 * CHOOSE(CONTROL!$C$14, $C$14, 100%, $E$14) + CHOOSE(CONTROL!$C$33, 0.0021, 0)</f>
        <v>85.797799999999995</v>
      </c>
      <c r="E990" s="4">
        <f>446.51940317412 * CHOOSE(CONTROL!$C$14, $C$14, 100%, $E$14) + CHOOSE(CONTROL!$C$33, 0.0021, 0)</f>
        <v>446.52150317411997</v>
      </c>
    </row>
    <row r="991" spans="1:5" ht="15">
      <c r="A991" s="11">
        <v>71283</v>
      </c>
      <c r="B991" s="4">
        <f>70.962 * CHOOSE(CONTROL!$C$14, $C$14, 100%, $E$14) + CHOOSE(CONTROL!$C$33, 0.0272, 0)</f>
        <v>70.989199999999997</v>
      </c>
      <c r="C991" s="4">
        <f>70.5987 * CHOOSE(CONTROL!$C$14, $C$14, 100%, $E$14) + CHOOSE(CONTROL!$C$33, 0.0272, 0)</f>
        <v>70.625899999999987</v>
      </c>
      <c r="D991" s="4">
        <f>88.7584 * CHOOSE(CONTROL!$C$14, $C$14, 100%, $E$14) + CHOOSE(CONTROL!$C$33, 0.0021, 0)</f>
        <v>88.760499999999993</v>
      </c>
      <c r="E991" s="4">
        <f>457.121533498005 * CHOOSE(CONTROL!$C$14, $C$14, 100%, $E$14) + CHOOSE(CONTROL!$C$33, 0.0021, 0)</f>
        <v>457.12363349800501</v>
      </c>
    </row>
    <row r="992" spans="1:5" ht="15">
      <c r="A992" s="11">
        <v>71314</v>
      </c>
      <c r="B992" s="4">
        <f>75.2369 * CHOOSE(CONTROL!$C$14, $C$14, 100%, $E$14) + CHOOSE(CONTROL!$C$33, 0.0272, 0)</f>
        <v>75.264099999999999</v>
      </c>
      <c r="C992" s="4">
        <f>74.8736 * CHOOSE(CONTROL!$C$14, $C$14, 100%, $E$14) + CHOOSE(CONTROL!$C$33, 0.0272, 0)</f>
        <v>74.90079999999999</v>
      </c>
      <c r="D992" s="4">
        <f>93.3963 * CHOOSE(CONTROL!$C$14, $C$14, 100%, $E$14) + CHOOSE(CONTROL!$C$33, 0.0021, 0)</f>
        <v>93.398399999999995</v>
      </c>
      <c r="E992" s="4">
        <f>484.963291159951 * CHOOSE(CONTROL!$C$14, $C$14, 100%, $E$14) + CHOOSE(CONTROL!$C$33, 0.0021, 0)</f>
        <v>484.96539115995097</v>
      </c>
    </row>
    <row r="993" spans="1:5" ht="15">
      <c r="A993" s="11">
        <v>71344</v>
      </c>
      <c r="B993" s="4">
        <f>78.2743 * CHOOSE(CONTROL!$C$14, $C$14, 100%, $E$14) + CHOOSE(CONTROL!$C$33, 0.0272, 0)</f>
        <v>78.30149999999999</v>
      </c>
      <c r="C993" s="4">
        <f>77.9111 * CHOOSE(CONTROL!$C$14, $C$14, 100%, $E$14) + CHOOSE(CONTROL!$C$33, 0.0272, 0)</f>
        <v>77.938299999999998</v>
      </c>
      <c r="D993" s="4">
        <f>96.0678 * CHOOSE(CONTROL!$C$14, $C$14, 100%, $E$14) + CHOOSE(CONTROL!$C$33, 0.0021, 0)</f>
        <v>96.069900000000004</v>
      </c>
      <c r="E993" s="4">
        <f>504.745231018969 * CHOOSE(CONTROL!$C$14, $C$14, 100%, $E$14) + CHOOSE(CONTROL!$C$33, 0.0021, 0)</f>
        <v>504.74733101896896</v>
      </c>
    </row>
    <row r="994" spans="1:5" ht="15">
      <c r="A994" s="11">
        <v>71375</v>
      </c>
      <c r="B994" s="4">
        <f>80.1301 * CHOOSE(CONTROL!$C$14, $C$14, 100%, $E$14) + CHOOSE(CONTROL!$C$33, 0.0304, 0)</f>
        <v>80.160499999999999</v>
      </c>
      <c r="C994" s="4">
        <f>79.7668 * CHOOSE(CONTROL!$C$14, $C$14, 100%, $E$14) + CHOOSE(CONTROL!$C$33, 0.0304, 0)</f>
        <v>79.797200000000004</v>
      </c>
      <c r="D994" s="4">
        <f>95.0122 * CHOOSE(CONTROL!$C$14, $C$14, 100%, $E$14) + CHOOSE(CONTROL!$C$33, 0.0021, 0)</f>
        <v>95.014300000000006</v>
      </c>
      <c r="E994" s="4">
        <f>516.831522165899 * CHOOSE(CONTROL!$C$14, $C$14, 100%, $E$14) + CHOOSE(CONTROL!$C$33, 0.0021, 0)</f>
        <v>516.83362216589899</v>
      </c>
    </row>
    <row r="995" spans="1:5" ht="15">
      <c r="A995" s="11">
        <v>71405</v>
      </c>
      <c r="B995" s="4">
        <f>80.3812 * CHOOSE(CONTROL!$C$14, $C$14, 100%, $E$14) + CHOOSE(CONTROL!$C$33, 0.0304, 0)</f>
        <v>80.411600000000007</v>
      </c>
      <c r="C995" s="4">
        <f>80.0179 * CHOOSE(CONTROL!$C$14, $C$14, 100%, $E$14) + CHOOSE(CONTROL!$C$33, 0.0304, 0)</f>
        <v>80.048299999999998</v>
      </c>
      <c r="D995" s="4">
        <f>95.8719 * CHOOSE(CONTROL!$C$14, $C$14, 100%, $E$14) + CHOOSE(CONTROL!$C$33, 0.0021, 0)</f>
        <v>95.873999999999995</v>
      </c>
      <c r="E995" s="4">
        <f>518.466847517218 * CHOOSE(CONTROL!$C$14, $C$14, 100%, $E$14) + CHOOSE(CONTROL!$C$33, 0.0021, 0)</f>
        <v>518.468947517218</v>
      </c>
    </row>
    <row r="996" spans="1:5" ht="15">
      <c r="A996" s="11">
        <v>71436</v>
      </c>
      <c r="B996" s="4">
        <f>80.3559 * CHOOSE(CONTROL!$C$14, $C$14, 100%, $E$14) + CHOOSE(CONTROL!$C$33, 0.0304, 0)</f>
        <v>80.386300000000006</v>
      </c>
      <c r="C996" s="4">
        <f>79.9926 * CHOOSE(CONTROL!$C$14, $C$14, 100%, $E$14) + CHOOSE(CONTROL!$C$33, 0.0304, 0)</f>
        <v>80.022999999999996</v>
      </c>
      <c r="D996" s="4">
        <f>97.4233 * CHOOSE(CONTROL!$C$14, $C$14, 100%, $E$14) + CHOOSE(CONTROL!$C$33, 0.0021, 0)</f>
        <v>97.425399999999996</v>
      </c>
      <c r="E996" s="4">
        <f>518.301940759102 * CHOOSE(CONTROL!$C$14, $C$14, 100%, $E$14) + CHOOSE(CONTROL!$C$33, 0.0021, 0)</f>
        <v>518.30404075910201</v>
      </c>
    </row>
    <row r="997" spans="1:5" ht="15">
      <c r="A997" s="11">
        <v>71467</v>
      </c>
      <c r="B997" s="4">
        <f>82.2613 * CHOOSE(CONTROL!$C$14, $C$14, 100%, $E$14) + CHOOSE(CONTROL!$C$33, 0.0304, 0)</f>
        <v>82.291700000000006</v>
      </c>
      <c r="C997" s="4">
        <f>81.898 * CHOOSE(CONTROL!$C$14, $C$14, 100%, $E$14) + CHOOSE(CONTROL!$C$33, 0.0304, 0)</f>
        <v>81.928399999999996</v>
      </c>
      <c r="D997" s="4">
        <f>96.3987 * CHOOSE(CONTROL!$C$14, $C$14, 100%, $E$14) + CHOOSE(CONTROL!$C$33, 0.0021, 0)</f>
        <v>96.400800000000004</v>
      </c>
      <c r="E997" s="4">
        <f>530.711174307343 * CHOOSE(CONTROL!$C$14, $C$14, 100%, $E$14) + CHOOSE(CONTROL!$C$33, 0.0021, 0)</f>
        <v>530.713274307343</v>
      </c>
    </row>
    <row r="998" spans="1:5" ht="15">
      <c r="A998" s="11">
        <v>71497</v>
      </c>
      <c r="B998" s="4">
        <f>79.0139 * CHOOSE(CONTROL!$C$14, $C$14, 100%, $E$14) + CHOOSE(CONTROL!$C$33, 0.0304, 0)</f>
        <v>79.044300000000007</v>
      </c>
      <c r="C998" s="4">
        <f>78.6506 * CHOOSE(CONTROL!$C$14, $C$14, 100%, $E$14) + CHOOSE(CONTROL!$C$33, 0.0304, 0)</f>
        <v>78.680999999999997</v>
      </c>
      <c r="D998" s="4">
        <f>95.9147 * CHOOSE(CONTROL!$C$14, $C$14, 100%, $E$14) + CHOOSE(CONTROL!$C$33, 0.0021, 0)</f>
        <v>95.916799999999995</v>
      </c>
      <c r="E998" s="4">
        <f>509.561882578945 * CHOOSE(CONTROL!$C$14, $C$14, 100%, $E$14) + CHOOSE(CONTROL!$C$33, 0.0021, 0)</f>
        <v>509.563982578945</v>
      </c>
    </row>
    <row r="999" spans="1:5" ht="15">
      <c r="A999" s="11">
        <v>71528</v>
      </c>
      <c r="B999" s="4">
        <f>76.4143 * CHOOSE(CONTROL!$C$14, $C$14, 100%, $E$14) + CHOOSE(CONTROL!$C$33, 0.0272, 0)</f>
        <v>76.441499999999991</v>
      </c>
      <c r="C999" s="4">
        <f>76.0511 * CHOOSE(CONTROL!$C$14, $C$14, 100%, $E$14) + CHOOSE(CONTROL!$C$33, 0.0272, 0)</f>
        <v>76.078299999999999</v>
      </c>
      <c r="D999" s="4">
        <f>94.6186 * CHOOSE(CONTROL!$C$14, $C$14, 100%, $E$14) + CHOOSE(CONTROL!$C$33, 0.0021, 0)</f>
        <v>94.620699999999999</v>
      </c>
      <c r="E999" s="4">
        <f>492.631455412352 * CHOOSE(CONTROL!$C$14, $C$14, 100%, $E$14) + CHOOSE(CONTROL!$C$33, 0.0021, 0)</f>
        <v>492.633555412352</v>
      </c>
    </row>
    <row r="1000" spans="1:5" ht="15">
      <c r="A1000" s="11">
        <v>71558</v>
      </c>
      <c r="B1000" s="4">
        <f>74.74 * CHOOSE(CONTROL!$C$14, $C$14, 100%, $E$14) + CHOOSE(CONTROL!$C$33, 0.0272, 0)</f>
        <v>74.767199999999988</v>
      </c>
      <c r="C1000" s="4">
        <f>74.3767 * CHOOSE(CONTROL!$C$14, $C$14, 100%, $E$14) + CHOOSE(CONTROL!$C$33, 0.0272, 0)</f>
        <v>74.403899999999993</v>
      </c>
      <c r="D1000" s="4">
        <f>94.173 * CHOOSE(CONTROL!$C$14, $C$14, 100%, $E$14) + CHOOSE(CONTROL!$C$33, 0.0021, 0)</f>
        <v>94.1751</v>
      </c>
      <c r="E1000" s="4">
        <f>481.726996031921 * CHOOSE(CONTROL!$C$14, $C$14, 100%, $E$14) + CHOOSE(CONTROL!$C$33, 0.0021, 0)</f>
        <v>481.72909603192096</v>
      </c>
    </row>
    <row r="1001" spans="1:5" ht="15">
      <c r="A1001" s="11">
        <v>71589</v>
      </c>
      <c r="B1001" s="4">
        <f>73.5816 * CHOOSE(CONTROL!$C$14, $C$14, 100%, $E$14) + CHOOSE(CONTROL!$C$33, 0.0272, 0)</f>
        <v>73.608799999999988</v>
      </c>
      <c r="C1001" s="4">
        <f>73.2183 * CHOOSE(CONTROL!$C$14, $C$14, 100%, $E$14) + CHOOSE(CONTROL!$C$33, 0.0272, 0)</f>
        <v>73.245499999999993</v>
      </c>
      <c r="D1001" s="4">
        <f>90.8925 * CHOOSE(CONTROL!$C$14, $C$14, 100%, $E$14) + CHOOSE(CONTROL!$C$33, 0.0021, 0)</f>
        <v>90.894599999999997</v>
      </c>
      <c r="E1001" s="4">
        <f>474.182511848107 * CHOOSE(CONTROL!$C$14, $C$14, 100%, $E$14) + CHOOSE(CONTROL!$C$33, 0.0021, 0)</f>
        <v>474.18461184810701</v>
      </c>
    </row>
    <row r="1002" spans="1:5" ht="15">
      <c r="A1002" s="11">
        <v>71620</v>
      </c>
      <c r="B1002" s="4">
        <f>70.5454 * CHOOSE(CONTROL!$C$14, $C$14, 100%, $E$14) + CHOOSE(CONTROL!$C$33, 0.0272, 0)</f>
        <v>70.572599999999994</v>
      </c>
      <c r="C1002" s="4">
        <f>70.1821 * CHOOSE(CONTROL!$C$14, $C$14, 100%, $E$14) + CHOOSE(CONTROL!$C$33, 0.0272, 0)</f>
        <v>70.209299999999999</v>
      </c>
      <c r="D1002" s="4">
        <f>87.1157 * CHOOSE(CONTROL!$C$14, $C$14, 100%, $E$14) + CHOOSE(CONTROL!$C$33, 0.0021, 0)</f>
        <v>87.117800000000003</v>
      </c>
      <c r="E1002" s="4">
        <f>454.430883431615 * CHOOSE(CONTROL!$C$14, $C$14, 100%, $E$14) + CHOOSE(CONTROL!$C$33, 0.0021, 0)</f>
        <v>454.43298343161496</v>
      </c>
    </row>
    <row r="1003" spans="1:5" ht="15">
      <c r="A1003" s="11">
        <v>71649</v>
      </c>
      <c r="B1003" s="4">
        <f>72.2021 * CHOOSE(CONTROL!$C$14, $C$14, 100%, $E$14) + CHOOSE(CONTROL!$C$33, 0.0272, 0)</f>
        <v>72.229299999999995</v>
      </c>
      <c r="C1003" s="4">
        <f>71.8388 * CHOOSE(CONTROL!$C$14, $C$14, 100%, $E$14) + CHOOSE(CONTROL!$C$33, 0.0272, 0)</f>
        <v>71.866</v>
      </c>
      <c r="D1003" s="4">
        <f>90.125 * CHOOSE(CONTROL!$C$14, $C$14, 100%, $E$14) + CHOOSE(CONTROL!$C$33, 0.0021, 0)</f>
        <v>90.127099999999999</v>
      </c>
      <c r="E1003" s="4">
        <f>465.220863475241 * CHOOSE(CONTROL!$C$14, $C$14, 100%, $E$14) + CHOOSE(CONTROL!$C$33, 0.0021, 0)</f>
        <v>465.22296347524099</v>
      </c>
    </row>
    <row r="1004" spans="1:5" ht="15">
      <c r="A1004" s="11">
        <v>71680</v>
      </c>
      <c r="B1004" s="4">
        <f>76.5526 * CHOOSE(CONTROL!$C$14, $C$14, 100%, $E$14) + CHOOSE(CONTROL!$C$33, 0.0272, 0)</f>
        <v>76.579799999999992</v>
      </c>
      <c r="C1004" s="4">
        <f>76.1893 * CHOOSE(CONTROL!$C$14, $C$14, 100%, $E$14) + CHOOSE(CONTROL!$C$33, 0.0272, 0)</f>
        <v>76.216499999999996</v>
      </c>
      <c r="D1004" s="4">
        <f>94.8358 * CHOOSE(CONTROL!$C$14, $C$14, 100%, $E$14) + CHOOSE(CONTROL!$C$33, 0.0021, 0)</f>
        <v>94.837900000000005</v>
      </c>
      <c r="E1004" s="4">
        <f>493.555924484164 * CHOOSE(CONTROL!$C$14, $C$14, 100%, $E$14) + CHOOSE(CONTROL!$C$33, 0.0021, 0)</f>
        <v>493.55802448416398</v>
      </c>
    </row>
    <row r="1005" spans="1:5" ht="15">
      <c r="A1005" s="11">
        <v>71710</v>
      </c>
      <c r="B1005" s="4">
        <f>79.6436 * CHOOSE(CONTROL!$C$14, $C$14, 100%, $E$14) + CHOOSE(CONTROL!$C$33, 0.0272, 0)</f>
        <v>79.6708</v>
      </c>
      <c r="C1005" s="4">
        <f>79.2804 * CHOOSE(CONTROL!$C$14, $C$14, 100%, $E$14) + CHOOSE(CONTROL!$C$33, 0.0272, 0)</f>
        <v>79.307599999999994</v>
      </c>
      <c r="D1005" s="4">
        <f>97.5494 * CHOOSE(CONTROL!$C$14, $C$14, 100%, $E$14) + CHOOSE(CONTROL!$C$33, 0.0021, 0)</f>
        <v>97.551500000000004</v>
      </c>
      <c r="E1005" s="4">
        <f>513.688362945342 * CHOOSE(CONTROL!$C$14, $C$14, 100%, $E$14) + CHOOSE(CONTROL!$C$33, 0.0021, 0)</f>
        <v>513.69046294534201</v>
      </c>
    </row>
    <row r="1006" spans="1:5" ht="15">
      <c r="A1006" s="11">
        <v>71741</v>
      </c>
      <c r="B1006" s="4">
        <f>81.5322 * CHOOSE(CONTROL!$C$14, $C$14, 100%, $E$14) + CHOOSE(CONTROL!$C$33, 0.0304, 0)</f>
        <v>81.562600000000003</v>
      </c>
      <c r="C1006" s="4">
        <f>81.1689 * CHOOSE(CONTROL!$C$14, $C$14, 100%, $E$14) + CHOOSE(CONTROL!$C$33, 0.0304, 0)</f>
        <v>81.199299999999994</v>
      </c>
      <c r="D1006" s="4">
        <f>96.4771 * CHOOSE(CONTROL!$C$14, $C$14, 100%, $E$14) + CHOOSE(CONTROL!$C$33, 0.0021, 0)</f>
        <v>96.479199999999992</v>
      </c>
      <c r="E1006" s="4">
        <f>525.988800337912 * CHOOSE(CONTROL!$C$14, $C$14, 100%, $E$14) + CHOOSE(CONTROL!$C$33, 0.0021, 0)</f>
        <v>525.99090033791208</v>
      </c>
    </row>
    <row r="1007" spans="1:5" ht="15">
      <c r="A1007" s="11">
        <v>71771</v>
      </c>
      <c r="B1007" s="4">
        <f>81.7878 * CHOOSE(CONTROL!$C$14, $C$14, 100%, $E$14) + CHOOSE(CONTROL!$C$33, 0.0304, 0)</f>
        <v>81.818200000000004</v>
      </c>
      <c r="C1007" s="4">
        <f>81.4245 * CHOOSE(CONTROL!$C$14, $C$14, 100%, $E$14) + CHOOSE(CONTROL!$C$33, 0.0304, 0)</f>
        <v>81.454899999999995</v>
      </c>
      <c r="D1007" s="4">
        <f>97.3504 * CHOOSE(CONTROL!$C$14, $C$14, 100%, $E$14) + CHOOSE(CONTROL!$C$33, 0.0021, 0)</f>
        <v>97.352499999999992</v>
      </c>
      <c r="E1007" s="4">
        <f>527.653100564991 * CHOOSE(CONTROL!$C$14, $C$14, 100%, $E$14) + CHOOSE(CONTROL!$C$33, 0.0021, 0)</f>
        <v>527.65520056499099</v>
      </c>
    </row>
    <row r="1008" spans="1:5" ht="15">
      <c r="A1008" s="11">
        <v>71802</v>
      </c>
      <c r="B1008" s="4">
        <f>81.762 * CHOOSE(CONTROL!$C$14, $C$14, 100%, $E$14) + CHOOSE(CONTROL!$C$33, 0.0304, 0)</f>
        <v>81.792400000000001</v>
      </c>
      <c r="C1008" s="4">
        <f>81.3987 * CHOOSE(CONTROL!$C$14, $C$14, 100%, $E$14) + CHOOSE(CONTROL!$C$33, 0.0304, 0)</f>
        <v>81.429100000000005</v>
      </c>
      <c r="D1008" s="4">
        <f>98.9261 * CHOOSE(CONTROL!$C$14, $C$14, 100%, $E$14) + CHOOSE(CONTROL!$C$33, 0.0021, 0)</f>
        <v>98.928200000000004</v>
      </c>
      <c r="E1008" s="4">
        <f>527.485271970664 * CHOOSE(CONTROL!$C$14, $C$14, 100%, $E$14) + CHOOSE(CONTROL!$C$33, 0.0021, 0)</f>
        <v>527.48737197066407</v>
      </c>
    </row>
    <row r="1009" spans="1:5" ht="15">
      <c r="A1009" s="11">
        <v>71833</v>
      </c>
      <c r="B1009" s="4">
        <f>83.701 * CHOOSE(CONTROL!$C$14, $C$14, 100%, $E$14) + CHOOSE(CONTROL!$C$33, 0.0304, 0)</f>
        <v>83.731399999999994</v>
      </c>
      <c r="C1009" s="4">
        <f>83.3377 * CHOOSE(CONTROL!$C$14, $C$14, 100%, $E$14) + CHOOSE(CONTROL!$C$33, 0.0304, 0)</f>
        <v>83.368099999999998</v>
      </c>
      <c r="D1009" s="4">
        <f>97.8855 * CHOOSE(CONTROL!$C$14, $C$14, 100%, $E$14) + CHOOSE(CONTROL!$C$33, 0.0021, 0)</f>
        <v>97.887599999999992</v>
      </c>
      <c r="E1009" s="4">
        <f>540.114373693792 * CHOOSE(CONTROL!$C$14, $C$14, 100%, $E$14) + CHOOSE(CONTROL!$C$33, 0.0021, 0)</f>
        <v>540.11647369379205</v>
      </c>
    </row>
    <row r="1010" spans="1:5" ht="15">
      <c r="A1010" s="11">
        <v>71863</v>
      </c>
      <c r="B1010" s="4">
        <f>80.3963 * CHOOSE(CONTROL!$C$14, $C$14, 100%, $E$14) + CHOOSE(CONTROL!$C$33, 0.0304, 0)</f>
        <v>80.426699999999997</v>
      </c>
      <c r="C1010" s="4">
        <f>80.033 * CHOOSE(CONTROL!$C$14, $C$14, 100%, $E$14) + CHOOSE(CONTROL!$C$33, 0.0304, 0)</f>
        <v>80.063400000000001</v>
      </c>
      <c r="D1010" s="4">
        <f>97.3938 * CHOOSE(CONTROL!$C$14, $C$14, 100%, $E$14) + CHOOSE(CONTROL!$C$33, 0.0021, 0)</f>
        <v>97.395899999999997</v>
      </c>
      <c r="E1010" s="4">
        <f>518.590356471318 * CHOOSE(CONTROL!$C$14, $C$14, 100%, $E$14) + CHOOSE(CONTROL!$C$33, 0.0021, 0)</f>
        <v>518.59245647131809</v>
      </c>
    </row>
    <row r="1011" spans="1:5" ht="15">
      <c r="A1011" s="11">
        <v>71894</v>
      </c>
      <c r="B1011" s="4">
        <f>77.7508 * CHOOSE(CONTROL!$C$14, $C$14, 100%, $E$14) + CHOOSE(CONTROL!$C$33, 0.0272, 0)</f>
        <v>77.777999999999992</v>
      </c>
      <c r="C1011" s="4">
        <f>77.3875 * CHOOSE(CONTROL!$C$14, $C$14, 100%, $E$14) + CHOOSE(CONTROL!$C$33, 0.0272, 0)</f>
        <v>77.414699999999996</v>
      </c>
      <c r="D1011" s="4">
        <f>96.0774 * CHOOSE(CONTROL!$C$14, $C$14, 100%, $E$14) + CHOOSE(CONTROL!$C$33, 0.0021, 0)</f>
        <v>96.079499999999996</v>
      </c>
      <c r="E1011" s="4">
        <f>501.359954120383 * CHOOSE(CONTROL!$C$14, $C$14, 100%, $E$14) + CHOOSE(CONTROL!$C$33, 0.0021, 0)</f>
        <v>501.36205412038299</v>
      </c>
    </row>
    <row r="1012" spans="1:5" ht="15">
      <c r="A1012" s="11">
        <v>71924</v>
      </c>
      <c r="B1012" s="4">
        <f>76.0469 * CHOOSE(CONTROL!$C$14, $C$14, 100%, $E$14) + CHOOSE(CONTROL!$C$33, 0.0272, 0)</f>
        <v>76.074099999999987</v>
      </c>
      <c r="C1012" s="4">
        <f>75.6836 * CHOOSE(CONTROL!$C$14, $C$14, 100%, $E$14) + CHOOSE(CONTROL!$C$33, 0.0272, 0)</f>
        <v>75.710799999999992</v>
      </c>
      <c r="D1012" s="4">
        <f>95.6248 * CHOOSE(CONTROL!$C$14, $C$14, 100%, $E$14) + CHOOSE(CONTROL!$C$33, 0.0021, 0)</f>
        <v>95.626899999999992</v>
      </c>
      <c r="E1012" s="4">
        <f>490.262288320491 * CHOOSE(CONTROL!$C$14, $C$14, 100%, $E$14) + CHOOSE(CONTROL!$C$33, 0.0021, 0)</f>
        <v>490.26438832049098</v>
      </c>
    </row>
    <row r="1013" spans="1:5" ht="15">
      <c r="A1013" s="11">
        <v>71955</v>
      </c>
      <c r="B1013" s="4">
        <f>74.868 * CHOOSE(CONTROL!$C$14, $C$14, 100%, $E$14) + CHOOSE(CONTROL!$C$33, 0.0272, 0)</f>
        <v>74.895199999999988</v>
      </c>
      <c r="C1013" s="4">
        <f>74.5047 * CHOOSE(CONTROL!$C$14, $C$14, 100%, $E$14) + CHOOSE(CONTROL!$C$33, 0.0272, 0)</f>
        <v>74.531899999999993</v>
      </c>
      <c r="D1013" s="4">
        <f>92.2927 * CHOOSE(CONTROL!$C$14, $C$14, 100%, $E$14) + CHOOSE(CONTROL!$C$33, 0.0021, 0)</f>
        <v>92.294799999999995</v>
      </c>
      <c r="E1013" s="4">
        <f>482.584130130018 * CHOOSE(CONTROL!$C$14, $C$14, 100%, $E$14) + CHOOSE(CONTROL!$C$33, 0.0021, 0)</f>
        <v>482.58623013001801</v>
      </c>
    </row>
    <row r="1014" spans="1:5" ht="15">
      <c r="A1014" s="11">
        <v>71986</v>
      </c>
      <c r="B1014" s="4">
        <f>71.7782 * CHOOSE(CONTROL!$C$14, $C$14, 100%, $E$14) + CHOOSE(CONTROL!$C$33, 0.0272, 0)</f>
        <v>71.805399999999992</v>
      </c>
      <c r="C1014" s="4">
        <f>71.4149 * CHOOSE(CONTROL!$C$14, $C$14, 100%, $E$14) + CHOOSE(CONTROL!$C$33, 0.0272, 0)</f>
        <v>71.442099999999996</v>
      </c>
      <c r="D1014" s="4">
        <f>88.4564 * CHOOSE(CONTROL!$C$14, $C$14, 100%, $E$14) + CHOOSE(CONTROL!$C$33, 0.0021, 0)</f>
        <v>88.458500000000001</v>
      </c>
      <c r="E1014" s="4">
        <f>462.482540172864 * CHOOSE(CONTROL!$C$14, $C$14, 100%, $E$14) + CHOOSE(CONTROL!$C$33, 0.0021, 0)</f>
        <v>462.48464017286398</v>
      </c>
    </row>
    <row r="1015" spans="1:5" ht="15">
      <c r="A1015" s="11">
        <v>72014</v>
      </c>
      <c r="B1015" s="4">
        <f>73.4641 * CHOOSE(CONTROL!$C$14, $C$14, 100%, $E$14) + CHOOSE(CONTROL!$C$33, 0.0272, 0)</f>
        <v>73.491299999999995</v>
      </c>
      <c r="C1015" s="4">
        <f>73.1008 * CHOOSE(CONTROL!$C$14, $C$14, 100%, $E$14) + CHOOSE(CONTROL!$C$33, 0.0272, 0)</f>
        <v>73.128</v>
      </c>
      <c r="D1015" s="4">
        <f>91.513 * CHOOSE(CONTROL!$C$14, $C$14, 100%, $E$14) + CHOOSE(CONTROL!$C$33, 0.0021, 0)</f>
        <v>91.515100000000004</v>
      </c>
      <c r="E1015" s="4">
        <f>473.463698278377 * CHOOSE(CONTROL!$C$14, $C$14, 100%, $E$14) + CHOOSE(CONTROL!$C$33, 0.0021, 0)</f>
        <v>473.46579827837701</v>
      </c>
    </row>
    <row r="1016" spans="1:5" ht="15">
      <c r="A1016" s="11">
        <v>72045</v>
      </c>
      <c r="B1016" s="4">
        <f>77.8915 * CHOOSE(CONTROL!$C$14, $C$14, 100%, $E$14) + CHOOSE(CONTROL!$C$33, 0.0272, 0)</f>
        <v>77.918699999999987</v>
      </c>
      <c r="C1016" s="4">
        <f>77.5282 * CHOOSE(CONTROL!$C$14, $C$14, 100%, $E$14) + CHOOSE(CONTROL!$C$33, 0.0272, 0)</f>
        <v>77.555399999999992</v>
      </c>
      <c r="D1016" s="4">
        <f>96.298 * CHOOSE(CONTROL!$C$14, $C$14, 100%, $E$14) + CHOOSE(CONTROL!$C$33, 0.0021, 0)</f>
        <v>96.3001</v>
      </c>
      <c r="E1016" s="4">
        <f>502.300803037636 * CHOOSE(CONTROL!$C$14, $C$14, 100%, $E$14) + CHOOSE(CONTROL!$C$33, 0.0021, 0)</f>
        <v>502.30290303763599</v>
      </c>
    </row>
    <row r="1017" spans="1:5" ht="15">
      <c r="A1017" s="11">
        <v>72075</v>
      </c>
      <c r="B1017" s="4">
        <f>81.0371 * CHOOSE(CONTROL!$C$14, $C$14, 100%, $E$14) + CHOOSE(CONTROL!$C$33, 0.0272, 0)</f>
        <v>81.064299999999989</v>
      </c>
      <c r="C1017" s="4">
        <f>80.6739 * CHOOSE(CONTROL!$C$14, $C$14, 100%, $E$14) + CHOOSE(CONTROL!$C$33, 0.0272, 0)</f>
        <v>80.701099999999997</v>
      </c>
      <c r="D1017" s="4">
        <f>99.0542 * CHOOSE(CONTROL!$C$14, $C$14, 100%, $E$14) + CHOOSE(CONTROL!$C$33, 0.0021, 0)</f>
        <v>99.056299999999993</v>
      </c>
      <c r="E1017" s="4">
        <f>522.789950274039 * CHOOSE(CONTROL!$C$14, $C$14, 100%, $E$14) + CHOOSE(CONTROL!$C$33, 0.0021, 0)</f>
        <v>522.79205027403907</v>
      </c>
    </row>
    <row r="1018" spans="1:5" ht="15">
      <c r="A1018" s="11">
        <v>72106</v>
      </c>
      <c r="B1018" s="4">
        <f>82.9591 * CHOOSE(CONTROL!$C$14, $C$14, 100%, $E$14) + CHOOSE(CONTROL!$C$33, 0.0304, 0)</f>
        <v>82.989500000000007</v>
      </c>
      <c r="C1018" s="4">
        <f>82.5958 * CHOOSE(CONTROL!$C$14, $C$14, 100%, $E$14) + CHOOSE(CONTROL!$C$33, 0.0304, 0)</f>
        <v>82.626199999999997</v>
      </c>
      <c r="D1018" s="4">
        <f>97.9651 * CHOOSE(CONTROL!$C$14, $C$14, 100%, $E$14) + CHOOSE(CONTROL!$C$33, 0.0021, 0)</f>
        <v>97.967200000000005</v>
      </c>
      <c r="E1018" s="4">
        <f>535.308328179157 * CHOOSE(CONTROL!$C$14, $C$14, 100%, $E$14) + CHOOSE(CONTROL!$C$33, 0.0021, 0)</f>
        <v>535.31042817915704</v>
      </c>
    </row>
    <row r="1019" spans="1:5" ht="15">
      <c r="A1019" s="11">
        <v>72136</v>
      </c>
      <c r="B1019" s="4">
        <f>83.2191 * CHOOSE(CONTROL!$C$14, $C$14, 100%, $E$14) + CHOOSE(CONTROL!$C$33, 0.0304, 0)</f>
        <v>83.249499999999998</v>
      </c>
      <c r="C1019" s="4">
        <f>82.8559 * CHOOSE(CONTROL!$C$14, $C$14, 100%, $E$14) + CHOOSE(CONTROL!$C$33, 0.0304, 0)</f>
        <v>82.886300000000006</v>
      </c>
      <c r="D1019" s="4">
        <f>98.8521 * CHOOSE(CONTROL!$C$14, $C$14, 100%, $E$14) + CHOOSE(CONTROL!$C$33, 0.0021, 0)</f>
        <v>98.854199999999992</v>
      </c>
      <c r="E1019" s="4">
        <f>537.002116662055 * CHOOSE(CONTROL!$C$14, $C$14, 100%, $E$14) + CHOOSE(CONTROL!$C$33, 0.0021, 0)</f>
        <v>537.004216662055</v>
      </c>
    </row>
    <row r="1020" spans="1:5" ht="15">
      <c r="A1020" s="11">
        <v>72167</v>
      </c>
      <c r="B1020" s="4">
        <f>83.1929 * CHOOSE(CONTROL!$C$14, $C$14, 100%, $E$14) + CHOOSE(CONTROL!$C$33, 0.0304, 0)</f>
        <v>83.223299999999995</v>
      </c>
      <c r="C1020" s="4">
        <f>82.8296 * CHOOSE(CONTROL!$C$14, $C$14, 100%, $E$14) + CHOOSE(CONTROL!$C$33, 0.0304, 0)</f>
        <v>82.86</v>
      </c>
      <c r="D1020" s="4">
        <f>100.4526 * CHOOSE(CONTROL!$C$14, $C$14, 100%, $E$14) + CHOOSE(CONTROL!$C$33, 0.0021, 0)</f>
        <v>100.4547</v>
      </c>
      <c r="E1020" s="4">
        <f>536.831314462099 * CHOOSE(CONTROL!$C$14, $C$14, 100%, $E$14) + CHOOSE(CONTROL!$C$33, 0.0021, 0)</f>
        <v>536.83341446209909</v>
      </c>
    </row>
    <row r="1021" spans="1:5" ht="15">
      <c r="A1021" s="11">
        <v>72198</v>
      </c>
      <c r="B1021" s="4">
        <f>85.1662 * CHOOSE(CONTROL!$C$14, $C$14, 100%, $E$14) + CHOOSE(CONTROL!$C$33, 0.0304, 0)</f>
        <v>85.196600000000004</v>
      </c>
      <c r="C1021" s="4">
        <f>84.8029 * CHOOSE(CONTROL!$C$14, $C$14, 100%, $E$14) + CHOOSE(CONTROL!$C$33, 0.0304, 0)</f>
        <v>84.833299999999994</v>
      </c>
      <c r="D1021" s="4">
        <f>99.3956 * CHOOSE(CONTROL!$C$14, $C$14, 100%, $E$14) + CHOOSE(CONTROL!$C$33, 0.0021, 0)</f>
        <v>99.3977</v>
      </c>
      <c r="E1021" s="4">
        <f>549.684180008797 * CHOOSE(CONTROL!$C$14, $C$14, 100%, $E$14) + CHOOSE(CONTROL!$C$33, 0.0021, 0)</f>
        <v>549.6862800087971</v>
      </c>
    </row>
    <row r="1022" spans="1:5" ht="15">
      <c r="A1022" s="11">
        <v>72228</v>
      </c>
      <c r="B1022" s="4">
        <f>81.8031 * CHOOSE(CONTROL!$C$14, $C$14, 100%, $E$14) + CHOOSE(CONTROL!$C$33, 0.0304, 0)</f>
        <v>81.833500000000001</v>
      </c>
      <c r="C1022" s="4">
        <f>81.4398 * CHOOSE(CONTROL!$C$14, $C$14, 100%, $E$14) + CHOOSE(CONTROL!$C$33, 0.0304, 0)</f>
        <v>81.470200000000006</v>
      </c>
      <c r="D1022" s="4">
        <f>98.8962 * CHOOSE(CONTROL!$C$14, $C$14, 100%, $E$14) + CHOOSE(CONTROL!$C$33, 0.0021, 0)</f>
        <v>98.898299999999992</v>
      </c>
      <c r="E1022" s="4">
        <f>527.778797864424 * CHOOSE(CONTROL!$C$14, $C$14, 100%, $E$14) + CHOOSE(CONTROL!$C$33, 0.0021, 0)</f>
        <v>527.78089786442399</v>
      </c>
    </row>
    <row r="1023" spans="1:5" ht="15">
      <c r="A1023" s="11">
        <v>72259</v>
      </c>
      <c r="B1023" s="4">
        <f>79.1108 * CHOOSE(CONTROL!$C$14, $C$14, 100%, $E$14) + CHOOSE(CONTROL!$C$33, 0.0272, 0)</f>
        <v>79.137999999999991</v>
      </c>
      <c r="C1023" s="4">
        <f>78.7476 * CHOOSE(CONTROL!$C$14, $C$14, 100%, $E$14) + CHOOSE(CONTROL!$C$33, 0.0272, 0)</f>
        <v>78.774799999999999</v>
      </c>
      <c r="D1023" s="4">
        <f>97.559 * CHOOSE(CONTROL!$C$14, $C$14, 100%, $E$14) + CHOOSE(CONTROL!$C$33, 0.0021, 0)</f>
        <v>97.561099999999996</v>
      </c>
      <c r="E1023" s="4">
        <f>510.243105335595 * CHOOSE(CONTROL!$C$14, $C$14, 100%, $E$14) + CHOOSE(CONTROL!$C$33, 0.0021, 0)</f>
        <v>510.24520533559496</v>
      </c>
    </row>
    <row r="1024" spans="1:5" ht="15">
      <c r="A1024" s="11">
        <v>72289</v>
      </c>
      <c r="B1024" s="4">
        <f>77.3768 * CHOOSE(CONTROL!$C$14, $C$14, 100%, $E$14) + CHOOSE(CONTROL!$C$33, 0.0272, 0)</f>
        <v>77.403999999999996</v>
      </c>
      <c r="C1024" s="4">
        <f>77.0135 * CHOOSE(CONTROL!$C$14, $C$14, 100%, $E$14) + CHOOSE(CONTROL!$C$33, 0.0272, 0)</f>
        <v>77.040699999999987</v>
      </c>
      <c r="D1024" s="4">
        <f>97.0993 * CHOOSE(CONTROL!$C$14, $C$14, 100%, $E$14) + CHOOSE(CONTROL!$C$33, 0.0021, 0)</f>
        <v>97.101399999999998</v>
      </c>
      <c r="E1024" s="4">
        <f>498.948809863497 * CHOOSE(CONTROL!$C$14, $C$14, 100%, $E$14) + CHOOSE(CONTROL!$C$33, 0.0021, 0)</f>
        <v>498.95090986349697</v>
      </c>
    </row>
    <row r="1025" spans="1:5" ht="15">
      <c r="A1025" s="11">
        <v>72320</v>
      </c>
      <c r="B1025" s="4">
        <f>76.1771 * CHOOSE(CONTROL!$C$14, $C$14, 100%, $E$14) + CHOOSE(CONTROL!$C$33, 0.0272, 0)</f>
        <v>76.204299999999989</v>
      </c>
      <c r="C1025" s="4">
        <f>75.8138 * CHOOSE(CONTROL!$C$14, $C$14, 100%, $E$14) + CHOOSE(CONTROL!$C$33, 0.0272, 0)</f>
        <v>75.840999999999994</v>
      </c>
      <c r="D1025" s="4">
        <f>93.7149 * CHOOSE(CONTROL!$C$14, $C$14, 100%, $E$14) + CHOOSE(CONTROL!$C$33, 0.0021, 0)</f>
        <v>93.716999999999999</v>
      </c>
      <c r="E1025" s="4">
        <f>491.134609215504 * CHOOSE(CONTROL!$C$14, $C$14, 100%, $E$14) + CHOOSE(CONTROL!$C$33, 0.0021, 0)</f>
        <v>491.13670921550397</v>
      </c>
    </row>
    <row r="1026" spans="1:5" ht="15">
      <c r="A1026" s="11">
        <v>72351</v>
      </c>
      <c r="B1026" s="4">
        <f>73.0327 * CHOOSE(CONTROL!$C$14, $C$14, 100%, $E$14) + CHOOSE(CONTROL!$C$33, 0.0272, 0)</f>
        <v>73.059899999999999</v>
      </c>
      <c r="C1026" s="4">
        <f>72.6694 * CHOOSE(CONTROL!$C$14, $C$14, 100%, $E$14) + CHOOSE(CONTROL!$C$33, 0.0272, 0)</f>
        <v>72.696599999999989</v>
      </c>
      <c r="D1026" s="4">
        <f>89.8183 * CHOOSE(CONTROL!$C$14, $C$14, 100%, $E$14) + CHOOSE(CONTROL!$C$33, 0.0021, 0)</f>
        <v>89.820399999999992</v>
      </c>
      <c r="E1026" s="4">
        <f>470.676857060337 * CHOOSE(CONTROL!$C$14, $C$14, 100%, $E$14) + CHOOSE(CONTROL!$C$33, 0.0021, 0)</f>
        <v>470.67895706033698</v>
      </c>
    </row>
    <row r="1027" spans="1:5" ht="15">
      <c r="A1027" s="11">
        <v>72379</v>
      </c>
      <c r="B1027" s="4">
        <f>74.7484 * CHOOSE(CONTROL!$C$14, $C$14, 100%, $E$14) + CHOOSE(CONTROL!$C$33, 0.0272, 0)</f>
        <v>74.775599999999997</v>
      </c>
      <c r="C1027" s="4">
        <f>74.3851 * CHOOSE(CONTROL!$C$14, $C$14, 100%, $E$14) + CHOOSE(CONTROL!$C$33, 0.0272, 0)</f>
        <v>74.412299999999988</v>
      </c>
      <c r="D1027" s="4">
        <f>92.923 * CHOOSE(CONTROL!$C$14, $C$14, 100%, $E$14) + CHOOSE(CONTROL!$C$33, 0.0021, 0)</f>
        <v>92.9251</v>
      </c>
      <c r="E1027" s="4">
        <f>481.852580541819 * CHOOSE(CONTROL!$C$14, $C$14, 100%, $E$14) + CHOOSE(CONTROL!$C$33, 0.0021, 0)</f>
        <v>481.85468054181899</v>
      </c>
    </row>
    <row r="1028" spans="1:5" ht="15">
      <c r="A1028" s="11">
        <v>72410</v>
      </c>
      <c r="B1028" s="4">
        <f>79.254 * CHOOSE(CONTROL!$C$14, $C$14, 100%, $E$14) + CHOOSE(CONTROL!$C$33, 0.0272, 0)</f>
        <v>79.281199999999998</v>
      </c>
      <c r="C1028" s="4">
        <f>78.8907 * CHOOSE(CONTROL!$C$14, $C$14, 100%, $E$14) + CHOOSE(CONTROL!$C$33, 0.0272, 0)</f>
        <v>78.917899999999989</v>
      </c>
      <c r="D1028" s="4">
        <f>97.7831 * CHOOSE(CONTROL!$C$14, $C$14, 100%, $E$14) + CHOOSE(CONTROL!$C$33, 0.0021, 0)</f>
        <v>97.785200000000003</v>
      </c>
      <c r="E1028" s="4">
        <f>511.200624318205 * CHOOSE(CONTROL!$C$14, $C$14, 100%, $E$14) + CHOOSE(CONTROL!$C$33, 0.0021, 0)</f>
        <v>511.20272431820496</v>
      </c>
    </row>
    <row r="1029" spans="1:5" ht="15">
      <c r="A1029" s="11">
        <v>72440</v>
      </c>
      <c r="B1029" s="4">
        <f>82.4553 * CHOOSE(CONTROL!$C$14, $C$14, 100%, $E$14) + CHOOSE(CONTROL!$C$33, 0.0272, 0)</f>
        <v>82.482499999999987</v>
      </c>
      <c r="C1029" s="4">
        <f>82.092 * CHOOSE(CONTROL!$C$14, $C$14, 100%, $E$14) + CHOOSE(CONTROL!$C$33, 0.0272, 0)</f>
        <v>82.119199999999992</v>
      </c>
      <c r="D1029" s="4">
        <f>100.5827 * CHOOSE(CONTROL!$C$14, $C$14, 100%, $E$14) + CHOOSE(CONTROL!$C$33, 0.0021, 0)</f>
        <v>100.5848</v>
      </c>
      <c r="E1029" s="4">
        <f>532.052800535435 * CHOOSE(CONTROL!$C$14, $C$14, 100%, $E$14) + CHOOSE(CONTROL!$C$33, 0.0021, 0)</f>
        <v>532.05490053543508</v>
      </c>
    </row>
    <row r="1030" spans="1:5" ht="15">
      <c r="A1030" s="11">
        <v>72471</v>
      </c>
      <c r="B1030" s="4">
        <f>84.4112 * CHOOSE(CONTROL!$C$14, $C$14, 100%, $E$14) + CHOOSE(CONTROL!$C$33, 0.0304, 0)</f>
        <v>84.441599999999994</v>
      </c>
      <c r="C1030" s="4">
        <f>84.0479 * CHOOSE(CONTROL!$C$14, $C$14, 100%, $E$14) + CHOOSE(CONTROL!$C$33, 0.0304, 0)</f>
        <v>84.078299999999999</v>
      </c>
      <c r="D1030" s="4">
        <f>99.4764 * CHOOSE(CONTROL!$C$14, $C$14, 100%, $E$14) + CHOOSE(CONTROL!$C$33, 0.0021, 0)</f>
        <v>99.478499999999997</v>
      </c>
      <c r="E1030" s="4">
        <f>544.792980447248 * CHOOSE(CONTROL!$C$14, $C$14, 100%, $E$14) + CHOOSE(CONTROL!$C$33, 0.0021, 0)</f>
        <v>544.7950804472481</v>
      </c>
    </row>
    <row r="1031" spans="1:5" ht="15">
      <c r="A1031" s="11">
        <v>72501</v>
      </c>
      <c r="B1031" s="4">
        <f>84.6758 * CHOOSE(CONTROL!$C$14, $C$14, 100%, $E$14) + CHOOSE(CONTROL!$C$33, 0.0304, 0)</f>
        <v>84.706199999999995</v>
      </c>
      <c r="C1031" s="4">
        <f>84.3125 * CHOOSE(CONTROL!$C$14, $C$14, 100%, $E$14) + CHOOSE(CONTROL!$C$33, 0.0304, 0)</f>
        <v>84.3429</v>
      </c>
      <c r="D1031" s="4">
        <f>100.3774 * CHOOSE(CONTROL!$C$14, $C$14, 100%, $E$14) + CHOOSE(CONTROL!$C$33, 0.0021, 0)</f>
        <v>100.37949999999999</v>
      </c>
      <c r="E1031" s="4">
        <f>546.516779662149 * CHOOSE(CONTROL!$C$14, $C$14, 100%, $E$14) + CHOOSE(CONTROL!$C$33, 0.0021, 0)</f>
        <v>546.51887966214906</v>
      </c>
    </row>
    <row r="1032" spans="1:5" ht="15">
      <c r="A1032" s="11">
        <v>72532</v>
      </c>
      <c r="B1032" s="4">
        <f>84.6491 * CHOOSE(CONTROL!$C$14, $C$14, 100%, $E$14) + CHOOSE(CONTROL!$C$33, 0.0304, 0)</f>
        <v>84.679500000000004</v>
      </c>
      <c r="C1032" s="4">
        <f>84.2858 * CHOOSE(CONTROL!$C$14, $C$14, 100%, $E$14) + CHOOSE(CONTROL!$C$33, 0.0304, 0)</f>
        <v>84.316199999999995</v>
      </c>
      <c r="D1032" s="4">
        <f>102.0031 * CHOOSE(CONTROL!$C$14, $C$14, 100%, $E$14) + CHOOSE(CONTROL!$C$33, 0.0021, 0)</f>
        <v>102.0052</v>
      </c>
      <c r="E1032" s="4">
        <f>546.34295116989 * CHOOSE(CONTROL!$C$14, $C$14, 100%, $E$14) + CHOOSE(CONTROL!$C$33, 0.0021, 0)</f>
        <v>546.34505116988998</v>
      </c>
    </row>
    <row r="1033" spans="1:5" ht="15">
      <c r="A1033" s="11">
        <v>72563</v>
      </c>
      <c r="B1033" s="4">
        <f>86.6573 * CHOOSE(CONTROL!$C$14, $C$14, 100%, $E$14) + CHOOSE(CONTROL!$C$33, 0.0304, 0)</f>
        <v>86.687700000000007</v>
      </c>
      <c r="C1033" s="4">
        <f>86.294 * CHOOSE(CONTROL!$C$14, $C$14, 100%, $E$14) + CHOOSE(CONTROL!$C$33, 0.0304, 0)</f>
        <v>86.324399999999997</v>
      </c>
      <c r="D1033" s="4">
        <f>100.9295 * CHOOSE(CONTROL!$C$14, $C$14, 100%, $E$14) + CHOOSE(CONTROL!$C$33, 0.0021, 0)</f>
        <v>100.9316</v>
      </c>
      <c r="E1033" s="4">
        <f>559.423545212376 * CHOOSE(CONTROL!$C$14, $C$14, 100%, $E$14) + CHOOSE(CONTROL!$C$33, 0.0021, 0)</f>
        <v>559.42564521237603</v>
      </c>
    </row>
    <row r="1034" spans="1:5" ht="15">
      <c r="A1034" s="11">
        <v>72593</v>
      </c>
      <c r="B1034" s="4">
        <f>83.2347 * CHOOSE(CONTROL!$C$14, $C$14, 100%, $E$14) + CHOOSE(CONTROL!$C$33, 0.0304, 0)</f>
        <v>83.265100000000004</v>
      </c>
      <c r="C1034" s="4">
        <f>82.8715 * CHOOSE(CONTROL!$C$14, $C$14, 100%, $E$14) + CHOOSE(CONTROL!$C$33, 0.0304, 0)</f>
        <v>82.901899999999998</v>
      </c>
      <c r="D1034" s="4">
        <f>100.4222 * CHOOSE(CONTROL!$C$14, $C$14, 100%, $E$14) + CHOOSE(CONTROL!$C$33, 0.0021, 0)</f>
        <v>100.4243</v>
      </c>
      <c r="E1034" s="4">
        <f>537.130041080166 * CHOOSE(CONTROL!$C$14, $C$14, 100%, $E$14) + CHOOSE(CONTROL!$C$33, 0.0021, 0)</f>
        <v>537.13214108016609</v>
      </c>
    </row>
    <row r="1035" spans="1:5" ht="15">
      <c r="A1035" s="11">
        <v>72624</v>
      </c>
      <c r="B1035" s="4">
        <f>80.4949 * CHOOSE(CONTROL!$C$14, $C$14, 100%, $E$14) + CHOOSE(CONTROL!$C$33, 0.0272, 0)</f>
        <v>80.522099999999995</v>
      </c>
      <c r="C1035" s="4">
        <f>80.1316 * CHOOSE(CONTROL!$C$14, $C$14, 100%, $E$14) + CHOOSE(CONTROL!$C$33, 0.0272, 0)</f>
        <v>80.158799999999999</v>
      </c>
      <c r="D1035" s="4">
        <f>99.064 * CHOOSE(CONTROL!$C$14, $C$14, 100%, $E$14) + CHOOSE(CONTROL!$C$33, 0.0021, 0)</f>
        <v>99.066099999999992</v>
      </c>
      <c r="E1035" s="4">
        <f>519.283649208246 * CHOOSE(CONTROL!$C$14, $C$14, 100%, $E$14) + CHOOSE(CONTROL!$C$33, 0.0021, 0)</f>
        <v>519.28574920824599</v>
      </c>
    </row>
    <row r="1036" spans="1:5" ht="15">
      <c r="A1036" s="11">
        <v>72654</v>
      </c>
      <c r="B1036" s="4">
        <f>78.7303 * CHOOSE(CONTROL!$C$14, $C$14, 100%, $E$14) + CHOOSE(CONTROL!$C$33, 0.0272, 0)</f>
        <v>78.757499999999993</v>
      </c>
      <c r="C1036" s="4">
        <f>78.367 * CHOOSE(CONTROL!$C$14, $C$14, 100%, $E$14) + CHOOSE(CONTROL!$C$33, 0.0272, 0)</f>
        <v>78.394199999999998</v>
      </c>
      <c r="D1036" s="4">
        <f>98.5971 * CHOOSE(CONTROL!$C$14, $C$14, 100%, $E$14) + CHOOSE(CONTROL!$C$33, 0.0021, 0)</f>
        <v>98.599199999999996</v>
      </c>
      <c r="E1036" s="4">
        <f>507.789240157623 * CHOOSE(CONTROL!$C$14, $C$14, 100%, $E$14) + CHOOSE(CONTROL!$C$33, 0.0021, 0)</f>
        <v>507.79134015762298</v>
      </c>
    </row>
    <row r="1037" spans="1:5" ht="15">
      <c r="A1037" s="11">
        <v>72685</v>
      </c>
      <c r="B1037" s="4">
        <f>77.5094 * CHOOSE(CONTROL!$C$14, $C$14, 100%, $E$14) + CHOOSE(CONTROL!$C$33, 0.0272, 0)</f>
        <v>77.536599999999993</v>
      </c>
      <c r="C1037" s="4">
        <f>77.1461 * CHOOSE(CONTROL!$C$14, $C$14, 100%, $E$14) + CHOOSE(CONTROL!$C$33, 0.0272, 0)</f>
        <v>77.173299999999998</v>
      </c>
      <c r="D1037" s="4">
        <f>95.1594 * CHOOSE(CONTROL!$C$14, $C$14, 100%, $E$14) + CHOOSE(CONTROL!$C$33, 0.0021, 0)</f>
        <v>95.161500000000004</v>
      </c>
      <c r="E1037" s="4">
        <f>499.836586636776 * CHOOSE(CONTROL!$C$14, $C$14, 100%, $E$14) + CHOOSE(CONTROL!$C$33, 0.0021, 0)</f>
        <v>499.838686636776</v>
      </c>
    </row>
    <row r="1038" spans="1:5" ht="15">
      <c r="A1038" s="11">
        <v>72716</v>
      </c>
      <c r="B1038" s="4">
        <f>74.3094 * CHOOSE(CONTROL!$C$14, $C$14, 100%, $E$14) + CHOOSE(CONTROL!$C$33, 0.0272, 0)</f>
        <v>74.33659999999999</v>
      </c>
      <c r="C1038" s="4">
        <f>73.9461 * CHOOSE(CONTROL!$C$14, $C$14, 100%, $E$14) + CHOOSE(CONTROL!$C$33, 0.0272, 0)</f>
        <v>73.973299999999995</v>
      </c>
      <c r="D1038" s="4">
        <f>91.2015 * CHOOSE(CONTROL!$C$14, $C$14, 100%, $E$14) + CHOOSE(CONTROL!$C$33, 0.0021, 0)</f>
        <v>91.203599999999994</v>
      </c>
      <c r="E1038" s="4">
        <f>479.016361762309 * CHOOSE(CONTROL!$C$14, $C$14, 100%, $E$14) + CHOOSE(CONTROL!$C$33, 0.0021, 0)</f>
        <v>479.01846176230896</v>
      </c>
    </row>
    <row r="1039" spans="1:5" ht="15">
      <c r="A1039" s="11">
        <v>72744</v>
      </c>
      <c r="B1039" s="4">
        <f>76.0554 * CHOOSE(CONTROL!$C$14, $C$14, 100%, $E$14) + CHOOSE(CONTROL!$C$33, 0.0272, 0)</f>
        <v>76.082599999999999</v>
      </c>
      <c r="C1039" s="4">
        <f>75.6922 * CHOOSE(CONTROL!$C$14, $C$14, 100%, $E$14) + CHOOSE(CONTROL!$C$33, 0.0272, 0)</f>
        <v>75.719399999999993</v>
      </c>
      <c r="D1039" s="4">
        <f>94.3551 * CHOOSE(CONTROL!$C$14, $C$14, 100%, $E$14) + CHOOSE(CONTROL!$C$33, 0.0021, 0)</f>
        <v>94.357199999999992</v>
      </c>
      <c r="E1039" s="4">
        <f>490.390097950649 * CHOOSE(CONTROL!$C$14, $C$14, 100%, $E$14) + CHOOSE(CONTROL!$C$33, 0.0021, 0)</f>
        <v>490.39219795064901</v>
      </c>
    </row>
    <row r="1040" spans="1:5" ht="15">
      <c r="A1040" s="11">
        <v>72775</v>
      </c>
      <c r="B1040" s="4">
        <f>80.6406 * CHOOSE(CONTROL!$C$14, $C$14, 100%, $E$14) + CHOOSE(CONTROL!$C$33, 0.0272, 0)</f>
        <v>80.6678</v>
      </c>
      <c r="C1040" s="4">
        <f>80.2773 * CHOOSE(CONTROL!$C$14, $C$14, 100%, $E$14) + CHOOSE(CONTROL!$C$33, 0.0272, 0)</f>
        <v>80.30449999999999</v>
      </c>
      <c r="D1040" s="4">
        <f>99.2916 * CHOOSE(CONTROL!$C$14, $C$14, 100%, $E$14) + CHOOSE(CONTROL!$C$33, 0.0021, 0)</f>
        <v>99.293700000000001</v>
      </c>
      <c r="E1040" s="4">
        <f>520.258133618278 * CHOOSE(CONTROL!$C$14, $C$14, 100%, $E$14) + CHOOSE(CONTROL!$C$33, 0.0021, 0)</f>
        <v>520.26023361827799</v>
      </c>
    </row>
    <row r="1041" spans="1:5" ht="15">
      <c r="A1041" s="11">
        <v>72805</v>
      </c>
      <c r="B1041" s="4">
        <f>83.8984 * CHOOSE(CONTROL!$C$14, $C$14, 100%, $E$14) + CHOOSE(CONTROL!$C$33, 0.0272, 0)</f>
        <v>83.925599999999989</v>
      </c>
      <c r="C1041" s="4">
        <f>83.5352 * CHOOSE(CONTROL!$C$14, $C$14, 100%, $E$14) + CHOOSE(CONTROL!$C$33, 0.0272, 0)</f>
        <v>83.562399999999997</v>
      </c>
      <c r="D1041" s="4">
        <f>102.1352 * CHOOSE(CONTROL!$C$14, $C$14, 100%, $E$14) + CHOOSE(CONTROL!$C$33, 0.0021, 0)</f>
        <v>102.1373</v>
      </c>
      <c r="E1041" s="4">
        <f>541.479771004039 * CHOOSE(CONTROL!$C$14, $C$14, 100%, $E$14) + CHOOSE(CONTROL!$C$33, 0.0021, 0)</f>
        <v>541.48187100403902</v>
      </c>
    </row>
    <row r="1042" spans="1:5" ht="15">
      <c r="A1042" s="11">
        <v>72836</v>
      </c>
      <c r="B1042" s="4">
        <f>85.8889 * CHOOSE(CONTROL!$C$14, $C$14, 100%, $E$14) + CHOOSE(CONTROL!$C$33, 0.0304, 0)</f>
        <v>85.919300000000007</v>
      </c>
      <c r="C1042" s="4">
        <f>85.5256 * CHOOSE(CONTROL!$C$14, $C$14, 100%, $E$14) + CHOOSE(CONTROL!$C$33, 0.0304, 0)</f>
        <v>85.555999999999997</v>
      </c>
      <c r="D1042" s="4">
        <f>101.0116 * CHOOSE(CONTROL!$C$14, $C$14, 100%, $E$14) + CHOOSE(CONTROL!$C$33, 0.0021, 0)</f>
        <v>101.0137</v>
      </c>
      <c r="E1042" s="4">
        <f>554.445682835076 * CHOOSE(CONTROL!$C$14, $C$14, 100%, $E$14) + CHOOSE(CONTROL!$C$33, 0.0021, 0)</f>
        <v>554.44778283507605</v>
      </c>
    </row>
    <row r="1043" spans="1:5" ht="15">
      <c r="A1043" s="11">
        <v>72866</v>
      </c>
      <c r="B1043" s="4">
        <f>86.1582 * CHOOSE(CONTROL!$C$14, $C$14, 100%, $E$14) + CHOOSE(CONTROL!$C$33, 0.0304, 0)</f>
        <v>86.188599999999994</v>
      </c>
      <c r="C1043" s="4">
        <f>85.7949 * CHOOSE(CONTROL!$C$14, $C$14, 100%, $E$14) + CHOOSE(CONTROL!$C$33, 0.0304, 0)</f>
        <v>85.825299999999999</v>
      </c>
      <c r="D1043" s="4">
        <f>101.9267 * CHOOSE(CONTROL!$C$14, $C$14, 100%, $E$14) + CHOOSE(CONTROL!$C$33, 0.0021, 0)</f>
        <v>101.9288</v>
      </c>
      <c r="E1043" s="4">
        <f>556.200024515455 * CHOOSE(CONTROL!$C$14, $C$14, 100%, $E$14) + CHOOSE(CONTROL!$C$33, 0.0021, 0)</f>
        <v>556.20212451545501</v>
      </c>
    </row>
    <row r="1044" spans="1:5" ht="15">
      <c r="A1044" s="11">
        <v>72897</v>
      </c>
      <c r="B1044" s="4">
        <f>86.1311 * CHOOSE(CONTROL!$C$14, $C$14, 100%, $E$14) + CHOOSE(CONTROL!$C$33, 0.0304, 0)</f>
        <v>86.161500000000004</v>
      </c>
      <c r="C1044" s="4">
        <f>85.7678 * CHOOSE(CONTROL!$C$14, $C$14, 100%, $E$14) + CHOOSE(CONTROL!$C$33, 0.0304, 0)</f>
        <v>85.798199999999994</v>
      </c>
      <c r="D1044" s="4">
        <f>103.578 * CHOOSE(CONTROL!$C$14, $C$14, 100%, $E$14) + CHOOSE(CONTROL!$C$33, 0.0021, 0)</f>
        <v>103.5801</v>
      </c>
      <c r="E1044" s="4">
        <f>556.023116110711 * CHOOSE(CONTROL!$C$14, $C$14, 100%, $E$14) + CHOOSE(CONTROL!$C$33, 0.0021, 0)</f>
        <v>556.02521611071109</v>
      </c>
    </row>
    <row r="1045" spans="1:5" ht="15">
      <c r="A1045" s="11">
        <v>72928</v>
      </c>
      <c r="B1045" s="4">
        <f>88.1747 * CHOOSE(CONTROL!$C$14, $C$14, 100%, $E$14) + CHOOSE(CONTROL!$C$33, 0.0304, 0)</f>
        <v>88.205100000000002</v>
      </c>
      <c r="C1045" s="4">
        <f>87.8114 * CHOOSE(CONTROL!$C$14, $C$14, 100%, $E$14) + CHOOSE(CONTROL!$C$33, 0.0304, 0)</f>
        <v>87.841800000000006</v>
      </c>
      <c r="D1045" s="4">
        <f>102.4875 * CHOOSE(CONTROL!$C$14, $C$14, 100%, $E$14) + CHOOSE(CONTROL!$C$33, 0.0021, 0)</f>
        <v>102.4896</v>
      </c>
      <c r="E1045" s="4">
        <f>569.335473567704 * CHOOSE(CONTROL!$C$14, $C$14, 100%, $E$14) + CHOOSE(CONTROL!$C$33, 0.0021, 0)</f>
        <v>569.337573567704</v>
      </c>
    </row>
    <row r="1046" spans="1:5" ht="15">
      <c r="A1046" s="11">
        <v>72958</v>
      </c>
      <c r="B1046" s="4">
        <f>84.6917 * CHOOSE(CONTROL!$C$14, $C$14, 100%, $E$14) + CHOOSE(CONTROL!$C$33, 0.0304, 0)</f>
        <v>84.722099999999998</v>
      </c>
      <c r="C1046" s="4">
        <f>84.3284 * CHOOSE(CONTROL!$C$14, $C$14, 100%, $E$14) + CHOOSE(CONTROL!$C$33, 0.0304, 0)</f>
        <v>84.358800000000002</v>
      </c>
      <c r="D1046" s="4">
        <f>101.9722 * CHOOSE(CONTROL!$C$14, $C$14, 100%, $E$14) + CHOOSE(CONTROL!$C$33, 0.0021, 0)</f>
        <v>101.9743</v>
      </c>
      <c r="E1046" s="4">
        <f>546.646970659273 * CHOOSE(CONTROL!$C$14, $C$14, 100%, $E$14) + CHOOSE(CONTROL!$C$33, 0.0021, 0)</f>
        <v>546.64907065927309</v>
      </c>
    </row>
    <row r="1047" spans="1:5" ht="15">
      <c r="A1047" s="11">
        <v>72989</v>
      </c>
      <c r="B1047" s="4">
        <f>81.9035 * CHOOSE(CONTROL!$C$14, $C$14, 100%, $E$14) + CHOOSE(CONTROL!$C$33, 0.0272, 0)</f>
        <v>81.930699999999987</v>
      </c>
      <c r="C1047" s="4">
        <f>81.5402 * CHOOSE(CONTROL!$C$14, $C$14, 100%, $E$14) + CHOOSE(CONTROL!$C$33, 0.0272, 0)</f>
        <v>81.567399999999992</v>
      </c>
      <c r="D1047" s="4">
        <f>100.5927 * CHOOSE(CONTROL!$C$14, $C$14, 100%, $E$14) + CHOOSE(CONTROL!$C$33, 0.0021, 0)</f>
        <v>100.59479999999999</v>
      </c>
      <c r="E1047" s="4">
        <f>528.484374438879 * CHOOSE(CONTROL!$C$14, $C$14, 100%, $E$14) + CHOOSE(CONTROL!$C$33, 0.0021, 0)</f>
        <v>528.48647443887899</v>
      </c>
    </row>
    <row r="1048" spans="1:5" ht="15">
      <c r="A1048" s="11">
        <v>73019</v>
      </c>
      <c r="B1048" s="4">
        <f>80.1076 * CHOOSE(CONTROL!$C$14, $C$14, 100%, $E$14) + CHOOSE(CONTROL!$C$33, 0.0272, 0)</f>
        <v>80.134799999999998</v>
      </c>
      <c r="C1048" s="4">
        <f>79.7444 * CHOOSE(CONTROL!$C$14, $C$14, 100%, $E$14) + CHOOSE(CONTROL!$C$33, 0.0272, 0)</f>
        <v>79.771599999999992</v>
      </c>
      <c r="D1048" s="4">
        <f>100.1184 * CHOOSE(CONTROL!$C$14, $C$14, 100%, $E$14) + CHOOSE(CONTROL!$C$33, 0.0021, 0)</f>
        <v>100.12049999999999</v>
      </c>
      <c r="E1048" s="4">
        <f>516.786306175175 * CHOOSE(CONTROL!$C$14, $C$14, 100%, $E$14) + CHOOSE(CONTROL!$C$33, 0.0021, 0)</f>
        <v>516.78840617517506</v>
      </c>
    </row>
    <row r="1049" spans="1:5" ht="15">
      <c r="A1049" s="11">
        <v>73050</v>
      </c>
      <c r="B1049" s="4">
        <f>78.8652 * CHOOSE(CONTROL!$C$14, $C$14, 100%, $E$14) + CHOOSE(CONTROL!$C$33, 0.0272, 0)</f>
        <v>78.892399999999995</v>
      </c>
      <c r="C1049" s="4">
        <f>78.5019 * CHOOSE(CONTROL!$C$14, $C$14, 100%, $E$14) + CHOOSE(CONTROL!$C$33, 0.0272, 0)</f>
        <v>78.5291</v>
      </c>
      <c r="D1049" s="4">
        <f>96.6266 * CHOOSE(CONTROL!$C$14, $C$14, 100%, $E$14) + CHOOSE(CONTROL!$C$33, 0.0021, 0)</f>
        <v>96.628699999999995</v>
      </c>
      <c r="E1049" s="4">
        <f>508.692746658133 * CHOOSE(CONTROL!$C$14, $C$14, 100%, $E$14) + CHOOSE(CONTROL!$C$33, 0.0021, 0)</f>
        <v>508.69484665813297</v>
      </c>
    </row>
    <row r="1050" spans="1:5" ht="15">
      <c r="A1050" s="11">
        <v>73081</v>
      </c>
      <c r="B1050" s="4">
        <f>75.6087 * CHOOSE(CONTROL!$C$14, $C$14, 100%, $E$14) + CHOOSE(CONTROL!$C$33, 0.0272, 0)</f>
        <v>75.635899999999992</v>
      </c>
      <c r="C1050" s="4">
        <f>75.2454 * CHOOSE(CONTROL!$C$14, $C$14, 100%, $E$14) + CHOOSE(CONTROL!$C$33, 0.0272, 0)</f>
        <v>75.272599999999997</v>
      </c>
      <c r="D1050" s="4">
        <f>92.6066 * CHOOSE(CONTROL!$C$14, $C$14, 100%, $E$14) + CHOOSE(CONTROL!$C$33, 0.0021, 0)</f>
        <v>92.608699999999999</v>
      </c>
      <c r="E1050" s="4">
        <f>487.503626732566 * CHOOSE(CONTROL!$C$14, $C$14, 100%, $E$14) + CHOOSE(CONTROL!$C$33, 0.0021, 0)</f>
        <v>487.50572673256596</v>
      </c>
    </row>
    <row r="1051" spans="1:5" ht="15">
      <c r="A1051" s="11">
        <v>73109</v>
      </c>
      <c r="B1051" s="4">
        <f>77.3855 * CHOOSE(CONTROL!$C$14, $C$14, 100%, $E$14) + CHOOSE(CONTROL!$C$33, 0.0272, 0)</f>
        <v>77.412699999999987</v>
      </c>
      <c r="C1051" s="4">
        <f>77.0223 * CHOOSE(CONTROL!$C$14, $C$14, 100%, $E$14) + CHOOSE(CONTROL!$C$33, 0.0272, 0)</f>
        <v>77.049499999999995</v>
      </c>
      <c r="D1051" s="4">
        <f>95.8097 * CHOOSE(CONTROL!$C$14, $C$14, 100%, $E$14) + CHOOSE(CONTROL!$C$33, 0.0021, 0)</f>
        <v>95.811800000000005</v>
      </c>
      <c r="E1051" s="4">
        <f>499.078884038842 * CHOOSE(CONTROL!$C$14, $C$14, 100%, $E$14) + CHOOSE(CONTROL!$C$33, 0.0021, 0)</f>
        <v>499.08098403884196</v>
      </c>
    </row>
    <row r="1052" spans="1:5" ht="15">
      <c r="A1052" s="11">
        <v>73140</v>
      </c>
      <c r="B1052" s="4">
        <f>82.0517 * CHOOSE(CONTROL!$C$14, $C$14, 100%, $E$14) + CHOOSE(CONTROL!$C$33, 0.0272, 0)</f>
        <v>82.07889999999999</v>
      </c>
      <c r="C1052" s="4">
        <f>81.6885 * CHOOSE(CONTROL!$C$14, $C$14, 100%, $E$14) + CHOOSE(CONTROL!$C$33, 0.0272, 0)</f>
        <v>81.715699999999998</v>
      </c>
      <c r="D1052" s="4">
        <f>100.8239 * CHOOSE(CONTROL!$C$14, $C$14, 100%, $E$14) + CHOOSE(CONTROL!$C$33, 0.0021, 0)</f>
        <v>100.82599999999999</v>
      </c>
      <c r="E1052" s="4">
        <f>529.476124871655 * CHOOSE(CONTROL!$C$14, $C$14, 100%, $E$14) + CHOOSE(CONTROL!$C$33, 0.0021, 0)</f>
        <v>529.47822487165502</v>
      </c>
    </row>
    <row r="1053" spans="1:5" ht="15">
      <c r="A1053" s="11">
        <v>73170</v>
      </c>
      <c r="B1053" s="4">
        <f>85.3671 * CHOOSE(CONTROL!$C$14, $C$14, 100%, $E$14) + CHOOSE(CONTROL!$C$33, 0.0272, 0)</f>
        <v>85.394299999999987</v>
      </c>
      <c r="C1053" s="4">
        <f>85.0038 * CHOOSE(CONTROL!$C$14, $C$14, 100%, $E$14) + CHOOSE(CONTROL!$C$33, 0.0272, 0)</f>
        <v>85.030999999999992</v>
      </c>
      <c r="D1053" s="4">
        <f>103.7122 * CHOOSE(CONTROL!$C$14, $C$14, 100%, $E$14) + CHOOSE(CONTROL!$C$33, 0.0021, 0)</f>
        <v>103.71429999999999</v>
      </c>
      <c r="E1053" s="4">
        <f>551.073769579866 * CHOOSE(CONTROL!$C$14, $C$14, 100%, $E$14) + CHOOSE(CONTROL!$C$33, 0.0021, 0)</f>
        <v>551.07586957986609</v>
      </c>
    </row>
    <row r="1054" spans="1:5" ht="15">
      <c r="A1054" s="11">
        <v>73201</v>
      </c>
      <c r="B1054" s="4">
        <f>87.3927 * CHOOSE(CONTROL!$C$14, $C$14, 100%, $E$14) + CHOOSE(CONTROL!$C$33, 0.0304, 0)</f>
        <v>87.423100000000005</v>
      </c>
      <c r="C1054" s="4">
        <f>87.0295 * CHOOSE(CONTROL!$C$14, $C$14, 100%, $E$14) + CHOOSE(CONTROL!$C$33, 0.0304, 0)</f>
        <v>87.059899999999999</v>
      </c>
      <c r="D1054" s="4">
        <f>102.5709 * CHOOSE(CONTROL!$C$14, $C$14, 100%, $E$14) + CHOOSE(CONTROL!$C$33, 0.0021, 0)</f>
        <v>102.57299999999999</v>
      </c>
      <c r="E1054" s="4">
        <f>564.269412873281 * CHOOSE(CONTROL!$C$14, $C$14, 100%, $E$14) + CHOOSE(CONTROL!$C$33, 0.0021, 0)</f>
        <v>564.27151287328104</v>
      </c>
    </row>
    <row r="1055" spans="1:5" ht="15">
      <c r="A1055" s="11">
        <v>73231</v>
      </c>
      <c r="B1055" s="4">
        <f>87.6668 * CHOOSE(CONTROL!$C$14, $C$14, 100%, $E$14) + CHOOSE(CONTROL!$C$33, 0.0304, 0)</f>
        <v>87.697199999999995</v>
      </c>
      <c r="C1055" s="4">
        <f>87.3035 * CHOOSE(CONTROL!$C$14, $C$14, 100%, $E$14) + CHOOSE(CONTROL!$C$33, 0.0304, 0)</f>
        <v>87.3339</v>
      </c>
      <c r="D1055" s="4">
        <f>103.5004 * CHOOSE(CONTROL!$C$14, $C$14, 100%, $E$14) + CHOOSE(CONTROL!$C$33, 0.0021, 0)</f>
        <v>103.5025</v>
      </c>
      <c r="E1055" s="4">
        <f>566.054838173925 * CHOOSE(CONTROL!$C$14, $C$14, 100%, $E$14) + CHOOSE(CONTROL!$C$33, 0.0021, 0)</f>
        <v>566.056938173925</v>
      </c>
    </row>
    <row r="1056" spans="1:5" ht="15">
      <c r="A1056" s="11">
        <v>73262</v>
      </c>
      <c r="B1056" s="4">
        <f>87.6392 * CHOOSE(CONTROL!$C$14, $C$14, 100%, $E$14) + CHOOSE(CONTROL!$C$33, 0.0304, 0)</f>
        <v>87.669600000000003</v>
      </c>
      <c r="C1056" s="4">
        <f>87.2759 * CHOOSE(CONTROL!$C$14, $C$14, 100%, $E$14) + CHOOSE(CONTROL!$C$33, 0.0304, 0)</f>
        <v>87.306299999999993</v>
      </c>
      <c r="D1056" s="4">
        <f>105.1776 * CHOOSE(CONTROL!$C$14, $C$14, 100%, $E$14) + CHOOSE(CONTROL!$C$33, 0.0021, 0)</f>
        <v>105.1797</v>
      </c>
      <c r="E1056" s="4">
        <f>565.874795286465 * CHOOSE(CONTROL!$C$14, $C$14, 100%, $E$14) + CHOOSE(CONTROL!$C$33, 0.0021, 0)</f>
        <v>565.87689528646501</v>
      </c>
    </row>
    <row r="1057" spans="1:5" ht="15">
      <c r="A1057" s="11">
        <v>73293</v>
      </c>
      <c r="B1057" s="4">
        <f>89.7189 * CHOOSE(CONTROL!$C$14, $C$14, 100%, $E$14) + CHOOSE(CONTROL!$C$33, 0.0304, 0)</f>
        <v>89.749300000000005</v>
      </c>
      <c r="C1057" s="4">
        <f>89.3557 * CHOOSE(CONTROL!$C$14, $C$14, 100%, $E$14) + CHOOSE(CONTROL!$C$33, 0.0304, 0)</f>
        <v>89.386099999999999</v>
      </c>
      <c r="D1057" s="4">
        <f>104.07 * CHOOSE(CONTROL!$C$14, $C$14, 100%, $E$14) + CHOOSE(CONTROL!$C$33, 0.0021, 0)</f>
        <v>104.07209999999999</v>
      </c>
      <c r="E1057" s="4">
        <f>579.423022567823 * CHOOSE(CONTROL!$C$14, $C$14, 100%, $E$14) + CHOOSE(CONTROL!$C$33, 0.0021, 0)</f>
        <v>579.425122567823</v>
      </c>
    </row>
    <row r="1058" spans="1:5" ht="15">
      <c r="A1058" s="11">
        <v>73323</v>
      </c>
      <c r="B1058" s="4">
        <f>86.1744 * CHOOSE(CONTROL!$C$14, $C$14, 100%, $E$14) + CHOOSE(CONTROL!$C$33, 0.0304, 0)</f>
        <v>86.204800000000006</v>
      </c>
      <c r="C1058" s="4">
        <f>85.8111 * CHOOSE(CONTROL!$C$14, $C$14, 100%, $E$14) + CHOOSE(CONTROL!$C$33, 0.0304, 0)</f>
        <v>85.841499999999996</v>
      </c>
      <c r="D1058" s="4">
        <f>103.5466 * CHOOSE(CONTROL!$C$14, $C$14, 100%, $E$14) + CHOOSE(CONTROL!$C$33, 0.0021, 0)</f>
        <v>103.5487</v>
      </c>
      <c r="E1058" s="4">
        <f>556.332522251091 * CHOOSE(CONTROL!$C$14, $C$14, 100%, $E$14) + CHOOSE(CONTROL!$C$33, 0.0021, 0)</f>
        <v>556.33462225109099</v>
      </c>
    </row>
    <row r="1059" spans="1:5" ht="15">
      <c r="A1059" s="11">
        <v>73354</v>
      </c>
      <c r="B1059" s="4">
        <f>83.3369 * CHOOSE(CONTROL!$C$14, $C$14, 100%, $E$14) + CHOOSE(CONTROL!$C$33, 0.0272, 0)</f>
        <v>83.364099999999993</v>
      </c>
      <c r="C1059" s="4">
        <f>82.9736 * CHOOSE(CONTROL!$C$14, $C$14, 100%, $E$14) + CHOOSE(CONTROL!$C$33, 0.0272, 0)</f>
        <v>83.000799999999998</v>
      </c>
      <c r="D1059" s="4">
        <f>102.1454 * CHOOSE(CONTROL!$C$14, $C$14, 100%, $E$14) + CHOOSE(CONTROL!$C$33, 0.0021, 0)</f>
        <v>102.14749999999999</v>
      </c>
      <c r="E1059" s="4">
        <f>537.848119138541 * CHOOSE(CONTROL!$C$14, $C$14, 100%, $E$14) + CHOOSE(CONTROL!$C$33, 0.0021, 0)</f>
        <v>537.85021913854109</v>
      </c>
    </row>
    <row r="1060" spans="1:5" ht="15">
      <c r="A1060" s="11">
        <v>73384</v>
      </c>
      <c r="B1060" s="4">
        <f>81.5093 * CHOOSE(CONTROL!$C$14, $C$14, 100%, $E$14) + CHOOSE(CONTROL!$C$33, 0.0272, 0)</f>
        <v>81.53649999999999</v>
      </c>
      <c r="C1060" s="4">
        <f>81.1461 * CHOOSE(CONTROL!$C$14, $C$14, 100%, $E$14) + CHOOSE(CONTROL!$C$33, 0.0272, 0)</f>
        <v>81.173299999999998</v>
      </c>
      <c r="D1060" s="4">
        <f>101.6636 * CHOOSE(CONTROL!$C$14, $C$14, 100%, $E$14) + CHOOSE(CONTROL!$C$33, 0.0021, 0)</f>
        <v>101.6657</v>
      </c>
      <c r="E1060" s="4">
        <f>525.942783205255 * CHOOSE(CONTROL!$C$14, $C$14, 100%, $E$14) + CHOOSE(CONTROL!$C$33, 0.0021, 0)</f>
        <v>525.944883205255</v>
      </c>
    </row>
    <row r="1061" spans="1:5" ht="15">
      <c r="A1061" s="11">
        <v>73415</v>
      </c>
      <c r="B1061" s="4">
        <f>80.2449 * CHOOSE(CONTROL!$C$14, $C$14, 100%, $E$14) + CHOOSE(CONTROL!$C$33, 0.0272, 0)</f>
        <v>80.272099999999995</v>
      </c>
      <c r="C1061" s="4">
        <f>79.8816 * CHOOSE(CONTROL!$C$14, $C$14, 100%, $E$14) + CHOOSE(CONTROL!$C$33, 0.0272, 0)</f>
        <v>79.908799999999999</v>
      </c>
      <c r="D1061" s="4">
        <f>98.117 * CHOOSE(CONTROL!$C$14, $C$14, 100%, $E$14) + CHOOSE(CONTROL!$C$33, 0.0021, 0)</f>
        <v>98.119100000000003</v>
      </c>
      <c r="E1061" s="4">
        <f>517.705821103964 * CHOOSE(CONTROL!$C$14, $C$14, 100%, $E$14) + CHOOSE(CONTROL!$C$33, 0.0021, 0)</f>
        <v>517.70792110396405</v>
      </c>
    </row>
    <row r="1062" spans="1:5" ht="15">
      <c r="A1062" s="9"/>
      <c r="B1062" s="4"/>
      <c r="C1062" s="4"/>
      <c r="D1062" s="4"/>
      <c r="E1062" s="4"/>
    </row>
    <row r="1063" spans="1:5" ht="15">
      <c r="A1063" s="3">
        <v>2014</v>
      </c>
      <c r="B1063" s="4">
        <f>AVERAGE(B18:B29)</f>
        <v>16.226770434415336</v>
      </c>
      <c r="C1063" s="4">
        <f>AVERAGE(C18:C29)</f>
        <v>15.971516099779933</v>
      </c>
      <c r="D1063" s="4">
        <f>AVERAGE(D18:D29)</f>
        <v>23.113402086906799</v>
      </c>
      <c r="E1063" s="4">
        <f>AVERAGE(E18:E29)</f>
        <v>100.09021666666666</v>
      </c>
    </row>
    <row r="1064" spans="1:5" ht="15">
      <c r="A1064" s="3">
        <v>2015</v>
      </c>
      <c r="B1064" s="4">
        <f>AVERAGE(B30:B41)</f>
        <v>15.591033333333334</v>
      </c>
      <c r="C1064" s="4">
        <f>AVERAGE(C30:C41)</f>
        <v>15.227758333333332</v>
      </c>
      <c r="D1064" s="4">
        <f>AVERAGE(D30:D41)</f>
        <v>22.501000000000001</v>
      </c>
      <c r="E1064" s="4">
        <f>AVERAGE(E30:E41)</f>
        <v>93.76209999999999</v>
      </c>
    </row>
    <row r="1065" spans="1:5" ht="15">
      <c r="A1065" s="3">
        <v>2016</v>
      </c>
      <c r="B1065" s="4">
        <f>AVERAGE(B42:B53)</f>
        <v>15.333233333333334</v>
      </c>
      <c r="C1065" s="4">
        <f>AVERAGE(C42:C53)</f>
        <v>14.969933333333335</v>
      </c>
      <c r="D1065" s="4">
        <f>AVERAGE(D42:D53)</f>
        <v>21.934341666666665</v>
      </c>
      <c r="E1065" s="4">
        <f>AVERAGE(E42:E53)</f>
        <v>90.487099999999998</v>
      </c>
    </row>
    <row r="1066" spans="1:5" ht="15">
      <c r="A1066" s="3">
        <v>2017</v>
      </c>
      <c r="B1066" s="4">
        <f>AVERAGE(B54:B65)</f>
        <v>15.519999999999998</v>
      </c>
      <c r="C1066" s="4">
        <f>AVERAGE(C54:C65)</f>
        <v>15.156733333333337</v>
      </c>
      <c r="D1066" s="4">
        <f>AVERAGE(D54:D65)</f>
        <v>22.378933333333332</v>
      </c>
      <c r="E1066" s="4">
        <f>AVERAGE(E54:E65)</f>
        <v>93.760014988199899</v>
      </c>
    </row>
    <row r="1067" spans="1:5" ht="15">
      <c r="A1067" s="3">
        <v>2018</v>
      </c>
      <c r="B1067" s="4">
        <f>AVERAGE(B66:B77)</f>
        <v>15.706925000000004</v>
      </c>
      <c r="C1067" s="4">
        <f>AVERAGE(C66:C77)</f>
        <v>15.343650000000002</v>
      </c>
      <c r="D1067" s="4">
        <f>AVERAGE(D66:D77)</f>
        <v>23.013391666666664</v>
      </c>
      <c r="E1067" s="4">
        <f>AVERAGE(E66:E77)</f>
        <v>96.306268497721305</v>
      </c>
    </row>
    <row r="1068" spans="1:5" ht="15">
      <c r="A1068" s="3">
        <v>2019</v>
      </c>
      <c r="B1068" s="4">
        <f>AVERAGE(B78:B89)</f>
        <v>16.979050000000001</v>
      </c>
      <c r="C1068" s="4">
        <f>AVERAGE(C78:C89)</f>
        <v>16.615783333333333</v>
      </c>
      <c r="D1068" s="4">
        <f>AVERAGE(D78:D89)</f>
        <v>24.701224999999997</v>
      </c>
      <c r="E1068" s="4">
        <f>AVERAGE(E78:E89)</f>
        <v>108.33210183105474</v>
      </c>
    </row>
    <row r="1069" spans="1:5" ht="15">
      <c r="A1069" s="3">
        <v>2020</v>
      </c>
      <c r="B1069" s="4">
        <f>AVERAGE(B90:B101)</f>
        <v>17.612408333333335</v>
      </c>
      <c r="C1069" s="4">
        <f>AVERAGE(C90:C101)</f>
        <v>17.249125000000003</v>
      </c>
      <c r="D1069" s="4">
        <f>AVERAGE(D90:D101)</f>
        <v>25.433641666666663</v>
      </c>
      <c r="E1069" s="4">
        <f>AVERAGE(E90:E101)</f>
        <v>111.18210030517582</v>
      </c>
    </row>
    <row r="1070" spans="1:5" ht="15">
      <c r="A1070" s="3">
        <v>2021</v>
      </c>
      <c r="B1070" s="4">
        <f>AVERAGE(B102:B113)</f>
        <v>18.073833333333337</v>
      </c>
      <c r="C1070" s="4">
        <f>AVERAGE(C102:C113)</f>
        <v>17.710566666666669</v>
      </c>
      <c r="D1070" s="4">
        <f>AVERAGE(D102:D113)</f>
        <v>26.013408333333331</v>
      </c>
      <c r="E1070" s="4">
        <f>AVERAGE(E102:E113)</f>
        <v>113.05210305175801</v>
      </c>
    </row>
    <row r="1071" spans="1:5" ht="15">
      <c r="A1071" s="3">
        <v>2022</v>
      </c>
      <c r="B1071" s="4">
        <f>AVERAGE(B114:B125)</f>
        <v>18.130724999999995</v>
      </c>
      <c r="C1071" s="4">
        <f>AVERAGE(C114:C125)</f>
        <v>17.76745</v>
      </c>
      <c r="D1071" s="4">
        <f>AVERAGE(D114:D125)</f>
        <v>26.620716666666667</v>
      </c>
      <c r="E1071" s="4">
        <f>AVERAGE(E114:E125)</f>
        <v>114.382730493164</v>
      </c>
    </row>
    <row r="1072" spans="1:5" ht="15">
      <c r="A1072" s="3">
        <v>2023</v>
      </c>
      <c r="B1072" s="4">
        <f>AVERAGE(B126:B137)</f>
        <v>18.890408333333337</v>
      </c>
      <c r="C1072" s="4">
        <f>AVERAGE(C126:C137)</f>
        <v>18.527150000000002</v>
      </c>
      <c r="D1072" s="4">
        <f>AVERAGE(D126:D137)</f>
        <v>27.707999999999998</v>
      </c>
      <c r="E1072" s="4">
        <f>AVERAGE(E126:E137)</f>
        <v>119.10154915771483</v>
      </c>
    </row>
    <row r="1073" spans="1:5" ht="15">
      <c r="A1073" s="3">
        <v>2024</v>
      </c>
      <c r="B1073" s="4">
        <f>AVERAGE(B138:B149)</f>
        <v>19.725833333333334</v>
      </c>
      <c r="C1073" s="4">
        <f>AVERAGE(C138:C149)</f>
        <v>19.362533333333335</v>
      </c>
      <c r="D1073" s="4">
        <f>AVERAGE(D138:D149)</f>
        <v>28.741125000000007</v>
      </c>
      <c r="E1073" s="4">
        <f>AVERAGE(E138:E149)</f>
        <v>124.01472664794905</v>
      </c>
    </row>
    <row r="1074" spans="1:5" ht="15">
      <c r="A1074" s="3">
        <v>2025</v>
      </c>
      <c r="B1074" s="4">
        <f>AVERAGE(B150:B161)</f>
        <v>20.690708333333333</v>
      </c>
      <c r="C1074" s="4">
        <f>AVERAGE(C150:C161)</f>
        <v>20.327433333333335</v>
      </c>
      <c r="D1074" s="4">
        <f>AVERAGE(D150:D161)</f>
        <v>29.724883333333334</v>
      </c>
      <c r="E1074" s="4">
        <f>AVERAGE(E150:E161)</f>
        <v>129.11004067382817</v>
      </c>
    </row>
    <row r="1075" spans="1:5" ht="15">
      <c r="A1075" s="3">
        <v>2026</v>
      </c>
      <c r="B1075" s="4">
        <f>AVERAGE(B162:B173)</f>
        <v>21.500958333333333</v>
      </c>
      <c r="C1075" s="4">
        <f>AVERAGE(C162:C173)</f>
        <v>21.137674999999998</v>
      </c>
      <c r="D1075" s="4">
        <f>AVERAGE(D162:D173)</f>
        <v>30.828741666666669</v>
      </c>
      <c r="E1075" s="4">
        <f>AVERAGE(E162:E173)</f>
        <v>134.43554116210944</v>
      </c>
    </row>
    <row r="1076" spans="1:5" ht="15">
      <c r="A1076" s="3">
        <v>2027</v>
      </c>
      <c r="B1076" s="4">
        <f>AVERAGE(B174:B185)</f>
        <v>22.353150000000003</v>
      </c>
      <c r="C1076" s="4">
        <f>AVERAGE(C174:C185)</f>
        <v>21.989866666666668</v>
      </c>
      <c r="D1076" s="4">
        <f>AVERAGE(D174:D185)</f>
        <v>31.884349999999998</v>
      </c>
      <c r="E1076" s="4">
        <f>AVERAGE(E174:E185)</f>
        <v>139.95969582519518</v>
      </c>
    </row>
    <row r="1077" spans="1:5" ht="15">
      <c r="A1077" s="3">
        <v>2028</v>
      </c>
      <c r="B1077" s="4">
        <f>AVERAGE(B186:B197)</f>
        <v>23.20965</v>
      </c>
      <c r="C1077" s="4">
        <f>AVERAGE(C186:C197)</f>
        <v>22.846358333333331</v>
      </c>
      <c r="D1077" s="4">
        <f>AVERAGE(D186:D197)</f>
        <v>32.936049999999994</v>
      </c>
      <c r="E1077" s="4">
        <f>AVERAGE(E186:E197)</f>
        <v>145.71117592773442</v>
      </c>
    </row>
    <row r="1078" spans="1:5" ht="15">
      <c r="A1078" s="3">
        <v>2029</v>
      </c>
      <c r="B1078" s="4">
        <f>AVERAGE(B198:B209)</f>
        <v>24.149958333333331</v>
      </c>
      <c r="C1078" s="4">
        <f>AVERAGE(C198:C209)</f>
        <v>23.786666666666672</v>
      </c>
      <c r="D1078" s="4">
        <f>AVERAGE(D198:D209)</f>
        <v>34.028341666666662</v>
      </c>
      <c r="E1078" s="4">
        <f>AVERAGE(E198:E209)</f>
        <v>151.69915200195319</v>
      </c>
    </row>
    <row r="1079" spans="1:5" ht="15">
      <c r="A1079" s="3">
        <v>2030</v>
      </c>
      <c r="B1079" s="4">
        <f>AVERAGE(B210:B221)</f>
        <v>25.130975000000003</v>
      </c>
      <c r="C1079" s="4">
        <f>AVERAGE(C210:C221)</f>
        <v>24.767683333333334</v>
      </c>
      <c r="D1079" s="4">
        <f>AVERAGE(D210:D221)</f>
        <v>35.165325000000003</v>
      </c>
      <c r="E1079" s="4">
        <f>AVERAGE(E210:E221)</f>
        <v>157.94774819335933</v>
      </c>
    </row>
    <row r="1080" spans="1:5" ht="15">
      <c r="A1080" s="3">
        <v>2031</v>
      </c>
      <c r="B1080" s="4">
        <f>AVERAGE(B222:B233)</f>
        <v>25.560816666666664</v>
      </c>
      <c r="C1080" s="4">
        <f>AVERAGE(C222:C233)</f>
        <v>25.197550000000003</v>
      </c>
      <c r="D1080" s="4">
        <f>AVERAGE(D222:D233)</f>
        <v>35.689133333333331</v>
      </c>
      <c r="E1080" s="4">
        <f>AVERAGE(E222:E233)</f>
        <v>160.74624668761587</v>
      </c>
    </row>
    <row r="1081" spans="1:5" ht="15">
      <c r="A1081" s="3">
        <v>2032</v>
      </c>
      <c r="B1081" s="4">
        <f>AVERAGE(B234:B245)</f>
        <v>25.998283333333333</v>
      </c>
      <c r="C1081" s="4">
        <f>AVERAGE(C234:C245)</f>
        <v>25.634983333333334</v>
      </c>
      <c r="D1081" s="4">
        <f>AVERAGE(D234:D245)</f>
        <v>36.221174999999995</v>
      </c>
      <c r="E1081" s="4">
        <f>AVERAGE(E234:E245)</f>
        <v>163.59432928825268</v>
      </c>
    </row>
    <row r="1082" spans="1:5" ht="15">
      <c r="A1082" s="3">
        <v>2033</v>
      </c>
      <c r="B1082" s="4">
        <f>AVERAGE(B246:B257)</f>
        <v>26.443450000000002</v>
      </c>
      <c r="C1082" s="4">
        <f>AVERAGE(C246:C257)</f>
        <v>26.080175000000008</v>
      </c>
      <c r="D1082" s="4">
        <f>AVERAGE(D246:D257)</f>
        <v>36.761608333333335</v>
      </c>
      <c r="E1082" s="4">
        <f>AVERAGE(E246:E257)</f>
        <v>166.49287453196058</v>
      </c>
    </row>
    <row r="1083" spans="1:5" ht="15">
      <c r="A1083" s="3">
        <v>2034</v>
      </c>
      <c r="B1083" s="4">
        <f>AVERAGE(B258:B269)</f>
        <v>26.896483333333332</v>
      </c>
      <c r="C1083" s="4">
        <f>AVERAGE(C258:C269)</f>
        <v>26.533224999999998</v>
      </c>
      <c r="D1083" s="4">
        <f>AVERAGE(D258:D269)</f>
        <v>37.310524999999991</v>
      </c>
      <c r="E1083" s="4">
        <f>AVERAGE(E258:E269)</f>
        <v>169.44277652144035</v>
      </c>
    </row>
    <row r="1084" spans="1:5" ht="15">
      <c r="A1084" s="3">
        <v>2035</v>
      </c>
      <c r="B1084" s="4">
        <f>AVERAGE(B270:B281)</f>
        <v>27.357525000000006</v>
      </c>
      <c r="C1084" s="4">
        <f>AVERAGE(C270:C281)</f>
        <v>26.994258333333331</v>
      </c>
      <c r="D1084" s="4">
        <f>AVERAGE(D270:D281)</f>
        <v>37.868083333333331</v>
      </c>
      <c r="E1084" s="4">
        <f>AVERAGE(E270:E281)</f>
        <v>172.44494520120375</v>
      </c>
    </row>
    <row r="1085" spans="1:5" ht="15">
      <c r="A1085" s="3">
        <v>2036</v>
      </c>
      <c r="B1085" s="4">
        <f>AVERAGE(B282:B293)</f>
        <v>27.826725</v>
      </c>
      <c r="C1085" s="4">
        <f>AVERAGE(C282:C293)</f>
        <v>27.463449999999998</v>
      </c>
      <c r="D1085" s="4">
        <f>AVERAGE(D282:D293)</f>
        <v>38.43440833333333</v>
      </c>
      <c r="E1085" s="4">
        <f>AVERAGE(E282:E293)</f>
        <v>175.5003066382601</v>
      </c>
    </row>
    <row r="1086" spans="1:5" ht="15">
      <c r="A1086" s="3">
        <v>2037</v>
      </c>
      <c r="B1086" s="4">
        <f>AVERAGE(B294:B305)</f>
        <v>28.304208333333335</v>
      </c>
      <c r="C1086" s="4">
        <f>AVERAGE(C294:C305)</f>
        <v>27.940933333333337</v>
      </c>
      <c r="D1086" s="4">
        <f>AVERAGE(D294:D305)</f>
        <v>39.009625</v>
      </c>
      <c r="E1086" s="4">
        <f>AVERAGE(E294:E305)</f>
        <v>178.60980330777656</v>
      </c>
    </row>
    <row r="1087" spans="1:5" ht="15">
      <c r="A1087" s="3">
        <f t="shared" ref="A1087:A1118" si="0">A1086+1</f>
        <v>2038</v>
      </c>
      <c r="B1087" s="4">
        <f>AVERAGE(B306:B317)</f>
        <v>28.790133333333333</v>
      </c>
      <c r="C1087" s="4">
        <f>AVERAGE(C306:C317)</f>
        <v>28.426858333333339</v>
      </c>
      <c r="D1087" s="4">
        <f>AVERAGE(D306:D317)</f>
        <v>39.593891666666664</v>
      </c>
      <c r="E1087" s="4">
        <f>AVERAGE(E306:E317)</f>
        <v>181.77439438379977</v>
      </c>
    </row>
    <row r="1088" spans="1:5" ht="15">
      <c r="A1088" s="3">
        <f t="shared" si="0"/>
        <v>2039</v>
      </c>
      <c r="B1088" s="4">
        <f>AVERAGE(B318:B329)</f>
        <v>29.284616666666665</v>
      </c>
      <c r="C1088" s="4">
        <f>AVERAGE(C318:C329)</f>
        <v>28.921341666666674</v>
      </c>
      <c r="D1088" s="4">
        <f>AVERAGE(D318:D329)</f>
        <v>40.187374999999996</v>
      </c>
      <c r="E1088" s="4">
        <f>AVERAGE(E318:E329)</f>
        <v>184.99505603512844</v>
      </c>
    </row>
    <row r="1089" spans="1:5" ht="15">
      <c r="A1089" s="3">
        <f t="shared" si="0"/>
        <v>2040</v>
      </c>
      <c r="B1089" s="4">
        <f>AVERAGE(B330:B341)</f>
        <v>29.787866666666662</v>
      </c>
      <c r="C1089" s="4">
        <f>AVERAGE(C330:C341)</f>
        <v>29.424599999999998</v>
      </c>
      <c r="D1089" s="4">
        <f>AVERAGE(D330:D341)</f>
        <v>40.790150000000004</v>
      </c>
      <c r="E1089" s="4">
        <f>AVERAGE(E330:E341)</f>
        <v>188.27278172642801</v>
      </c>
    </row>
    <row r="1090" spans="1:5" ht="15">
      <c r="A1090" s="3">
        <f t="shared" si="0"/>
        <v>2041</v>
      </c>
      <c r="B1090" s="4">
        <f>AVERAGE(B342:B353)</f>
        <v>30.300008333333338</v>
      </c>
      <c r="C1090" s="4">
        <f>AVERAGE(C342:C353)</f>
        <v>29.936716666666666</v>
      </c>
      <c r="D1090" s="4">
        <f>AVERAGE(D342:D353)</f>
        <v>41.402433333333327</v>
      </c>
      <c r="E1090" s="4">
        <f>AVERAGE(E342:E353)</f>
        <v>191.60858252468128</v>
      </c>
    </row>
    <row r="1091" spans="1:5" ht="15">
      <c r="A1091" s="3">
        <f t="shared" si="0"/>
        <v>2042</v>
      </c>
      <c r="B1091" s="4">
        <f>AVERAGE(B354:B365)</f>
        <v>30.821183333333334</v>
      </c>
      <c r="C1091" s="4">
        <f>AVERAGE(C354:C365)</f>
        <v>30.457883333333339</v>
      </c>
      <c r="D1091" s="4">
        <f>AVERAGE(D354:D365)</f>
        <v>42.024316666666657</v>
      </c>
      <c r="E1091" s="4">
        <f>AVERAGE(E354:E365)</f>
        <v>195.00348741106754</v>
      </c>
    </row>
    <row r="1092" spans="1:5" ht="15">
      <c r="A1092" s="3">
        <f t="shared" si="0"/>
        <v>2043</v>
      </c>
      <c r="B1092" s="4">
        <f>AVERAGE(B366:B377)</f>
        <v>31.351583333333334</v>
      </c>
      <c r="C1092" s="4">
        <f>AVERAGE(C366:C377)</f>
        <v>30.988299999999999</v>
      </c>
      <c r="D1092" s="4">
        <f>AVERAGE(D366:D377)</f>
        <v>42.656016666666666</v>
      </c>
      <c r="E1092" s="4">
        <f>AVERAGE(E366:E377)</f>
        <v>198.45854359836878</v>
      </c>
    </row>
    <row r="1093" spans="1:5" ht="15">
      <c r="A1093" s="3">
        <f t="shared" si="0"/>
        <v>2044</v>
      </c>
      <c r="B1093" s="4">
        <f>AVERAGE(B378:B389)</f>
        <v>31.891333333333332</v>
      </c>
      <c r="C1093" s="4">
        <f>AVERAGE(C378:C389)</f>
        <v>31.528041666666667</v>
      </c>
      <c r="D1093" s="4">
        <f>AVERAGE(D378:D389)</f>
        <v>43.297608333333329</v>
      </c>
      <c r="E1093" s="4">
        <f>AVERAGE(E378:E389)</f>
        <v>201.97481685399919</v>
      </c>
    </row>
    <row r="1094" spans="1:5" ht="15">
      <c r="A1094" s="3">
        <f t="shared" si="0"/>
        <v>2045</v>
      </c>
      <c r="B1094" s="4">
        <f>AVERAGE(B390:B401)</f>
        <v>32.440625000000004</v>
      </c>
      <c r="C1094" s="4">
        <f>AVERAGE(C390:C401)</f>
        <v>32.077341666666662</v>
      </c>
      <c r="D1094" s="4">
        <f>AVERAGE(D390:D401)</f>
        <v>43.949308333333335</v>
      </c>
      <c r="E1094" s="4">
        <f>AVERAGE(E390:E401)</f>
        <v>205.55339182875767</v>
      </c>
    </row>
    <row r="1095" spans="1:5" ht="15">
      <c r="A1095" s="3">
        <f t="shared" si="0"/>
        <v>2046</v>
      </c>
      <c r="B1095" s="4">
        <f>AVERAGE(B402:B413)</f>
        <v>32.999625000000002</v>
      </c>
      <c r="C1095" s="4">
        <f>AVERAGE(C402:C413)</f>
        <v>32.636341666666667</v>
      </c>
      <c r="D1095" s="4">
        <f>AVERAGE(D402:D413)</f>
        <v>44.611250000000005</v>
      </c>
      <c r="E1095" s="4">
        <f>AVERAGE(E402:E413)</f>
        <v>209.19537239140706</v>
      </c>
    </row>
    <row r="1096" spans="1:5" ht="15">
      <c r="A1096" s="3">
        <f t="shared" si="0"/>
        <v>2047</v>
      </c>
      <c r="B1096" s="4">
        <f>AVERAGE(B414:B425)</f>
        <v>33.568499999999993</v>
      </c>
      <c r="C1096" s="4">
        <f>AVERAGE(C414:C425)</f>
        <v>33.205216666666665</v>
      </c>
      <c r="D1096" s="4">
        <f>AVERAGE(D414:D425)</f>
        <v>45.283608333333341</v>
      </c>
      <c r="E1096" s="4">
        <f>AVERAGE(E414:E425)</f>
        <v>212.90188196917777</v>
      </c>
    </row>
    <row r="1097" spans="1:5" ht="15">
      <c r="A1097" s="3">
        <f t="shared" si="0"/>
        <v>2048</v>
      </c>
      <c r="B1097" s="4">
        <f>AVERAGE(B426:B437)</f>
        <v>34.147416666666665</v>
      </c>
      <c r="C1097" s="4">
        <f>AVERAGE(C426:C437)</f>
        <v>33.784141666666663</v>
      </c>
      <c r="D1097" s="4">
        <f>AVERAGE(D426:D437)</f>
        <v>45.966541666666664</v>
      </c>
      <c r="E1097" s="4">
        <f>AVERAGE(E426:E437)</f>
        <v>216.67406389430994</v>
      </c>
    </row>
    <row r="1098" spans="1:5" ht="15">
      <c r="A1098" s="3">
        <f t="shared" si="0"/>
        <v>2049</v>
      </c>
      <c r="B1098" s="4">
        <f>AVERAGE(B438:B449)</f>
        <v>34.736591666666669</v>
      </c>
      <c r="C1098" s="4">
        <f>AVERAGE(C438:C449)</f>
        <v>34.373291666666667</v>
      </c>
      <c r="D1098" s="4">
        <f>AVERAGE(D438:D449)</f>
        <v>46.660216666666678</v>
      </c>
      <c r="E1098" s="4">
        <f>AVERAGE(E438:E449)</f>
        <v>220.51308175673003</v>
      </c>
    </row>
    <row r="1099" spans="1:5" ht="15">
      <c r="A1099" s="3">
        <f t="shared" si="0"/>
        <v>2050</v>
      </c>
      <c r="B1099" s="4">
        <f>AVERAGE(B450:B461)</f>
        <v>35.336141666666663</v>
      </c>
      <c r="C1099" s="4">
        <f>AVERAGE(C450:C461)</f>
        <v>34.972875000000002</v>
      </c>
      <c r="D1099" s="4">
        <f>AVERAGE(D450:D461)</f>
        <v>47.364800000000002</v>
      </c>
      <c r="E1099" s="4">
        <f>AVERAGE(E450:E461)</f>
        <v>224.42011976297957</v>
      </c>
    </row>
    <row r="1100" spans="1:5" ht="15">
      <c r="A1100" s="3">
        <f t="shared" si="0"/>
        <v>2051</v>
      </c>
      <c r="B1100" s="4">
        <f>AVERAGE(B462:B473)</f>
        <v>35.946316666666668</v>
      </c>
      <c r="C1100" s="4">
        <f>AVERAGE(C462:C473)</f>
        <v>35.583033333333326</v>
      </c>
      <c r="D1100" s="4">
        <f>AVERAGE(D462:D473)</f>
        <v>48.080449999999992</v>
      </c>
      <c r="E1100" s="4">
        <f>AVERAGE(E462:E473)</f>
        <v>228.39638310150403</v>
      </c>
    </row>
    <row r="1101" spans="1:5" ht="15">
      <c r="A1101" s="3">
        <f t="shared" si="0"/>
        <v>2052</v>
      </c>
      <c r="B1101" s="4">
        <f>AVERAGE(B474:B485)</f>
        <v>36.567250000000008</v>
      </c>
      <c r="C1101" s="4">
        <f>AVERAGE(C474:C485)</f>
        <v>36.203983333333333</v>
      </c>
      <c r="D1101" s="4">
        <f>AVERAGE(D474:D485)</f>
        <v>48.807358333333333</v>
      </c>
      <c r="E1101" s="4">
        <f>AVERAGE(E474:E485)</f>
        <v>232.44309831440958</v>
      </c>
    </row>
    <row r="1102" spans="1:5" ht="15">
      <c r="A1102" s="3">
        <f t="shared" si="0"/>
        <v>2053</v>
      </c>
      <c r="B1102" s="4">
        <f>AVERAGE(B486:B497)</f>
        <v>37.199149999999996</v>
      </c>
      <c r="C1102" s="4">
        <f>AVERAGE(C486:C497)</f>
        <v>36.835866666666668</v>
      </c>
      <c r="D1102" s="4">
        <f>AVERAGE(D486:D497)</f>
        <v>49.545683333333329</v>
      </c>
      <c r="E1102" s="4">
        <f>AVERAGE(E486:E497)</f>
        <v>236.56151367581279</v>
      </c>
    </row>
    <row r="1103" spans="1:5" ht="15">
      <c r="A1103" s="3">
        <f t="shared" si="0"/>
        <v>2054</v>
      </c>
      <c r="B1103" s="4">
        <f>AVERAGE(B498:B509)</f>
        <v>37.842241666666666</v>
      </c>
      <c r="C1103" s="4">
        <f>AVERAGE(C498:C509)</f>
        <v>37.478958333333338</v>
      </c>
      <c r="D1103" s="4">
        <f>AVERAGE(D498:D509)</f>
        <v>50.295633333333335</v>
      </c>
      <c r="E1103" s="4">
        <f>AVERAGE(E498:E509)</f>
        <v>240.75289957688861</v>
      </c>
    </row>
    <row r="1104" spans="1:5" ht="15">
      <c r="A1104" s="3">
        <f t="shared" si="0"/>
        <v>2055</v>
      </c>
      <c r="B1104" s="4">
        <f>AVERAGE(B510:B521)</f>
        <v>38.49666666666667</v>
      </c>
      <c r="C1104" s="4">
        <f>AVERAGE(C510:C521)</f>
        <v>38.133400000000002</v>
      </c>
      <c r="D1104" s="4">
        <f>AVERAGE(D510:D521)</f>
        <v>51.057383333333327</v>
      </c>
      <c r="E1104" s="4">
        <f>AVERAGE(E510:E521)</f>
        <v>245.01854891774391</v>
      </c>
    </row>
    <row r="1105" spans="1:5" ht="15">
      <c r="A1105" s="3">
        <f t="shared" si="0"/>
        <v>2056</v>
      </c>
      <c r="B1105" s="4">
        <f>AVERAGE(B522:B533)</f>
        <v>39.162683333333327</v>
      </c>
      <c r="C1105" s="4">
        <f>AVERAGE(C522:C533)</f>
        <v>38.799391666666665</v>
      </c>
      <c r="D1105" s="4">
        <f>AVERAGE(D522:D533)</f>
        <v>51.831116666666674</v>
      </c>
      <c r="E1105" s="4">
        <f>AVERAGE(E522:E533)</f>
        <v>249.35977750623235</v>
      </c>
    </row>
    <row r="1106" spans="1:5" ht="15">
      <c r="A1106" s="3">
        <f t="shared" si="0"/>
        <v>2057</v>
      </c>
      <c r="B1106" s="4">
        <f>AVERAGE(B534:B545)</f>
        <v>39.840441666666671</v>
      </c>
      <c r="C1106" s="4">
        <f>AVERAGE(C534:C545)</f>
        <v>39.477166666666669</v>
      </c>
      <c r="D1106" s="4">
        <f>AVERAGE(D534:D545)</f>
        <v>52.617008333333324</v>
      </c>
      <c r="E1106" s="4">
        <f>AVERAGE(E534:E545)</f>
        <v>253.77792446383739</v>
      </c>
    </row>
    <row r="1107" spans="1:5" ht="15">
      <c r="A1107" s="3">
        <f t="shared" si="0"/>
        <v>2058</v>
      </c>
      <c r="B1107" s="4">
        <f>AVERAGE(B546:B557)</f>
        <v>40.530183333333333</v>
      </c>
      <c r="C1107" s="4">
        <f>AVERAGE(C546:C557)</f>
        <v>40.166908333333332</v>
      </c>
      <c r="D1107" s="4">
        <f>AVERAGE(D546:D557)</f>
        <v>53.415241666666667</v>
      </c>
      <c r="E1107" s="4">
        <f>AVERAGE(E546:E557)</f>
        <v>258.27435263874543</v>
      </c>
    </row>
    <row r="1108" spans="1:5" ht="15">
      <c r="A1108" s="3">
        <f t="shared" si="0"/>
        <v>2059</v>
      </c>
      <c r="B1108" s="4">
        <f>AVERAGE(B558:B569)</f>
        <v>41.23211666666667</v>
      </c>
      <c r="C1108" s="4">
        <f>AVERAGE(C558:C569)</f>
        <v>40.868833333333335</v>
      </c>
      <c r="D1108" s="4">
        <f>AVERAGE(D558:D569)</f>
        <v>54.226033333333326</v>
      </c>
      <c r="E1108" s="4">
        <f>AVERAGE(E558:E569)</f>
        <v>262.85044902623775</v>
      </c>
    </row>
    <row r="1109" spans="1:5" ht="15">
      <c r="A1109" s="3">
        <f t="shared" si="0"/>
        <v>2060</v>
      </c>
      <c r="B1109" s="4">
        <f>AVERAGE(B570:B581)</f>
        <v>41.946441666666672</v>
      </c>
      <c r="C1109" s="4">
        <f>AVERAGE(C570:C581)</f>
        <v>41.583158333333337</v>
      </c>
      <c r="D1109" s="4">
        <f>AVERAGE(D570:D581)</f>
        <v>55.049600000000005</v>
      </c>
      <c r="E1109" s="4">
        <f>AVERAGE(E570:E581)</f>
        <v>267.50762519653125</v>
      </c>
    </row>
    <row r="1110" spans="1:5" ht="15">
      <c r="A1110" s="3">
        <f t="shared" si="0"/>
        <v>2061</v>
      </c>
      <c r="B1110" s="4">
        <f>AVERAGE(B582:B593)</f>
        <v>42.673416666666668</v>
      </c>
      <c r="C1110" s="4">
        <f>AVERAGE(C582:C593)</f>
        <v>42.310124999999999</v>
      </c>
      <c r="D1110" s="4">
        <f>AVERAGE(D582:D593)</f>
        <v>55.886083333333339</v>
      </c>
      <c r="E1110" s="4">
        <f>AVERAGE(E582:E593)</f>
        <v>272.24731773020153</v>
      </c>
    </row>
    <row r="1111" spans="1:5" ht="15">
      <c r="A1111" s="3">
        <f t="shared" si="0"/>
        <v>2062</v>
      </c>
      <c r="B1111" s="4">
        <f t="shared" ref="B1111:E1130" ca="1" si="1">AVERAGE(OFFSET(B$594,($A1111-$A$1111)*12,0,12,1))</f>
        <v>43.41319166666667</v>
      </c>
      <c r="C1111" s="4">
        <f t="shared" ca="1" si="1"/>
        <v>43.049916666666668</v>
      </c>
      <c r="D1111" s="4">
        <f t="shared" ca="1" si="1"/>
        <v>56.735741666666662</v>
      </c>
      <c r="E1111" s="4">
        <f t="shared" ca="1" si="1"/>
        <v>277.07098866131662</v>
      </c>
    </row>
    <row r="1112" spans="1:5" ht="15">
      <c r="A1112" s="3">
        <f t="shared" si="0"/>
        <v>2063</v>
      </c>
      <c r="B1112" s="4">
        <f t="shared" ca="1" si="1"/>
        <v>44.166066666666666</v>
      </c>
      <c r="C1112" s="4">
        <f t="shared" ca="1" si="1"/>
        <v>43.802791666666657</v>
      </c>
      <c r="D1112" s="4">
        <f t="shared" ca="1" si="1"/>
        <v>57.598741666666662</v>
      </c>
      <c r="E1112" s="4">
        <f t="shared" ca="1" si="1"/>
        <v>281.98012592842747</v>
      </c>
    </row>
    <row r="1113" spans="1:5" ht="15">
      <c r="A1113" s="3">
        <f t="shared" si="0"/>
        <v>2064</v>
      </c>
      <c r="B1113" s="4">
        <f t="shared" ca="1" si="1"/>
        <v>44.932224999999995</v>
      </c>
      <c r="C1113" s="4">
        <f t="shared" ca="1" si="1"/>
        <v>44.568958333333335</v>
      </c>
      <c r="D1113" s="4">
        <f t="shared" ca="1" si="1"/>
        <v>58.475324999999998</v>
      </c>
      <c r="E1113" s="4">
        <f t="shared" ca="1" si="1"/>
        <v>286.97624383354406</v>
      </c>
    </row>
    <row r="1114" spans="1:5" ht="15">
      <c r="A1114" s="3">
        <f t="shared" si="0"/>
        <v>2065</v>
      </c>
      <c r="B1114" s="4">
        <f t="shared" ca="1" si="1"/>
        <v>45.711941666666668</v>
      </c>
      <c r="C1114" s="4">
        <f t="shared" ca="1" si="1"/>
        <v>45.348658333333333</v>
      </c>
      <c r="D1114" s="4">
        <f t="shared" ca="1" si="1"/>
        <v>59.365708333333345</v>
      </c>
      <c r="E1114" s="4">
        <f t="shared" ca="1" si="1"/>
        <v>292.06088350924767</v>
      </c>
    </row>
    <row r="1115" spans="1:5" ht="15">
      <c r="A1115" s="3">
        <f t="shared" si="0"/>
        <v>2066</v>
      </c>
      <c r="B1115" s="4">
        <f t="shared" ca="1" si="1"/>
        <v>46.505425000000002</v>
      </c>
      <c r="C1115" s="4">
        <f t="shared" ca="1" si="1"/>
        <v>46.142141666666667</v>
      </c>
      <c r="D1115" s="4">
        <f t="shared" ca="1" si="1"/>
        <v>60.270066666666658</v>
      </c>
      <c r="E1115" s="4">
        <f t="shared" ca="1" si="1"/>
        <v>297.23561339407746</v>
      </c>
    </row>
    <row r="1116" spans="1:5" ht="15">
      <c r="A1116" s="3">
        <f t="shared" si="0"/>
        <v>2067</v>
      </c>
      <c r="B1116" s="4">
        <f t="shared" ca="1" si="1"/>
        <v>47.312908333333333</v>
      </c>
      <c r="C1116" s="4">
        <f t="shared" ca="1" si="1"/>
        <v>46.949641666666672</v>
      </c>
      <c r="D1116" s="4">
        <f t="shared" ca="1" si="1"/>
        <v>61.188658333333329</v>
      </c>
      <c r="E1116" s="4">
        <f t="shared" ca="1" si="1"/>
        <v>302.50202971634008</v>
      </c>
    </row>
    <row r="1117" spans="1:5" ht="15">
      <c r="A1117" s="3">
        <f t="shared" si="0"/>
        <v>2068</v>
      </c>
      <c r="B1117" s="4">
        <f t="shared" ca="1" si="1"/>
        <v>48.134683333333335</v>
      </c>
      <c r="C1117" s="4">
        <f t="shared" ca="1" si="1"/>
        <v>47.77141666666666</v>
      </c>
      <c r="D1117" s="4">
        <f t="shared" ca="1" si="1"/>
        <v>62.121699999999997</v>
      </c>
      <c r="E1117" s="4">
        <f t="shared" ca="1" si="1"/>
        <v>307.86175698649259</v>
      </c>
    </row>
    <row r="1118" spans="1:5" ht="15">
      <c r="A1118" s="3">
        <f t="shared" si="0"/>
        <v>2069</v>
      </c>
      <c r="B1118" s="4">
        <f t="shared" ca="1" si="1"/>
        <v>48.970983333333329</v>
      </c>
      <c r="C1118" s="4">
        <f t="shared" ca="1" si="1"/>
        <v>48.607700000000001</v>
      </c>
      <c r="D1118" s="4">
        <f t="shared" ca="1" si="1"/>
        <v>63.069400000000002</v>
      </c>
      <c r="E1118" s="4">
        <f t="shared" ca="1" si="1"/>
        <v>313.31644849824767</v>
      </c>
    </row>
    <row r="1119" spans="1:5" ht="15">
      <c r="A1119" s="3">
        <f t="shared" ref="A1119:A1149" si="2">A1118+1</f>
        <v>2070</v>
      </c>
      <c r="B1119" s="4">
        <f t="shared" ca="1" si="1"/>
        <v>49.822041666666657</v>
      </c>
      <c r="C1119" s="4">
        <f t="shared" ca="1" si="1"/>
        <v>49.458758333333328</v>
      </c>
      <c r="D1119" s="4">
        <f t="shared" ca="1" si="1"/>
        <v>64.032016666666678</v>
      </c>
      <c r="E1119" s="4">
        <f t="shared" ca="1" si="1"/>
        <v>318.86778683855999</v>
      </c>
    </row>
    <row r="1120" spans="1:5" ht="15">
      <c r="A1120" s="3">
        <f t="shared" si="2"/>
        <v>2071</v>
      </c>
      <c r="B1120" s="4">
        <f t="shared" ca="1" si="1"/>
        <v>50.68814166666666</v>
      </c>
      <c r="C1120" s="4">
        <f t="shared" ca="1" si="1"/>
        <v>50.324866666666658</v>
      </c>
      <c r="D1120" s="4">
        <f t="shared" ca="1" si="1"/>
        <v>65.009758333333323</v>
      </c>
      <c r="E1120" s="4">
        <f t="shared" ca="1" si="1"/>
        <v>324.51748440664556</v>
      </c>
    </row>
    <row r="1121" spans="1:5" ht="15">
      <c r="A1121" s="3">
        <f t="shared" si="2"/>
        <v>2072</v>
      </c>
      <c r="B1121" s="4">
        <f t="shared" ca="1" si="1"/>
        <v>51.569533333333339</v>
      </c>
      <c r="C1121" s="4">
        <f t="shared" ca="1" si="1"/>
        <v>51.206266666666664</v>
      </c>
      <c r="D1121" s="4">
        <f t="shared" ca="1" si="1"/>
        <v>66.002891666666685</v>
      </c>
      <c r="E1121" s="4">
        <f t="shared" ca="1" si="1"/>
        <v>330.26728394220004</v>
      </c>
    </row>
    <row r="1122" spans="1:5" ht="15">
      <c r="A1122" s="3">
        <f t="shared" si="2"/>
        <v>2073</v>
      </c>
      <c r="B1122" s="4">
        <f t="shared" ca="1" si="1"/>
        <v>52.466525000000011</v>
      </c>
      <c r="C1122" s="4">
        <f t="shared" ca="1" si="1"/>
        <v>52.103224999999988</v>
      </c>
      <c r="D1122" s="4">
        <f t="shared" ca="1" si="1"/>
        <v>67.011633333333336</v>
      </c>
      <c r="E1122" s="4">
        <f t="shared" ca="1" si="1"/>
        <v>336.11895906297372</v>
      </c>
    </row>
    <row r="1123" spans="1:5" ht="15">
      <c r="A1123" s="3">
        <f t="shared" si="2"/>
        <v>2074</v>
      </c>
      <c r="B1123" s="4">
        <f t="shared" ca="1" si="1"/>
        <v>53.379358333333336</v>
      </c>
      <c r="C1123" s="4">
        <f t="shared" ca="1" si="1"/>
        <v>53.016058333333341</v>
      </c>
      <c r="D1123" s="4">
        <f t="shared" ca="1" si="1"/>
        <v>68.036225000000002</v>
      </c>
      <c r="E1123" s="4">
        <f t="shared" ca="1" si="1"/>
        <v>342.07431481187274</v>
      </c>
    </row>
    <row r="1124" spans="1:5" ht="15">
      <c r="A1124" s="3">
        <f t="shared" si="2"/>
        <v>2075</v>
      </c>
      <c r="B1124" s="4">
        <f t="shared" ca="1" si="1"/>
        <v>54.308299999999996</v>
      </c>
      <c r="C1124" s="4">
        <f t="shared" ca="1" si="1"/>
        <v>53.945016666666675</v>
      </c>
      <c r="D1124" s="4">
        <f t="shared" ca="1" si="1"/>
        <v>69.076933333333344</v>
      </c>
      <c r="E1124" s="4">
        <f t="shared" ca="1" si="1"/>
        <v>348.13518821375374</v>
      </c>
    </row>
    <row r="1125" spans="1:5" ht="15">
      <c r="A1125" s="3">
        <f t="shared" si="2"/>
        <v>2076</v>
      </c>
      <c r="B1125" s="4">
        <f t="shared" ca="1" si="1"/>
        <v>55.253675000000008</v>
      </c>
      <c r="C1125" s="4">
        <f t="shared" ca="1" si="1"/>
        <v>54.89039166666668</v>
      </c>
      <c r="D1125" s="4">
        <f t="shared" ca="1" si="1"/>
        <v>70.134008333333341</v>
      </c>
      <c r="E1125" s="4">
        <f t="shared" ca="1" si="1"/>
        <v>354.3034488420829</v>
      </c>
    </row>
    <row r="1126" spans="1:5" ht="15">
      <c r="A1126" s="3">
        <f t="shared" si="2"/>
        <v>2077</v>
      </c>
      <c r="B1126" s="4">
        <f t="shared" ca="1" si="1"/>
        <v>56.215741666666673</v>
      </c>
      <c r="C1126" s="4">
        <f t="shared" ca="1" si="1"/>
        <v>55.852449999999997</v>
      </c>
      <c r="D1126" s="4">
        <f t="shared" ca="1" si="1"/>
        <v>71.207700000000003</v>
      </c>
      <c r="E1126" s="4">
        <f t="shared" ca="1" si="1"/>
        <v>360.58099939563641</v>
      </c>
    </row>
    <row r="1127" spans="1:5" ht="15">
      <c r="A1127" s="3">
        <f t="shared" si="2"/>
        <v>2078</v>
      </c>
      <c r="B1127" s="4">
        <f t="shared" ca="1" si="1"/>
        <v>57.194800000000008</v>
      </c>
      <c r="C1127" s="4">
        <f t="shared" ca="1" si="1"/>
        <v>56.831508333333346</v>
      </c>
      <c r="D1127" s="4">
        <f t="shared" ca="1" si="1"/>
        <v>72.29828333333333</v>
      </c>
      <c r="E1127" s="4">
        <f t="shared" ca="1" si="1"/>
        <v>366.96977628541777</v>
      </c>
    </row>
    <row r="1128" spans="1:5" ht="15">
      <c r="A1128" s="3">
        <f t="shared" si="2"/>
        <v>2079</v>
      </c>
      <c r="B1128" s="4">
        <f t="shared" ca="1" si="1"/>
        <v>58.19115</v>
      </c>
      <c r="C1128" s="4">
        <f t="shared" ca="1" si="1"/>
        <v>57.827866666666658</v>
      </c>
      <c r="D1128" s="4">
        <f t="shared" ca="1" si="1"/>
        <v>73.406025</v>
      </c>
      <c r="E1128" s="4">
        <f t="shared" ca="1" si="1"/>
        <v>373.47175023197627</v>
      </c>
    </row>
    <row r="1129" spans="1:5" ht="15">
      <c r="A1129" s="3">
        <f t="shared" si="2"/>
        <v>2080</v>
      </c>
      <c r="B1129" s="4">
        <f t="shared" ca="1" si="1"/>
        <v>59.205108333333335</v>
      </c>
      <c r="C1129" s="4">
        <f t="shared" ca="1" si="1"/>
        <v>58.84184166666666</v>
      </c>
      <c r="D1129" s="4">
        <f t="shared" ca="1" si="1"/>
        <v>74.531191666666686</v>
      </c>
      <c r="E1129" s="4">
        <f t="shared" ca="1" si="1"/>
        <v>380.08892687330496</v>
      </c>
    </row>
    <row r="1130" spans="1:5" ht="15">
      <c r="A1130" s="3">
        <f t="shared" si="2"/>
        <v>2081</v>
      </c>
      <c r="B1130" s="4">
        <f t="shared" ca="1" si="1"/>
        <v>60.237008333333335</v>
      </c>
      <c r="C1130" s="4">
        <f t="shared" ca="1" si="1"/>
        <v>59.873733333333327</v>
      </c>
      <c r="D1130" s="4">
        <f t="shared" ca="1" si="1"/>
        <v>75.674024999999986</v>
      </c>
      <c r="E1130" s="4">
        <f t="shared" ca="1" si="1"/>
        <v>386.82334738351432</v>
      </c>
    </row>
    <row r="1131" spans="1:5" ht="15">
      <c r="A1131" s="3">
        <f t="shared" si="2"/>
        <v>2082</v>
      </c>
      <c r="B1131" s="4">
        <f t="shared" ref="B1131:E1149" ca="1" si="3">AVERAGE(OFFSET(B$594,($A1131-$A$1111)*12,0,12,1))</f>
        <v>61.287125000000003</v>
      </c>
      <c r="C1131" s="4">
        <f t="shared" ca="1" si="3"/>
        <v>60.923841666666675</v>
      </c>
      <c r="D1131" s="4">
        <f t="shared" ca="1" si="3"/>
        <v>76.834850000000003</v>
      </c>
      <c r="E1131" s="4">
        <f t="shared" ca="1" si="3"/>
        <v>393.67708910246239</v>
      </c>
    </row>
    <row r="1132" spans="1:5" ht="15">
      <c r="A1132" s="3">
        <f t="shared" si="2"/>
        <v>2083</v>
      </c>
      <c r="B1132" s="4">
        <f t="shared" ca="1" si="3"/>
        <v>62.355800000000009</v>
      </c>
      <c r="C1132" s="4">
        <f t="shared" ca="1" si="3"/>
        <v>61.992508333333348</v>
      </c>
      <c r="D1132" s="4">
        <f t="shared" ca="1" si="3"/>
        <v>78.013908333333333</v>
      </c>
      <c r="E1132" s="4">
        <f t="shared" ca="1" si="3"/>
        <v>400.65226617654633</v>
      </c>
    </row>
    <row r="1133" spans="1:5" ht="15">
      <c r="A1133" s="3">
        <f t="shared" si="2"/>
        <v>2084</v>
      </c>
      <c r="B1133" s="4">
        <f t="shared" ca="1" si="3"/>
        <v>63.443324999999987</v>
      </c>
      <c r="C1133" s="4">
        <f t="shared" ca="1" si="3"/>
        <v>63.080058333333319</v>
      </c>
      <c r="D1133" s="4">
        <f t="shared" ca="1" si="3"/>
        <v>79.211516666666668</v>
      </c>
      <c r="E1133" s="4">
        <f t="shared" ca="1" si="3"/>
        <v>407.75103021084266</v>
      </c>
    </row>
    <row r="1134" spans="1:5" ht="15">
      <c r="A1134" s="3">
        <f t="shared" si="2"/>
        <v>2085</v>
      </c>
      <c r="B1134" s="4">
        <f t="shared" ca="1" si="3"/>
        <v>64.5501</v>
      </c>
      <c r="C1134" s="4">
        <f t="shared" ca="1" si="3"/>
        <v>64.186833333333325</v>
      </c>
      <c r="D1134" s="4">
        <f t="shared" ca="1" si="3"/>
        <v>80.427949999999996</v>
      </c>
      <c r="E1134" s="4">
        <f t="shared" ca="1" si="3"/>
        <v>414.97557093280528</v>
      </c>
    </row>
    <row r="1135" spans="1:5" ht="15">
      <c r="A1135" s="3">
        <f t="shared" si="2"/>
        <v>2086</v>
      </c>
      <c r="B1135" s="4">
        <f t="shared" ca="1" si="3"/>
        <v>65.676424999999995</v>
      </c>
      <c r="C1135" s="4">
        <f t="shared" ca="1" si="3"/>
        <v>65.31313333333334</v>
      </c>
      <c r="D1135" s="4">
        <f t="shared" ca="1" si="3"/>
        <v>81.663550000000001</v>
      </c>
      <c r="E1135" s="4">
        <f t="shared" ca="1" si="3"/>
        <v>422.32811686772169</v>
      </c>
    </row>
    <row r="1136" spans="1:5" ht="15">
      <c r="A1136" s="3">
        <f t="shared" si="2"/>
        <v>2087</v>
      </c>
      <c r="B1136" s="4">
        <f t="shared" ca="1" si="3"/>
        <v>66.822649999999996</v>
      </c>
      <c r="C1136" s="4">
        <f t="shared" ca="1" si="3"/>
        <v>66.459358333333327</v>
      </c>
      <c r="D1136" s="4">
        <f t="shared" ca="1" si="3"/>
        <v>82.918541666666655</v>
      </c>
      <c r="E1136" s="4">
        <f t="shared" ca="1" si="3"/>
        <v>429.81093602613697</v>
      </c>
    </row>
    <row r="1137" spans="1:5" ht="15">
      <c r="A1137" s="3">
        <f t="shared" si="2"/>
        <v>2088</v>
      </c>
      <c r="B1137" s="4">
        <f t="shared" ca="1" si="3"/>
        <v>67.989124999999987</v>
      </c>
      <c r="C1137" s="4">
        <f t="shared" ca="1" si="3"/>
        <v>67.625833333333318</v>
      </c>
      <c r="D1137" s="4">
        <f t="shared" ca="1" si="3"/>
        <v>84.193266666666673</v>
      </c>
      <c r="E1137" s="4">
        <f t="shared" ca="1" si="3"/>
        <v>437.42633660345928</v>
      </c>
    </row>
    <row r="1138" spans="1:5" ht="15">
      <c r="A1138" s="3">
        <f t="shared" si="2"/>
        <v>2089</v>
      </c>
      <c r="B1138" s="4">
        <f t="shared" ca="1" si="3"/>
        <v>69.176216666666662</v>
      </c>
      <c r="C1138" s="4">
        <f t="shared" ca="1" si="3"/>
        <v>68.812933333333334</v>
      </c>
      <c r="D1138" s="4">
        <f t="shared" ca="1" si="3"/>
        <v>85.488050000000001</v>
      </c>
      <c r="E1138" s="4">
        <f t="shared" ca="1" si="3"/>
        <v>445.17666769195779</v>
      </c>
    </row>
    <row r="1139" spans="1:5" ht="15">
      <c r="A1139" s="3">
        <f t="shared" si="2"/>
        <v>2090</v>
      </c>
      <c r="B1139" s="4">
        <f t="shared" ca="1" si="3"/>
        <v>70.384266666666662</v>
      </c>
      <c r="C1139" s="4">
        <f t="shared" ca="1" si="3"/>
        <v>70.020974999999993</v>
      </c>
      <c r="D1139" s="4">
        <f t="shared" ca="1" si="3"/>
        <v>86.803183333333337</v>
      </c>
      <c r="E1139" s="4">
        <f t="shared" ca="1" si="3"/>
        <v>453.06432000537893</v>
      </c>
    </row>
    <row r="1140" spans="1:5" ht="15">
      <c r="A1140" s="3">
        <f t="shared" si="2"/>
        <v>2091</v>
      </c>
      <c r="B1140" s="4">
        <f t="shared" ca="1" si="3"/>
        <v>71.613658333333333</v>
      </c>
      <c r="C1140" s="4">
        <f t="shared" ca="1" si="3"/>
        <v>71.250374999999991</v>
      </c>
      <c r="D1140" s="4">
        <f t="shared" ca="1" si="3"/>
        <v>88.139008333333337</v>
      </c>
      <c r="E1140" s="4">
        <f t="shared" ca="1" si="3"/>
        <v>461.09172661640082</v>
      </c>
    </row>
    <row r="1141" spans="1:5" ht="15">
      <c r="A1141" s="3">
        <f t="shared" si="2"/>
        <v>2092</v>
      </c>
      <c r="B1141" s="4">
        <f t="shared" ca="1" si="3"/>
        <v>72.864774999999995</v>
      </c>
      <c r="C1141" s="4">
        <f t="shared" ca="1" si="3"/>
        <v>72.501491666666666</v>
      </c>
      <c r="D1141" s="4">
        <f t="shared" ca="1" si="3"/>
        <v>89.495850000000004</v>
      </c>
      <c r="E1141" s="4">
        <f t="shared" ca="1" si="3"/>
        <v>469.26136370715238</v>
      </c>
    </row>
    <row r="1142" spans="1:5" ht="15">
      <c r="A1142" s="3">
        <f t="shared" si="2"/>
        <v>2093</v>
      </c>
      <c r="B1142" s="4">
        <f t="shared" ca="1" si="3"/>
        <v>74.137999999999991</v>
      </c>
      <c r="C1142" s="4">
        <f t="shared" ca="1" si="3"/>
        <v>73.774724999999975</v>
      </c>
      <c r="D1142" s="4">
        <f t="shared" ca="1" si="3"/>
        <v>90.873999999999981</v>
      </c>
      <c r="E1142" s="4">
        <f t="shared" ca="1" si="3"/>
        <v>477.57575133303135</v>
      </c>
    </row>
    <row r="1143" spans="1:5" ht="15">
      <c r="A1143" s="3">
        <f t="shared" si="2"/>
        <v>2094</v>
      </c>
      <c r="B1143" s="4">
        <f t="shared" ca="1" si="3"/>
        <v>75.433716666666655</v>
      </c>
      <c r="C1143" s="4">
        <f t="shared" ca="1" si="3"/>
        <v>75.070441666666667</v>
      </c>
      <c r="D1143" s="4">
        <f t="shared" ca="1" si="3"/>
        <v>92.273824999999988</v>
      </c>
      <c r="E1143" s="4">
        <f t="shared" ca="1" si="3"/>
        <v>486.03745420005743</v>
      </c>
    </row>
    <row r="1144" spans="1:5" ht="15">
      <c r="A1144" s="3">
        <f t="shared" si="2"/>
        <v>2095</v>
      </c>
      <c r="B1144" s="4">
        <f t="shared" ca="1" si="3"/>
        <v>76.75233333333334</v>
      </c>
      <c r="C1144" s="4">
        <f t="shared" ca="1" si="3"/>
        <v>76.389049999999997</v>
      </c>
      <c r="D1144" s="4">
        <f t="shared" ca="1" si="3"/>
        <v>93.695691666666661</v>
      </c>
      <c r="E1144" s="4">
        <f t="shared" ca="1" si="3"/>
        <v>494.64908245599423</v>
      </c>
    </row>
    <row r="1145" spans="1:5" ht="15">
      <c r="A1145" s="3">
        <f t="shared" si="2"/>
        <v>2096</v>
      </c>
      <c r="B1145" s="4">
        <f t="shared" ca="1" si="3"/>
        <v>78.094258333333315</v>
      </c>
      <c r="C1145" s="4">
        <f t="shared" ca="1" si="3"/>
        <v>77.730966666666674</v>
      </c>
      <c r="D1145" s="4">
        <f t="shared" ca="1" si="3"/>
        <v>95.139908333333324</v>
      </c>
      <c r="E1145" s="4">
        <f t="shared" ca="1" si="3"/>
        <v>503.4132924954942</v>
      </c>
    </row>
    <row r="1146" spans="1:5" ht="15">
      <c r="A1146" s="3">
        <f t="shared" si="2"/>
        <v>2097</v>
      </c>
      <c r="B1146" s="4">
        <f t="shared" ca="1" si="3"/>
        <v>79.459866666666656</v>
      </c>
      <c r="C1146" s="4">
        <f t="shared" ca="1" si="3"/>
        <v>79.096591666666669</v>
      </c>
      <c r="D1146" s="4">
        <f t="shared" ca="1" si="3"/>
        <v>96.606800000000007</v>
      </c>
      <c r="E1146" s="4">
        <f t="shared" ca="1" si="3"/>
        <v>512.33278777950375</v>
      </c>
    </row>
    <row r="1147" spans="1:5" ht="15">
      <c r="A1147" s="3">
        <f t="shared" si="2"/>
        <v>2098</v>
      </c>
      <c r="B1147" s="4">
        <f t="shared" ca="1" si="3"/>
        <v>80.849624999999989</v>
      </c>
      <c r="C1147" s="4">
        <f t="shared" ca="1" si="3"/>
        <v>80.48633333333332</v>
      </c>
      <c r="D1147" s="4">
        <f t="shared" ca="1" si="3"/>
        <v>98.096783333333306</v>
      </c>
      <c r="E1147" s="4">
        <f t="shared" ca="1" si="3"/>
        <v>521.41031966918922</v>
      </c>
    </row>
    <row r="1148" spans="1:5" ht="15">
      <c r="A1148" s="3">
        <f t="shared" si="2"/>
        <v>2099</v>
      </c>
      <c r="B1148" s="4">
        <f t="shared" ca="1" si="3"/>
        <v>82.263925</v>
      </c>
      <c r="C1148" s="4">
        <f t="shared" ca="1" si="3"/>
        <v>81.900649999999999</v>
      </c>
      <c r="D1148" s="4">
        <f t="shared" ca="1" si="3"/>
        <v>99.610191666666665</v>
      </c>
      <c r="E1148" s="4">
        <f t="shared" ca="1" si="3"/>
        <v>530.64868827463999</v>
      </c>
    </row>
    <row r="1149" spans="1:5" ht="15">
      <c r="A1149" s="3">
        <f t="shared" si="2"/>
        <v>2100</v>
      </c>
      <c r="B1149" s="4">
        <f t="shared" ca="1" si="3"/>
        <v>83.703208333333322</v>
      </c>
      <c r="C1149" s="4">
        <f t="shared" ca="1" si="3"/>
        <v>83.339950000000002</v>
      </c>
      <c r="D1149" s="4">
        <f t="shared" ca="1" si="3"/>
        <v>101.147425</v>
      </c>
      <c r="E1149" s="4">
        <f t="shared" ca="1" si="3"/>
        <v>540.05074331860624</v>
      </c>
    </row>
    <row r="1150" spans="1:5">
      <c r="A1150" s="27"/>
    </row>
    <row r="1151" spans="1:5">
      <c r="A1151" s="27"/>
    </row>
    <row r="1152" spans="1:5">
      <c r="A1152" s="27"/>
    </row>
    <row r="1153" spans="1:1">
      <c r="A1153" s="27"/>
    </row>
    <row r="1154" spans="1:1">
      <c r="A1154" s="27"/>
    </row>
    <row r="1155" spans="1:1">
      <c r="A1155" s="27"/>
    </row>
    <row r="1156" spans="1:1">
      <c r="A1156" s="27"/>
    </row>
    <row r="1157" spans="1:1">
      <c r="A1157" s="27"/>
    </row>
    <row r="1158" spans="1:1">
      <c r="A1158" s="27"/>
    </row>
    <row r="1159" spans="1:1">
      <c r="A1159" s="27"/>
    </row>
    <row r="1160" spans="1:1">
      <c r="A1160" s="27"/>
    </row>
    <row r="1161" spans="1:1">
      <c r="A1161" s="27"/>
    </row>
    <row r="1162" spans="1:1">
      <c r="A1162" s="27"/>
    </row>
    <row r="1163" spans="1:1">
      <c r="A1163" s="27"/>
    </row>
    <row r="1164" spans="1:1">
      <c r="A1164" s="27"/>
    </row>
    <row r="1165" spans="1:1">
      <c r="A1165" s="27"/>
    </row>
    <row r="1166" spans="1:1">
      <c r="A1166" s="27"/>
    </row>
    <row r="1167" spans="1:1">
      <c r="A1167" s="27"/>
    </row>
    <row r="1168" spans="1:1">
      <c r="A1168" s="27"/>
    </row>
    <row r="1169" spans="1:1">
      <c r="A1169" s="27"/>
    </row>
  </sheetData>
  <mergeCells count="1">
    <mergeCell ref="B15:C15"/>
  </mergeCells>
  <pageMargins left="0.25" right="0.25" top="0.5" bottom="0.5" header="0.25" footer="0.25"/>
  <pageSetup scale="80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10</xdr:row>
                    <xdr:rowOff>171450</xdr:rowOff>
                  </from>
                  <to>
                    <xdr:col>2</xdr:col>
                    <xdr:colOff>666750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10</xdr:row>
                    <xdr:rowOff>171450</xdr:rowOff>
                  </from>
                  <to>
                    <xdr:col>4</xdr:col>
                    <xdr:colOff>371475</xdr:colOff>
                    <xdr:row>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49"/>
  <sheetViews>
    <sheetView zoomScale="70" zoomScaleNormal="70" workbookViewId="0">
      <pane xSplit="1" ySplit="17" topLeftCell="B21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27" customWidth="1"/>
    <col min="2" max="2" width="19" style="27" customWidth="1"/>
    <col min="3" max="3" width="16.109375" style="27" customWidth="1"/>
    <col min="4" max="4" width="20.21875" style="27" customWidth="1"/>
    <col min="5" max="5" width="20.6640625" style="27" customWidth="1"/>
    <col min="6" max="6" width="16.109375" style="27" customWidth="1"/>
    <col min="7" max="9" width="20" style="27" customWidth="1"/>
    <col min="10" max="10" width="16.109375" style="27" customWidth="1"/>
    <col min="11" max="13" width="19.109375" style="27" customWidth="1"/>
    <col min="14" max="14" width="16.109375" style="27" customWidth="1"/>
    <col min="15" max="15" width="19.77734375" style="27" customWidth="1"/>
    <col min="16" max="16" width="16.109375" style="27" customWidth="1"/>
    <col min="17" max="19" width="17.6640625" style="27" customWidth="1"/>
    <col min="20" max="16384" width="7.109375" style="27"/>
  </cols>
  <sheetData>
    <row r="1" spans="1:19" ht="15.75">
      <c r="A1" s="79" t="s">
        <v>64</v>
      </c>
    </row>
    <row r="2" spans="1:19" ht="15.75">
      <c r="A2" s="79" t="s">
        <v>65</v>
      </c>
    </row>
    <row r="3" spans="1:19" ht="15.75">
      <c r="A3" s="79" t="s">
        <v>66</v>
      </c>
    </row>
    <row r="4" spans="1:19" ht="15.75">
      <c r="A4" s="79" t="s">
        <v>67</v>
      </c>
    </row>
    <row r="5" spans="1:19" ht="15.75">
      <c r="A5" s="79" t="s">
        <v>73</v>
      </c>
    </row>
    <row r="6" spans="1:19" ht="15.75">
      <c r="A6" s="79" t="s">
        <v>70</v>
      </c>
    </row>
    <row r="10" spans="1:19" ht="15" customHeight="1">
      <c r="A10" s="69" t="s">
        <v>24</v>
      </c>
    </row>
    <row r="11" spans="1:19" ht="15" customHeight="1">
      <c r="A11" s="70"/>
    </row>
    <row r="12" spans="1:19" ht="15" customHeight="1">
      <c r="A12" s="70"/>
    </row>
    <row r="13" spans="1:19" ht="15" customHeight="1">
      <c r="B13" s="69"/>
      <c r="H13" s="66" t="s">
        <v>51</v>
      </c>
    </row>
    <row r="14" spans="1:19" ht="15" customHeight="1">
      <c r="A14" s="69"/>
      <c r="B14" s="68" t="s">
        <v>23</v>
      </c>
      <c r="C14" s="67">
        <f>1-0.149</f>
        <v>0.85099999999999998</v>
      </c>
      <c r="D14" s="68" t="s">
        <v>22</v>
      </c>
      <c r="E14" s="67">
        <f>1+0.149</f>
        <v>1.149</v>
      </c>
      <c r="H14" s="66"/>
      <c r="P14" s="84"/>
      <c r="Q14" s="84"/>
      <c r="R14" s="84"/>
      <c r="S14" s="84"/>
    </row>
    <row r="15" spans="1:19" ht="15" customHeight="1">
      <c r="B15" s="83" t="s">
        <v>50</v>
      </c>
      <c r="C15" s="83"/>
      <c r="D15" s="83"/>
      <c r="E15" s="85" t="s">
        <v>49</v>
      </c>
      <c r="F15" s="85"/>
      <c r="G15" s="86"/>
      <c r="H15" s="87" t="s">
        <v>48</v>
      </c>
      <c r="I15" s="87"/>
      <c r="J15" s="87"/>
      <c r="K15" s="87"/>
      <c r="L15" s="86" t="s">
        <v>47</v>
      </c>
      <c r="M15" s="86"/>
      <c r="N15" s="86"/>
      <c r="O15" s="86"/>
      <c r="P15" s="84"/>
      <c r="Q15" s="84"/>
      <c r="R15" s="84"/>
      <c r="S15" s="84"/>
    </row>
    <row r="16" spans="1:19" ht="63">
      <c r="B16" s="65" t="s">
        <v>46</v>
      </c>
      <c r="C16" s="64" t="s">
        <v>44</v>
      </c>
      <c r="D16" s="63" t="s">
        <v>43</v>
      </c>
      <c r="E16" s="65" t="s">
        <v>46</v>
      </c>
      <c r="F16" s="64" t="s">
        <v>44</v>
      </c>
      <c r="G16" s="63" t="s">
        <v>43</v>
      </c>
      <c r="H16" s="65" t="s">
        <v>46</v>
      </c>
      <c r="I16" s="65" t="s">
        <v>45</v>
      </c>
      <c r="J16" s="64" t="s">
        <v>44</v>
      </c>
      <c r="K16" s="63" t="s">
        <v>43</v>
      </c>
      <c r="L16" s="65" t="s">
        <v>46</v>
      </c>
      <c r="M16" s="65" t="s">
        <v>45</v>
      </c>
      <c r="N16" s="64" t="s">
        <v>44</v>
      </c>
      <c r="O16" s="63" t="s">
        <v>43</v>
      </c>
      <c r="P16" s="55"/>
      <c r="Q16" s="62"/>
      <c r="R16" s="62"/>
      <c r="S16" s="62"/>
    </row>
    <row r="17" spans="1:19" ht="20.25">
      <c r="A17" s="19" t="s">
        <v>2</v>
      </c>
      <c r="B17" s="61" t="s">
        <v>1</v>
      </c>
      <c r="C17" s="61" t="s">
        <v>1</v>
      </c>
      <c r="D17" s="61" t="s">
        <v>1</v>
      </c>
      <c r="E17" s="61" t="s">
        <v>1</v>
      </c>
      <c r="F17" s="61" t="s">
        <v>1</v>
      </c>
      <c r="G17" s="61" t="s">
        <v>1</v>
      </c>
      <c r="H17" s="61" t="s">
        <v>1</v>
      </c>
      <c r="I17" s="61" t="s">
        <v>1</v>
      </c>
      <c r="J17" s="61" t="s">
        <v>1</v>
      </c>
      <c r="K17" s="61" t="s">
        <v>1</v>
      </c>
      <c r="L17" s="61" t="s">
        <v>1</v>
      </c>
      <c r="M17" s="61" t="s">
        <v>1</v>
      </c>
      <c r="N17" s="61" t="s">
        <v>1</v>
      </c>
      <c r="O17" s="61" t="s">
        <v>1</v>
      </c>
      <c r="P17" s="60"/>
      <c r="Q17" s="60"/>
      <c r="R17" s="60"/>
      <c r="S17" s="60"/>
    </row>
    <row r="18" spans="1:19" ht="15">
      <c r="A18" s="11">
        <v>41640</v>
      </c>
      <c r="B18" s="58">
        <f>2.3642 * CHOOSE(CONTROL!$C$27, $C$14, 100%, $E$14)</f>
        <v>2.3641999999999999</v>
      </c>
      <c r="C18" s="58">
        <f>2.3216 * CHOOSE(CONTROL!$C$27, $C$14, 100%, $E$14)</f>
        <v>2.3216000000000001</v>
      </c>
      <c r="D18" s="58">
        <f>2.3256 * CHOOSE(CONTROL!$C$27, $C$14, 100%, $E$14)</f>
        <v>2.3256000000000001</v>
      </c>
      <c r="E18" s="59">
        <f>3.382 * CHOOSE(CONTROL!$C$27, $C$14, 100%, $E$14)</f>
        <v>3.3820000000000001</v>
      </c>
      <c r="F18" s="59">
        <f>3.561 * CHOOSE(CONTROL!$C$27, $C$14, 100%, $E$14)</f>
        <v>3.5609999999999999</v>
      </c>
      <c r="G18" s="59">
        <f>3.5719 * CHOOSE(CONTROL!$C$27, $C$14, 100%, $E$14)</f>
        <v>3.5718999999999999</v>
      </c>
      <c r="H18" s="59">
        <f>5.9* CHOOSE(CONTROL!$C$27, $C$14, 100%, $E$14)</f>
        <v>5.9</v>
      </c>
      <c r="I18" s="59">
        <f>5.9109 * CHOOSE(CONTROL!$C$27, $C$14, 100%, $E$14)</f>
        <v>5.9108999999999998</v>
      </c>
      <c r="J18" s="59">
        <f>5.9 * CHOOSE(CONTROL!$C$27, $C$14, 100%, $E$14)</f>
        <v>5.9</v>
      </c>
      <c r="K18" s="59">
        <f>5.9109 * CHOOSE(CONTROL!$C$27, $C$14, 100%, $E$14)</f>
        <v>5.9108999999999998</v>
      </c>
      <c r="L18" s="59">
        <f>3.382 * CHOOSE(CONTROL!$C$27, $C$14, 100%, $E$14)</f>
        <v>3.3820000000000001</v>
      </c>
      <c r="M18" s="59">
        <f>3.3929 * CHOOSE(CONTROL!$C$27, $C$14, 100%, $E$14)</f>
        <v>3.3929</v>
      </c>
      <c r="N18" s="59">
        <f>3.382 * CHOOSE(CONTROL!$C$27, $C$14, 100%, $E$14)</f>
        <v>3.3820000000000001</v>
      </c>
      <c r="O18" s="59">
        <f>3.3929 * CHOOSE(CONTROL!$C$27, $C$14, 100%, $E$14)</f>
        <v>3.3929</v>
      </c>
      <c r="P18" s="4"/>
      <c r="Q18" s="59"/>
      <c r="R18" s="59"/>
    </row>
    <row r="19" spans="1:19" ht="15">
      <c r="A19" s="11">
        <v>41671</v>
      </c>
      <c r="B19" s="58">
        <f>2.3685 * CHOOSE(CONTROL!$C$27, $C$14, 100%, $E$14)</f>
        <v>2.3685</v>
      </c>
      <c r="C19" s="58">
        <f>2.329 * CHOOSE(CONTROL!$C$27, $C$14, 100%, $E$14)</f>
        <v>2.3290000000000002</v>
      </c>
      <c r="D19" s="58">
        <f>2.333 * CHOOSE(CONTROL!$C$27, $C$14, 100%, $E$14)</f>
        <v>2.3330000000000002</v>
      </c>
      <c r="E19" s="59">
        <f>3.3397 * CHOOSE(CONTROL!$C$27, $C$14, 100%, $E$14)</f>
        <v>3.3397000000000001</v>
      </c>
      <c r="F19" s="59">
        <f>3.561 * CHOOSE(CONTROL!$C$27, $C$14, 100%, $E$14)</f>
        <v>3.5609999999999999</v>
      </c>
      <c r="G19" s="59">
        <f>3.5719 * CHOOSE(CONTROL!$C$27, $C$14, 100%, $E$14)</f>
        <v>3.5718999999999999</v>
      </c>
      <c r="H19" s="59">
        <f>5.9123* CHOOSE(CONTROL!$C$27, $C$14, 100%, $E$14)</f>
        <v>5.9123000000000001</v>
      </c>
      <c r="I19" s="59">
        <f>5.9232 * CHOOSE(CONTROL!$C$27, $C$14, 100%, $E$14)</f>
        <v>5.9231999999999996</v>
      </c>
      <c r="J19" s="59">
        <f>5.9123 * CHOOSE(CONTROL!$C$27, $C$14, 100%, $E$14)</f>
        <v>5.9123000000000001</v>
      </c>
      <c r="K19" s="59">
        <f>5.9232 * CHOOSE(CONTROL!$C$27, $C$14, 100%, $E$14)</f>
        <v>5.9231999999999996</v>
      </c>
      <c r="L19" s="59">
        <f>3.3397 * CHOOSE(CONTROL!$C$27, $C$14, 100%, $E$14)</f>
        <v>3.3397000000000001</v>
      </c>
      <c r="M19" s="59">
        <f>3.3506 * CHOOSE(CONTROL!$C$27, $C$14, 100%, $E$14)</f>
        <v>3.3506</v>
      </c>
      <c r="N19" s="59">
        <f>3.3397 * CHOOSE(CONTROL!$C$27, $C$14, 100%, $E$14)</f>
        <v>3.3397000000000001</v>
      </c>
      <c r="O19" s="59">
        <f>3.3506 * CHOOSE(CONTROL!$C$27, $C$14, 100%, $E$14)</f>
        <v>3.3506</v>
      </c>
      <c r="P19" s="4"/>
      <c r="Q19" s="59"/>
      <c r="R19" s="59"/>
    </row>
    <row r="20" spans="1:19" ht="15">
      <c r="A20" s="11">
        <v>41699</v>
      </c>
      <c r="B20" s="58">
        <f>2.3683 * CHOOSE(CONTROL!$C$27, $C$14, 100%, $E$14)</f>
        <v>2.3683000000000001</v>
      </c>
      <c r="C20" s="58">
        <f>2.3227 * CHOOSE(CONTROL!$C$27, $C$14, 100%, $E$14)</f>
        <v>2.3227000000000002</v>
      </c>
      <c r="D20" s="58">
        <f>2.3267 * CHOOSE(CONTROL!$C$27, $C$14, 100%, $E$14)</f>
        <v>2.3267000000000002</v>
      </c>
      <c r="E20" s="59">
        <f>3.3703 * CHOOSE(CONTROL!$C$27, $C$14, 100%, $E$14)</f>
        <v>3.3702999999999999</v>
      </c>
      <c r="F20" s="59">
        <f>3.561 * CHOOSE(CONTROL!$C$27, $C$14, 100%, $E$14)</f>
        <v>3.5609999999999999</v>
      </c>
      <c r="G20" s="59">
        <f>3.5719 * CHOOSE(CONTROL!$C$27, $C$14, 100%, $E$14)</f>
        <v>3.5718999999999999</v>
      </c>
      <c r="H20" s="59">
        <f>5.9246* CHOOSE(CONTROL!$C$27, $C$14, 100%, $E$14)</f>
        <v>5.9245999999999999</v>
      </c>
      <c r="I20" s="59">
        <f>5.9355 * CHOOSE(CONTROL!$C$27, $C$14, 100%, $E$14)</f>
        <v>5.9355000000000002</v>
      </c>
      <c r="J20" s="59">
        <f>5.9246 * CHOOSE(CONTROL!$C$27, $C$14, 100%, $E$14)</f>
        <v>5.9245999999999999</v>
      </c>
      <c r="K20" s="59">
        <f>5.9355 * CHOOSE(CONTROL!$C$27, $C$14, 100%, $E$14)</f>
        <v>5.9355000000000002</v>
      </c>
      <c r="L20" s="59">
        <f>3.3703 * CHOOSE(CONTROL!$C$27, $C$14, 100%, $E$14)</f>
        <v>3.3702999999999999</v>
      </c>
      <c r="M20" s="59">
        <f>3.3813 * CHOOSE(CONTROL!$C$27, $C$14, 100%, $E$14)</f>
        <v>3.3813</v>
      </c>
      <c r="N20" s="59">
        <f>3.3703 * CHOOSE(CONTROL!$C$27, $C$14, 100%, $E$14)</f>
        <v>3.3702999999999999</v>
      </c>
      <c r="O20" s="59">
        <f>3.3813 * CHOOSE(CONTROL!$C$27, $C$14, 100%, $E$14)</f>
        <v>3.3813</v>
      </c>
      <c r="P20" s="4"/>
      <c r="Q20" s="59"/>
      <c r="R20" s="59"/>
    </row>
    <row r="21" spans="1:19" ht="15">
      <c r="A21" s="11">
        <v>41730</v>
      </c>
      <c r="B21" s="58">
        <f>2.4658 * CHOOSE(CONTROL!$C$27, $C$14, 100%, $E$14)</f>
        <v>2.4658000000000002</v>
      </c>
      <c r="C21" s="58">
        <f>2.4194 * CHOOSE(CONTROL!$C$27, $C$14, 100%, $E$14)</f>
        <v>2.4194</v>
      </c>
      <c r="D21" s="58">
        <f>2.4234 * CHOOSE(CONTROL!$C$27, $C$14, 100%, $E$14)</f>
        <v>2.4234</v>
      </c>
      <c r="E21" s="59">
        <f>3.3266 * CHOOSE(CONTROL!$C$27, $C$14, 100%, $E$14)</f>
        <v>3.3266</v>
      </c>
      <c r="F21" s="59">
        <f>3.561 * CHOOSE(CONTROL!$C$27, $C$14, 100%, $E$14)</f>
        <v>3.5609999999999999</v>
      </c>
      <c r="G21" s="59">
        <f>3.5719 * CHOOSE(CONTROL!$C$27, $C$14, 100%, $E$14)</f>
        <v>3.5718999999999999</v>
      </c>
      <c r="H21" s="59">
        <f>5.937* CHOOSE(CONTROL!$C$27, $C$14, 100%, $E$14)</f>
        <v>5.9370000000000003</v>
      </c>
      <c r="I21" s="59">
        <f>5.9479 * CHOOSE(CONTROL!$C$27, $C$14, 100%, $E$14)</f>
        <v>5.9478999999999997</v>
      </c>
      <c r="J21" s="59">
        <f>5.937 * CHOOSE(CONTROL!$C$27, $C$14, 100%, $E$14)</f>
        <v>5.9370000000000003</v>
      </c>
      <c r="K21" s="59">
        <f>5.9479 * CHOOSE(CONTROL!$C$27, $C$14, 100%, $E$14)</f>
        <v>5.9478999999999997</v>
      </c>
      <c r="L21" s="59">
        <f>3.3266 * CHOOSE(CONTROL!$C$27, $C$14, 100%, $E$14)</f>
        <v>3.3266</v>
      </c>
      <c r="M21" s="59">
        <f>3.3375 * CHOOSE(CONTROL!$C$27, $C$14, 100%, $E$14)</f>
        <v>3.3374999999999999</v>
      </c>
      <c r="N21" s="59">
        <f>3.3266 * CHOOSE(CONTROL!$C$27, $C$14, 100%, $E$14)</f>
        <v>3.3266</v>
      </c>
      <c r="O21" s="59">
        <f>3.3375 * CHOOSE(CONTROL!$C$27, $C$14, 100%, $E$14)</f>
        <v>3.3374999999999999</v>
      </c>
      <c r="P21" s="4"/>
      <c r="Q21" s="59"/>
      <c r="R21" s="59"/>
    </row>
    <row r="22" spans="1:19" ht="15">
      <c r="A22" s="11">
        <v>41760</v>
      </c>
      <c r="B22" s="58">
        <f>2.4818 * CHOOSE(CONTROL!$C$27, $C$14, 100%, $E$14)</f>
        <v>2.4817999999999998</v>
      </c>
      <c r="C22" s="58">
        <f>2.4328 * CHOOSE(CONTROL!$C$27, $C$14, 100%, $E$14)</f>
        <v>2.4327999999999999</v>
      </c>
      <c r="D22" s="58">
        <f>2.4384 * CHOOSE(CONTROL!$C$27, $C$14, 100%, $E$14)</f>
        <v>2.4384000000000001</v>
      </c>
      <c r="E22" s="59">
        <f>3.2669 * CHOOSE(CONTROL!$C$27, $C$14, 100%, $E$14)</f>
        <v>3.2669000000000001</v>
      </c>
      <c r="F22" s="59">
        <f>3.282 * CHOOSE(CONTROL!$C$27, $C$14, 100%, $E$14)</f>
        <v>3.282</v>
      </c>
      <c r="G22" s="59">
        <f>3.2973 * CHOOSE(CONTROL!$C$27, $C$14, 100%, $E$14)</f>
        <v>3.2972999999999999</v>
      </c>
      <c r="H22" s="59">
        <f>5.9493* CHOOSE(CONTROL!$C$27, $C$14, 100%, $E$14)</f>
        <v>5.9493</v>
      </c>
      <c r="I22" s="59">
        <f>5.9646 * CHOOSE(CONTROL!$C$27, $C$14, 100%, $E$14)</f>
        <v>5.9645999999999999</v>
      </c>
      <c r="J22" s="59">
        <f>5.9493 * CHOOSE(CONTROL!$C$27, $C$14, 100%, $E$14)</f>
        <v>5.9493</v>
      </c>
      <c r="K22" s="59">
        <f>5.9646 * CHOOSE(CONTROL!$C$27, $C$14, 100%, $E$14)</f>
        <v>5.9645999999999999</v>
      </c>
      <c r="L22" s="59">
        <f>3.2669 * CHOOSE(CONTROL!$C$27, $C$14, 100%, $E$14)</f>
        <v>3.2669000000000001</v>
      </c>
      <c r="M22" s="59">
        <f>3.2822 * CHOOSE(CONTROL!$C$27, $C$14, 100%, $E$14)</f>
        <v>3.2822</v>
      </c>
      <c r="N22" s="59">
        <f>3.2669 * CHOOSE(CONTROL!$C$27, $C$14, 100%, $E$14)</f>
        <v>3.2669000000000001</v>
      </c>
      <c r="O22" s="59">
        <f>3.2822 * CHOOSE(CONTROL!$C$27, $C$14, 100%, $E$14)</f>
        <v>3.2822</v>
      </c>
      <c r="P22" s="4"/>
      <c r="Q22" s="59"/>
      <c r="R22" s="59"/>
    </row>
    <row r="23" spans="1:19" ht="15">
      <c r="A23" s="11">
        <v>41791</v>
      </c>
      <c r="B23" s="58">
        <f>2.4881 * CHOOSE(CONTROL!$C$27, $C$14, 100%, $E$14)</f>
        <v>2.4881000000000002</v>
      </c>
      <c r="C23" s="58">
        <f>2.4485 * CHOOSE(CONTROL!$C$27, $C$14, 100%, $E$14)</f>
        <v>2.4485000000000001</v>
      </c>
      <c r="D23" s="58">
        <f>2.4541 * CHOOSE(CONTROL!$C$27, $C$14, 100%, $E$14)</f>
        <v>2.4540999999999999</v>
      </c>
      <c r="E23" s="59">
        <f>3.2472 * CHOOSE(CONTROL!$C$27, $C$14, 100%, $E$14)</f>
        <v>3.2471999999999999</v>
      </c>
      <c r="F23" s="59">
        <f>3.561 * CHOOSE(CONTROL!$C$27, $C$14, 100%, $E$14)</f>
        <v>3.5609999999999999</v>
      </c>
      <c r="G23" s="59">
        <f>3.5763 * CHOOSE(CONTROL!$C$27, $C$14, 100%, $E$14)</f>
        <v>3.5762999999999998</v>
      </c>
      <c r="H23" s="59">
        <f>5.9617* CHOOSE(CONTROL!$C$27, $C$14, 100%, $E$14)</f>
        <v>5.9617000000000004</v>
      </c>
      <c r="I23" s="59">
        <f>5.977 * CHOOSE(CONTROL!$C$27, $C$14, 100%, $E$14)</f>
        <v>5.9770000000000003</v>
      </c>
      <c r="J23" s="59">
        <f>5.9617 * CHOOSE(CONTROL!$C$27, $C$14, 100%, $E$14)</f>
        <v>5.9617000000000004</v>
      </c>
      <c r="K23" s="59">
        <f>5.977 * CHOOSE(CONTROL!$C$27, $C$14, 100%, $E$14)</f>
        <v>5.9770000000000003</v>
      </c>
      <c r="L23" s="59">
        <f>3.2472 * CHOOSE(CONTROL!$C$27, $C$14, 100%, $E$14)</f>
        <v>3.2471999999999999</v>
      </c>
      <c r="M23" s="59">
        <f>3.2625 * CHOOSE(CONTROL!$C$27, $C$14, 100%, $E$14)</f>
        <v>3.2625000000000002</v>
      </c>
      <c r="N23" s="59">
        <f>3.2472 * CHOOSE(CONTROL!$C$27, $C$14, 100%, $E$14)</f>
        <v>3.2471999999999999</v>
      </c>
      <c r="O23" s="59">
        <f>3.2625 * CHOOSE(CONTROL!$C$27, $C$14, 100%, $E$14)</f>
        <v>3.2625000000000002</v>
      </c>
      <c r="P23" s="4"/>
      <c r="Q23" s="59"/>
      <c r="R23" s="59"/>
    </row>
    <row r="24" spans="1:19" ht="15">
      <c r="A24" s="11">
        <v>41821</v>
      </c>
      <c r="B24" s="58">
        <f>2.4092 * CHOOSE(CONTROL!$C$27, $C$14, 100%, $E$14)</f>
        <v>2.4091999999999998</v>
      </c>
      <c r="C24" s="58">
        <f>2.4023 * CHOOSE(CONTROL!$C$27, $C$14, 100%, $E$14)</f>
        <v>2.4022999999999999</v>
      </c>
      <c r="D24" s="58">
        <f>2.4079 * CHOOSE(CONTROL!$C$27, $C$14, 100%, $E$14)</f>
        <v>2.4079000000000002</v>
      </c>
      <c r="E24" s="59">
        <f>3.2484 * CHOOSE(CONTROL!$C$27, $C$14, 100%, $E$14)</f>
        <v>3.2484000000000002</v>
      </c>
      <c r="F24" s="59">
        <f>3.321 * CHOOSE(CONTROL!$C$27, $C$14, 100%, $E$14)</f>
        <v>3.3210000000000002</v>
      </c>
      <c r="G24" s="59">
        <f>3.3363 * CHOOSE(CONTROL!$C$27, $C$14, 100%, $E$14)</f>
        <v>3.3363</v>
      </c>
      <c r="H24" s="59">
        <f>5.9741* CHOOSE(CONTROL!$C$27, $C$14, 100%, $E$14)</f>
        <v>5.9741</v>
      </c>
      <c r="I24" s="59">
        <f>5.9894 * CHOOSE(CONTROL!$C$27, $C$14, 100%, $E$14)</f>
        <v>5.9893999999999998</v>
      </c>
      <c r="J24" s="59">
        <f>5.9741 * CHOOSE(CONTROL!$C$27, $C$14, 100%, $E$14)</f>
        <v>5.9741</v>
      </c>
      <c r="K24" s="59">
        <f>5.9894 * CHOOSE(CONTROL!$C$27, $C$14, 100%, $E$14)</f>
        <v>5.9893999999999998</v>
      </c>
      <c r="L24" s="59">
        <f>3.2484 * CHOOSE(CONTROL!$C$27, $C$14, 100%, $E$14)</f>
        <v>3.2484000000000002</v>
      </c>
      <c r="M24" s="59">
        <f>3.2637 * CHOOSE(CONTROL!$C$27, $C$14, 100%, $E$14)</f>
        <v>3.2637</v>
      </c>
      <c r="N24" s="59">
        <f>3.2484 * CHOOSE(CONTROL!$C$27, $C$14, 100%, $E$14)</f>
        <v>3.2484000000000002</v>
      </c>
      <c r="O24" s="59">
        <f>3.2637 * CHOOSE(CONTROL!$C$27, $C$14, 100%, $E$14)</f>
        <v>3.2637</v>
      </c>
      <c r="P24" s="4"/>
      <c r="Q24" s="59"/>
      <c r="R24" s="59"/>
    </row>
    <row r="25" spans="1:19" ht="15">
      <c r="A25" s="11">
        <v>41852</v>
      </c>
      <c r="B25" s="58">
        <f>2.4115 * CHOOSE(CONTROL!$C$27, $C$14, 100%, $E$14)</f>
        <v>2.4115000000000002</v>
      </c>
      <c r="C25" s="58">
        <f>2.438 * CHOOSE(CONTROL!$C$27, $C$14, 100%, $E$14)</f>
        <v>2.4380000000000002</v>
      </c>
      <c r="D25" s="58">
        <f>2.4436 * CHOOSE(CONTROL!$C$27, $C$14, 100%, $E$14)</f>
        <v>2.4436</v>
      </c>
      <c r="E25" s="59">
        <f>3.2025 * CHOOSE(CONTROL!$C$27, $C$14, 100%, $E$14)</f>
        <v>3.2025000000000001</v>
      </c>
      <c r="F25" s="59">
        <f>3.282 * CHOOSE(CONTROL!$C$27, $C$14, 100%, $E$14)</f>
        <v>3.282</v>
      </c>
      <c r="G25" s="59">
        <f>3.2973 * CHOOSE(CONTROL!$C$27, $C$14, 100%, $E$14)</f>
        <v>3.2972999999999999</v>
      </c>
      <c r="H25" s="59">
        <f>5.9866* CHOOSE(CONTROL!$C$27, $C$14, 100%, $E$14)</f>
        <v>5.9866000000000001</v>
      </c>
      <c r="I25" s="59">
        <f>6.0019 * CHOOSE(CONTROL!$C$27, $C$14, 100%, $E$14)</f>
        <v>6.0019</v>
      </c>
      <c r="J25" s="59">
        <f>5.9866 * CHOOSE(CONTROL!$C$27, $C$14, 100%, $E$14)</f>
        <v>5.9866000000000001</v>
      </c>
      <c r="K25" s="59">
        <f>6.0019 * CHOOSE(CONTROL!$C$27, $C$14, 100%, $E$14)</f>
        <v>6.0019</v>
      </c>
      <c r="L25" s="59">
        <f>3.2025 * CHOOSE(CONTROL!$C$27, $C$14, 100%, $E$14)</f>
        <v>3.2025000000000001</v>
      </c>
      <c r="M25" s="59">
        <f>3.2178 * CHOOSE(CONTROL!$C$27, $C$14, 100%, $E$14)</f>
        <v>3.2178</v>
      </c>
      <c r="N25" s="59">
        <f>3.2025 * CHOOSE(CONTROL!$C$27, $C$14, 100%, $E$14)</f>
        <v>3.2025000000000001</v>
      </c>
      <c r="O25" s="59">
        <f>3.2178 * CHOOSE(CONTROL!$C$27, $C$14, 100%, $E$14)</f>
        <v>3.2178</v>
      </c>
      <c r="P25" s="4"/>
      <c r="Q25" s="59"/>
      <c r="R25" s="59"/>
    </row>
    <row r="26" spans="1:19" ht="15">
      <c r="A26" s="11">
        <v>41883</v>
      </c>
      <c r="B26" s="58">
        <f>2.4098 * CHOOSE(CONTROL!$C$27, $C$14, 100%, $E$14)</f>
        <v>2.4098000000000002</v>
      </c>
      <c r="C26" s="58">
        <f>2.435 * CHOOSE(CONTROL!$C$27, $C$14, 100%, $E$14)</f>
        <v>2.4350000000000001</v>
      </c>
      <c r="D26" s="58">
        <f>2.4406 * CHOOSE(CONTROL!$C$27, $C$14, 100%, $E$14)</f>
        <v>2.4405999999999999</v>
      </c>
      <c r="E26" s="59">
        <f>3.2621 * CHOOSE(CONTROL!$C$27, $C$14, 100%, $E$14)</f>
        <v>3.2621000000000002</v>
      </c>
      <c r="F26" s="59">
        <f>3.4 * CHOOSE(CONTROL!$C$27, $C$14, 100%, $E$14)</f>
        <v>3.4</v>
      </c>
      <c r="G26" s="59">
        <f>3.4153 * CHOOSE(CONTROL!$C$27, $C$14, 100%, $E$14)</f>
        <v>3.4152999999999998</v>
      </c>
      <c r="H26" s="59">
        <f>5.9991* CHOOSE(CONTROL!$C$27, $C$14, 100%, $E$14)</f>
        <v>5.9991000000000003</v>
      </c>
      <c r="I26" s="59">
        <f>6.0144 * CHOOSE(CONTROL!$C$27, $C$14, 100%, $E$14)</f>
        <v>6.0144000000000002</v>
      </c>
      <c r="J26" s="59">
        <f>5.9991 * CHOOSE(CONTROL!$C$27, $C$14, 100%, $E$14)</f>
        <v>5.9991000000000003</v>
      </c>
      <c r="K26" s="59">
        <f>6.0144 * CHOOSE(CONTROL!$C$27, $C$14, 100%, $E$14)</f>
        <v>6.0144000000000002</v>
      </c>
      <c r="L26" s="59">
        <f>3.2621 * CHOOSE(CONTROL!$C$27, $C$14, 100%, $E$14)</f>
        <v>3.2621000000000002</v>
      </c>
      <c r="M26" s="59">
        <f>3.2774 * CHOOSE(CONTROL!$C$27, $C$14, 100%, $E$14)</f>
        <v>3.2774000000000001</v>
      </c>
      <c r="N26" s="59">
        <f>3.2621 * CHOOSE(CONTROL!$C$27, $C$14, 100%, $E$14)</f>
        <v>3.2621000000000002</v>
      </c>
      <c r="O26" s="59">
        <f>3.2774 * CHOOSE(CONTROL!$C$27, $C$14, 100%, $E$14)</f>
        <v>3.2774000000000001</v>
      </c>
      <c r="P26" s="4"/>
      <c r="Q26" s="59"/>
      <c r="R26" s="59"/>
    </row>
    <row r="27" spans="1:19" ht="15">
      <c r="A27" s="11">
        <v>41913</v>
      </c>
      <c r="B27" s="58">
        <f>2.4178 * CHOOSE(CONTROL!$C$27, $C$14, 100%, $E$14)</f>
        <v>2.4178000000000002</v>
      </c>
      <c r="C27" s="58">
        <f>2.4347 * CHOOSE(CONTROL!$C$27, $C$14, 100%, $E$14)</f>
        <v>2.4346999999999999</v>
      </c>
      <c r="D27" s="58">
        <f>2.4387 * CHOOSE(CONTROL!$C$27, $C$14, 100%, $E$14)</f>
        <v>2.4386999999999999</v>
      </c>
      <c r="E27" s="59">
        <f>3.2947 * CHOOSE(CONTROL!$C$27, $C$14, 100%, $E$14)</f>
        <v>3.2947000000000002</v>
      </c>
      <c r="F27" s="59">
        <f>3.561 * CHOOSE(CONTROL!$C$27, $C$14, 100%, $E$14)</f>
        <v>3.5609999999999999</v>
      </c>
      <c r="G27" s="59">
        <f>3.5719 * CHOOSE(CONTROL!$C$27, $C$14, 100%, $E$14)</f>
        <v>3.5718999999999999</v>
      </c>
      <c r="H27" s="59">
        <f>6.0116* CHOOSE(CONTROL!$C$27, $C$14, 100%, $E$14)</f>
        <v>6.0115999999999996</v>
      </c>
      <c r="I27" s="59">
        <f>6.0225 * CHOOSE(CONTROL!$C$27, $C$14, 100%, $E$14)</f>
        <v>6.0225</v>
      </c>
      <c r="J27" s="59">
        <f>6.0116 * CHOOSE(CONTROL!$C$27, $C$14, 100%, $E$14)</f>
        <v>6.0115999999999996</v>
      </c>
      <c r="K27" s="59">
        <f>6.0225 * CHOOSE(CONTROL!$C$27, $C$14, 100%, $E$14)</f>
        <v>6.0225</v>
      </c>
      <c r="L27" s="59">
        <f>3.2947 * CHOOSE(CONTROL!$C$27, $C$14, 100%, $E$14)</f>
        <v>3.2947000000000002</v>
      </c>
      <c r="M27" s="59">
        <f>3.3056 * CHOOSE(CONTROL!$C$27, $C$14, 100%, $E$14)</f>
        <v>3.3056000000000001</v>
      </c>
      <c r="N27" s="59">
        <f>3.2947 * CHOOSE(CONTROL!$C$27, $C$14, 100%, $E$14)</f>
        <v>3.2947000000000002</v>
      </c>
      <c r="O27" s="59">
        <f>3.3056 * CHOOSE(CONTROL!$C$27, $C$14, 100%, $E$14)</f>
        <v>3.3056000000000001</v>
      </c>
      <c r="P27" s="4"/>
      <c r="Q27" s="59"/>
      <c r="R27" s="59"/>
    </row>
    <row r="28" spans="1:19" ht="15">
      <c r="A28" s="11">
        <v>41944</v>
      </c>
      <c r="B28" s="58">
        <f>2.4171 * CHOOSE(CONTROL!$C$27, $C$14, 100%, $E$14)</f>
        <v>2.4171</v>
      </c>
      <c r="C28" s="58">
        <f>2.4431 * CHOOSE(CONTROL!$C$27, $C$14, 100%, $E$14)</f>
        <v>2.4430999999999998</v>
      </c>
      <c r="D28" s="58">
        <f>2.4471 * CHOOSE(CONTROL!$C$27, $C$14, 100%, $E$14)</f>
        <v>2.4470999999999998</v>
      </c>
      <c r="E28" s="59">
        <f>3.3121 * CHOOSE(CONTROL!$C$27, $C$14, 100%, $E$14)</f>
        <v>3.3121</v>
      </c>
      <c r="F28" s="59">
        <f>3.348 * CHOOSE(CONTROL!$C$27, $C$14, 100%, $E$14)</f>
        <v>3.3479999999999999</v>
      </c>
      <c r="G28" s="59">
        <f>3.3589 * CHOOSE(CONTROL!$C$27, $C$14, 100%, $E$14)</f>
        <v>3.3589000000000002</v>
      </c>
      <c r="H28" s="59">
        <f>6.0241* CHOOSE(CONTROL!$C$27, $C$14, 100%, $E$14)</f>
        <v>6.0240999999999998</v>
      </c>
      <c r="I28" s="59">
        <f>6.035 * CHOOSE(CONTROL!$C$27, $C$14, 100%, $E$14)</f>
        <v>6.0350000000000001</v>
      </c>
      <c r="J28" s="59">
        <f>6.0241 * CHOOSE(CONTROL!$C$27, $C$14, 100%, $E$14)</f>
        <v>6.0240999999999998</v>
      </c>
      <c r="K28" s="59">
        <f>6.035 * CHOOSE(CONTROL!$C$27, $C$14, 100%, $E$14)</f>
        <v>6.0350000000000001</v>
      </c>
      <c r="L28" s="59">
        <f>3.3121 * CHOOSE(CONTROL!$C$27, $C$14, 100%, $E$14)</f>
        <v>3.3121</v>
      </c>
      <c r="M28" s="59">
        <f>3.323 * CHOOSE(CONTROL!$C$27, $C$14, 100%, $E$14)</f>
        <v>3.323</v>
      </c>
      <c r="N28" s="59">
        <f>3.3121 * CHOOSE(CONTROL!$C$27, $C$14, 100%, $E$14)</f>
        <v>3.3121</v>
      </c>
      <c r="O28" s="59">
        <f>3.323 * CHOOSE(CONTROL!$C$27, $C$14, 100%, $E$14)</f>
        <v>3.323</v>
      </c>
      <c r="P28" s="4"/>
      <c r="Q28" s="59"/>
      <c r="R28" s="59"/>
    </row>
    <row r="29" spans="1:19" ht="15">
      <c r="A29" s="11">
        <v>41974</v>
      </c>
      <c r="B29" s="58">
        <f>2.4197 * CHOOSE(CONTROL!$C$27, $C$14, 100%, $E$14)</f>
        <v>2.4197000000000002</v>
      </c>
      <c r="C29" s="58">
        <f>2.4491 * CHOOSE(CONTROL!$C$27, $C$14, 100%, $E$14)</f>
        <v>2.4491000000000001</v>
      </c>
      <c r="D29" s="58">
        <f>2.4531 * CHOOSE(CONTROL!$C$27, $C$14, 100%, $E$14)</f>
        <v>2.4531000000000001</v>
      </c>
      <c r="E29" s="59">
        <f>3.3287 * CHOOSE(CONTROL!$C$27, $C$14, 100%, $E$14)</f>
        <v>3.3287</v>
      </c>
      <c r="F29" s="59">
        <f>3.385 * CHOOSE(CONTROL!$C$27, $C$14, 100%, $E$14)</f>
        <v>3.3849999999999998</v>
      </c>
      <c r="G29" s="59">
        <f>3.3959 * CHOOSE(CONTROL!$C$27, $C$14, 100%, $E$14)</f>
        <v>3.3959000000000001</v>
      </c>
      <c r="H29" s="59">
        <f>6.0366* CHOOSE(CONTROL!$C$27, $C$14, 100%, $E$14)</f>
        <v>6.0366</v>
      </c>
      <c r="I29" s="59">
        <f>6.0476 * CHOOSE(CONTROL!$C$27, $C$14, 100%, $E$14)</f>
        <v>6.0476000000000001</v>
      </c>
      <c r="J29" s="59">
        <f>6.0366 * CHOOSE(CONTROL!$C$27, $C$14, 100%, $E$14)</f>
        <v>6.0366</v>
      </c>
      <c r="K29" s="59">
        <f>6.0476 * CHOOSE(CONTROL!$C$27, $C$14, 100%, $E$14)</f>
        <v>6.0476000000000001</v>
      </c>
      <c r="L29" s="59">
        <f>3.3287 * CHOOSE(CONTROL!$C$27, $C$14, 100%, $E$14)</f>
        <v>3.3287</v>
      </c>
      <c r="M29" s="59">
        <f>3.3397 * CHOOSE(CONTROL!$C$27, $C$14, 100%, $E$14)</f>
        <v>3.3397000000000001</v>
      </c>
      <c r="N29" s="59">
        <f>3.3287 * CHOOSE(CONTROL!$C$27, $C$14, 100%, $E$14)</f>
        <v>3.3287</v>
      </c>
      <c r="O29" s="59">
        <f>3.3397 * CHOOSE(CONTROL!$C$27, $C$14, 100%, $E$14)</f>
        <v>3.3397000000000001</v>
      </c>
      <c r="P29" s="4"/>
      <c r="Q29" s="59"/>
      <c r="R29" s="59"/>
    </row>
    <row r="30" spans="1:19" ht="15">
      <c r="A30" s="11">
        <v>42005</v>
      </c>
      <c r="B30" s="58">
        <f>2.4907 * CHOOSE(CONTROL!$C$27, $C$14, 100%, $E$14)</f>
        <v>2.4906999999999999</v>
      </c>
      <c r="C30" s="58">
        <f>2.5129 * CHOOSE(CONTROL!$C$27, $C$14, 100%, $E$14)</f>
        <v>2.5129000000000001</v>
      </c>
      <c r="D30" s="58">
        <f>2.5169 * CHOOSE(CONTROL!$C$27, $C$14, 100%, $E$14)</f>
        <v>2.5169000000000001</v>
      </c>
      <c r="E30" s="59">
        <f>3.1876 * CHOOSE(CONTROL!$C$27, $C$14, 100%, $E$14)</f>
        <v>3.1876000000000002</v>
      </c>
      <c r="F30" s="59">
        <f>3.254 * CHOOSE(CONTROL!$C$27, $C$14, 100%, $E$14)</f>
        <v>3.254</v>
      </c>
      <c r="G30" s="59">
        <f>3.2589 * CHOOSE(CONTROL!$C$27, $C$14, 100%, $E$14)</f>
        <v>3.2589000000000001</v>
      </c>
      <c r="H30" s="59">
        <f>6.0492* CHOOSE(CONTROL!$C$27, $C$14, 100%, $E$14)</f>
        <v>6.0491999999999999</v>
      </c>
      <c r="I30" s="59">
        <f>6.0541 * CHOOSE(CONTROL!$C$27, $C$14, 100%, $E$14)</f>
        <v>6.0541</v>
      </c>
      <c r="J30" s="59">
        <f>6.0492 * CHOOSE(CONTROL!$C$27, $C$14, 100%, $E$14)</f>
        <v>6.0491999999999999</v>
      </c>
      <c r="K30" s="59">
        <f>6.0541 * CHOOSE(CONTROL!$C$27, $C$14, 100%, $E$14)</f>
        <v>6.0541</v>
      </c>
      <c r="L30" s="59">
        <f>3.1876 * CHOOSE(CONTROL!$C$27, $C$14, 100%, $E$14)</f>
        <v>3.1876000000000002</v>
      </c>
      <c r="M30" s="59">
        <f>3.1925 * CHOOSE(CONTROL!$C$27, $C$14, 100%, $E$14)</f>
        <v>3.1924999999999999</v>
      </c>
      <c r="N30" s="59">
        <f>3.1876 * CHOOSE(CONTROL!$C$27, $C$14, 100%, $E$14)</f>
        <v>3.1876000000000002</v>
      </c>
      <c r="O30" s="59">
        <f>3.1925 * CHOOSE(CONTROL!$C$27, $C$14, 100%, $E$14)</f>
        <v>3.1924999999999999</v>
      </c>
      <c r="P30" s="4"/>
      <c r="Q30" s="59"/>
      <c r="R30" s="59"/>
    </row>
    <row r="31" spans="1:19" ht="15">
      <c r="A31" s="11">
        <v>42036</v>
      </c>
      <c r="B31" s="58">
        <f>2.4906 * CHOOSE(CONTROL!$C$27, $C$14, 100%, $E$14)</f>
        <v>2.4906000000000001</v>
      </c>
      <c r="C31" s="58">
        <f>2.5152 * CHOOSE(CONTROL!$C$27, $C$14, 100%, $E$14)</f>
        <v>2.5152000000000001</v>
      </c>
      <c r="D31" s="58">
        <f>2.5192 * CHOOSE(CONTROL!$C$27, $C$14, 100%, $E$14)</f>
        <v>2.5192000000000001</v>
      </c>
      <c r="E31" s="59">
        <f>3.1987 * CHOOSE(CONTROL!$C$27, $C$14, 100%, $E$14)</f>
        <v>3.1987000000000001</v>
      </c>
      <c r="F31" s="59">
        <f>3.254 * CHOOSE(CONTROL!$C$27, $C$14, 100%, $E$14)</f>
        <v>3.254</v>
      </c>
      <c r="G31" s="59">
        <f>3.2589 * CHOOSE(CONTROL!$C$27, $C$14, 100%, $E$14)</f>
        <v>3.2589000000000001</v>
      </c>
      <c r="H31" s="59">
        <f>6.0618* CHOOSE(CONTROL!$C$27, $C$14, 100%, $E$14)</f>
        <v>6.0617999999999999</v>
      </c>
      <c r="I31" s="59">
        <f>6.0667 * CHOOSE(CONTROL!$C$27, $C$14, 100%, $E$14)</f>
        <v>6.0667</v>
      </c>
      <c r="J31" s="59">
        <f>6.0618 * CHOOSE(CONTROL!$C$27, $C$14, 100%, $E$14)</f>
        <v>6.0617999999999999</v>
      </c>
      <c r="K31" s="59">
        <f>6.0667 * CHOOSE(CONTROL!$C$27, $C$14, 100%, $E$14)</f>
        <v>6.0667</v>
      </c>
      <c r="L31" s="59">
        <f>3.1987 * CHOOSE(CONTROL!$C$27, $C$14, 100%, $E$14)</f>
        <v>3.1987000000000001</v>
      </c>
      <c r="M31" s="59">
        <f>3.2036 * CHOOSE(CONTROL!$C$27, $C$14, 100%, $E$14)</f>
        <v>3.2035999999999998</v>
      </c>
      <c r="N31" s="59">
        <f>3.1987 * CHOOSE(CONTROL!$C$27, $C$14, 100%, $E$14)</f>
        <v>3.1987000000000001</v>
      </c>
      <c r="O31" s="59">
        <f>3.2036 * CHOOSE(CONTROL!$C$27, $C$14, 100%, $E$14)</f>
        <v>3.2035999999999998</v>
      </c>
      <c r="P31" s="4"/>
      <c r="Q31" s="59"/>
      <c r="R31" s="59"/>
    </row>
    <row r="32" spans="1:19" ht="15">
      <c r="A32" s="11">
        <v>42064</v>
      </c>
      <c r="B32" s="58">
        <f>2.4913 * CHOOSE(CONTROL!$C$27, $C$14, 100%, $E$14)</f>
        <v>2.4912999999999998</v>
      </c>
      <c r="C32" s="58">
        <f>2.5122 * CHOOSE(CONTROL!$C$27, $C$14, 100%, $E$14)</f>
        <v>2.5122</v>
      </c>
      <c r="D32" s="58">
        <f>2.5162 * CHOOSE(CONTROL!$C$27, $C$14, 100%, $E$14)</f>
        <v>2.5162</v>
      </c>
      <c r="E32" s="59">
        <f>3.1433 * CHOOSE(CONTROL!$C$27, $C$14, 100%, $E$14)</f>
        <v>3.1433</v>
      </c>
      <c r="F32" s="59">
        <f>3.254 * CHOOSE(CONTROL!$C$27, $C$14, 100%, $E$14)</f>
        <v>3.254</v>
      </c>
      <c r="G32" s="59">
        <f>3.2589 * CHOOSE(CONTROL!$C$27, $C$14, 100%, $E$14)</f>
        <v>3.2589000000000001</v>
      </c>
      <c r="H32" s="59">
        <f>6.0744* CHOOSE(CONTROL!$C$27, $C$14, 100%, $E$14)</f>
        <v>6.0743999999999998</v>
      </c>
      <c r="I32" s="59">
        <f>6.0794 * CHOOSE(CONTROL!$C$27, $C$14, 100%, $E$14)</f>
        <v>6.0793999999999997</v>
      </c>
      <c r="J32" s="59">
        <f>6.0744 * CHOOSE(CONTROL!$C$27, $C$14, 100%, $E$14)</f>
        <v>6.0743999999999998</v>
      </c>
      <c r="K32" s="59">
        <f>6.0794 * CHOOSE(CONTROL!$C$27, $C$14, 100%, $E$14)</f>
        <v>6.0793999999999997</v>
      </c>
      <c r="L32" s="59">
        <f>3.1433 * CHOOSE(CONTROL!$C$27, $C$14, 100%, $E$14)</f>
        <v>3.1433</v>
      </c>
      <c r="M32" s="59">
        <f>3.1483 * CHOOSE(CONTROL!$C$27, $C$14, 100%, $E$14)</f>
        <v>3.1482999999999999</v>
      </c>
      <c r="N32" s="59">
        <f>3.1433 * CHOOSE(CONTROL!$C$27, $C$14, 100%, $E$14)</f>
        <v>3.1433</v>
      </c>
      <c r="O32" s="59">
        <f>3.1483 * CHOOSE(CONTROL!$C$27, $C$14, 100%, $E$14)</f>
        <v>3.1482999999999999</v>
      </c>
      <c r="P32" s="4"/>
      <c r="Q32" s="59"/>
      <c r="R32" s="59"/>
    </row>
    <row r="33" spans="1:18" ht="15">
      <c r="A33" s="11">
        <v>42095</v>
      </c>
      <c r="B33" s="58">
        <f>2.489 * CHOOSE(CONTROL!$C$27, $C$14, 100%, $E$14)</f>
        <v>2.4889999999999999</v>
      </c>
      <c r="C33" s="58">
        <f>2.5091 * CHOOSE(CONTROL!$C$27, $C$14, 100%, $E$14)</f>
        <v>2.5091000000000001</v>
      </c>
      <c r="D33" s="58">
        <f>2.5131 * CHOOSE(CONTROL!$C$27, $C$14, 100%, $E$14)</f>
        <v>2.5131000000000001</v>
      </c>
      <c r="E33" s="59">
        <f>3.186 * CHOOSE(CONTROL!$C$27, $C$14, 100%, $E$14)</f>
        <v>3.1859999999999999</v>
      </c>
      <c r="F33" s="59">
        <f>3.254 * CHOOSE(CONTROL!$C$27, $C$14, 100%, $E$14)</f>
        <v>3.254</v>
      </c>
      <c r="G33" s="59">
        <f>3.2589 * CHOOSE(CONTROL!$C$27, $C$14, 100%, $E$14)</f>
        <v>3.2589000000000001</v>
      </c>
      <c r="H33" s="59">
        <f>6.0871* CHOOSE(CONTROL!$C$27, $C$14, 100%, $E$14)</f>
        <v>6.0871000000000004</v>
      </c>
      <c r="I33" s="59">
        <f>6.092 * CHOOSE(CONTROL!$C$27, $C$14, 100%, $E$14)</f>
        <v>6.0919999999999996</v>
      </c>
      <c r="J33" s="59">
        <f>6.0871 * CHOOSE(CONTROL!$C$27, $C$14, 100%, $E$14)</f>
        <v>6.0871000000000004</v>
      </c>
      <c r="K33" s="59">
        <f>6.092 * CHOOSE(CONTROL!$C$27, $C$14, 100%, $E$14)</f>
        <v>6.0919999999999996</v>
      </c>
      <c r="L33" s="59">
        <f>3.186 * CHOOSE(CONTROL!$C$27, $C$14, 100%, $E$14)</f>
        <v>3.1859999999999999</v>
      </c>
      <c r="M33" s="59">
        <f>3.1909 * CHOOSE(CONTROL!$C$27, $C$14, 100%, $E$14)</f>
        <v>3.1909000000000001</v>
      </c>
      <c r="N33" s="59">
        <f>3.186 * CHOOSE(CONTROL!$C$27, $C$14, 100%, $E$14)</f>
        <v>3.1859999999999999</v>
      </c>
      <c r="O33" s="59">
        <f>3.1909 * CHOOSE(CONTROL!$C$27, $C$14, 100%, $E$14)</f>
        <v>3.1909000000000001</v>
      </c>
      <c r="P33" s="4"/>
      <c r="Q33" s="59"/>
      <c r="R33" s="59"/>
    </row>
    <row r="34" spans="1:18" ht="15">
      <c r="A34" s="11">
        <v>42125</v>
      </c>
      <c r="B34" s="58">
        <f>2.4919 * CHOOSE(CONTROL!$C$27, $C$14, 100%, $E$14)</f>
        <v>2.4918999999999998</v>
      </c>
      <c r="C34" s="58">
        <f>2.5114 * CHOOSE(CONTROL!$C$27, $C$14, 100%, $E$14)</f>
        <v>2.5114000000000001</v>
      </c>
      <c r="D34" s="58">
        <f>2.517 * CHOOSE(CONTROL!$C$27, $C$14, 100%, $E$14)</f>
        <v>2.5169999999999999</v>
      </c>
      <c r="E34" s="59">
        <f>3.186 * CHOOSE(CONTROL!$C$27, $C$14, 100%, $E$14)</f>
        <v>3.1859999999999999</v>
      </c>
      <c r="F34" s="59">
        <f>3.254 * CHOOSE(CONTROL!$C$27, $C$14, 100%, $E$14)</f>
        <v>3.254</v>
      </c>
      <c r="G34" s="59">
        <f>3.2609 * CHOOSE(CONTROL!$C$27, $C$14, 100%, $E$14)</f>
        <v>3.2608999999999999</v>
      </c>
      <c r="H34" s="59">
        <f>6.0998* CHOOSE(CONTROL!$C$27, $C$14, 100%, $E$14)</f>
        <v>6.0998000000000001</v>
      </c>
      <c r="I34" s="59">
        <f>6.1067 * CHOOSE(CONTROL!$C$27, $C$14, 100%, $E$14)</f>
        <v>6.1067</v>
      </c>
      <c r="J34" s="59">
        <f>6.0998 * CHOOSE(CONTROL!$C$27, $C$14, 100%, $E$14)</f>
        <v>6.0998000000000001</v>
      </c>
      <c r="K34" s="59">
        <f>6.1067 * CHOOSE(CONTROL!$C$27, $C$14, 100%, $E$14)</f>
        <v>6.1067</v>
      </c>
      <c r="L34" s="59">
        <f>3.186 * CHOOSE(CONTROL!$C$27, $C$14, 100%, $E$14)</f>
        <v>3.1859999999999999</v>
      </c>
      <c r="M34" s="59">
        <f>3.1929 * CHOOSE(CONTROL!$C$27, $C$14, 100%, $E$14)</f>
        <v>3.1928999999999998</v>
      </c>
      <c r="N34" s="59">
        <f>3.186 * CHOOSE(CONTROL!$C$27, $C$14, 100%, $E$14)</f>
        <v>3.1859999999999999</v>
      </c>
      <c r="O34" s="59">
        <f>3.1929 * CHOOSE(CONTROL!$C$27, $C$14, 100%, $E$14)</f>
        <v>3.1928999999999998</v>
      </c>
      <c r="P34" s="4"/>
      <c r="Q34" s="59"/>
      <c r="R34" s="59"/>
    </row>
    <row r="35" spans="1:18" ht="15">
      <c r="A35" s="11">
        <v>42156</v>
      </c>
      <c r="B35" s="58">
        <f>2.4945 * CHOOSE(CONTROL!$C$27, $C$14, 100%, $E$14)</f>
        <v>2.4944999999999999</v>
      </c>
      <c r="C35" s="58">
        <f>2.5175 * CHOOSE(CONTROL!$C$27, $C$14, 100%, $E$14)</f>
        <v>2.5175000000000001</v>
      </c>
      <c r="D35" s="58">
        <f>2.5231 * CHOOSE(CONTROL!$C$27, $C$14, 100%, $E$14)</f>
        <v>2.5230999999999999</v>
      </c>
      <c r="E35" s="59">
        <f>3.2268 * CHOOSE(CONTROL!$C$27, $C$14, 100%, $E$14)</f>
        <v>3.2267999999999999</v>
      </c>
      <c r="F35" s="59">
        <f>3.254 * CHOOSE(CONTROL!$C$27, $C$14, 100%, $E$14)</f>
        <v>3.254</v>
      </c>
      <c r="G35" s="59">
        <f>3.2609 * CHOOSE(CONTROL!$C$27, $C$14, 100%, $E$14)</f>
        <v>3.2608999999999999</v>
      </c>
      <c r="H35" s="59">
        <f>6.1125* CHOOSE(CONTROL!$C$27, $C$14, 100%, $E$14)</f>
        <v>6.1124999999999998</v>
      </c>
      <c r="I35" s="59">
        <f>6.1194 * CHOOSE(CONTROL!$C$27, $C$14, 100%, $E$14)</f>
        <v>6.1193999999999997</v>
      </c>
      <c r="J35" s="59">
        <f>6.1125 * CHOOSE(CONTROL!$C$27, $C$14, 100%, $E$14)</f>
        <v>6.1124999999999998</v>
      </c>
      <c r="K35" s="59">
        <f>6.1194 * CHOOSE(CONTROL!$C$27, $C$14, 100%, $E$14)</f>
        <v>6.1193999999999997</v>
      </c>
      <c r="L35" s="59">
        <f>3.2268 * CHOOSE(CONTROL!$C$27, $C$14, 100%, $E$14)</f>
        <v>3.2267999999999999</v>
      </c>
      <c r="M35" s="59">
        <f>3.2337 * CHOOSE(CONTROL!$C$27, $C$14, 100%, $E$14)</f>
        <v>3.2336999999999998</v>
      </c>
      <c r="N35" s="59">
        <f>3.2268 * CHOOSE(CONTROL!$C$27, $C$14, 100%, $E$14)</f>
        <v>3.2267999999999999</v>
      </c>
      <c r="O35" s="59">
        <f>3.2337 * CHOOSE(CONTROL!$C$27, $C$14, 100%, $E$14)</f>
        <v>3.2336999999999998</v>
      </c>
      <c r="P35" s="4"/>
      <c r="Q35" s="59"/>
      <c r="R35" s="59"/>
    </row>
    <row r="36" spans="1:18" ht="15">
      <c r="A36" s="11">
        <v>42186</v>
      </c>
      <c r="B36" s="58">
        <f>2.5054 * CHOOSE(CONTROL!$C$27, $C$14, 100%, $E$14)</f>
        <v>2.5053999999999998</v>
      </c>
      <c r="C36" s="58">
        <f>2.5357 * CHOOSE(CONTROL!$C$27, $C$14, 100%, $E$14)</f>
        <v>2.5356999999999998</v>
      </c>
      <c r="D36" s="58">
        <f>2.5414 * CHOOSE(CONTROL!$C$27, $C$14, 100%, $E$14)</f>
        <v>2.5413999999999999</v>
      </c>
      <c r="E36" s="59">
        <f>3.2136 * CHOOSE(CONTROL!$C$27, $C$14, 100%, $E$14)</f>
        <v>3.2136</v>
      </c>
      <c r="F36" s="59">
        <f>3.254 * CHOOSE(CONTROL!$C$27, $C$14, 100%, $E$14)</f>
        <v>3.254</v>
      </c>
      <c r="G36" s="59">
        <f>3.2609 * CHOOSE(CONTROL!$C$27, $C$14, 100%, $E$14)</f>
        <v>3.2608999999999999</v>
      </c>
      <c r="H36" s="59">
        <f>6.1252* CHOOSE(CONTROL!$C$27, $C$14, 100%, $E$14)</f>
        <v>6.1252000000000004</v>
      </c>
      <c r="I36" s="59">
        <f>6.1321 * CHOOSE(CONTROL!$C$27, $C$14, 100%, $E$14)</f>
        <v>6.1321000000000003</v>
      </c>
      <c r="J36" s="59">
        <f>6.1252 * CHOOSE(CONTROL!$C$27, $C$14, 100%, $E$14)</f>
        <v>6.1252000000000004</v>
      </c>
      <c r="K36" s="59">
        <f>6.1321 * CHOOSE(CONTROL!$C$27, $C$14, 100%, $E$14)</f>
        <v>6.1321000000000003</v>
      </c>
      <c r="L36" s="59">
        <f>3.2136 * CHOOSE(CONTROL!$C$27, $C$14, 100%, $E$14)</f>
        <v>3.2136</v>
      </c>
      <c r="M36" s="59">
        <f>3.2205 * CHOOSE(CONTROL!$C$27, $C$14, 100%, $E$14)</f>
        <v>3.2204999999999999</v>
      </c>
      <c r="N36" s="59">
        <f>3.2136 * CHOOSE(CONTROL!$C$27, $C$14, 100%, $E$14)</f>
        <v>3.2136</v>
      </c>
      <c r="O36" s="59">
        <f>3.2205 * CHOOSE(CONTROL!$C$27, $C$14, 100%, $E$14)</f>
        <v>3.2204999999999999</v>
      </c>
      <c r="P36" s="4"/>
      <c r="Q36" s="59"/>
      <c r="R36" s="59"/>
    </row>
    <row r="37" spans="1:18" ht="15">
      <c r="A37" s="11">
        <v>42217</v>
      </c>
      <c r="B37" s="58">
        <f>2.5144 * CHOOSE(CONTROL!$C$27, $C$14, 100%, $E$14)</f>
        <v>2.5144000000000002</v>
      </c>
      <c r="C37" s="58">
        <f>2.5502 * CHOOSE(CONTROL!$C$27, $C$14, 100%, $E$14)</f>
        <v>2.5501999999999998</v>
      </c>
      <c r="D37" s="58">
        <f>2.5558 * CHOOSE(CONTROL!$C$27, $C$14, 100%, $E$14)</f>
        <v>2.5558000000000001</v>
      </c>
      <c r="E37" s="59">
        <f>3.2338 * CHOOSE(CONTROL!$C$27, $C$14, 100%, $E$14)</f>
        <v>3.2338</v>
      </c>
      <c r="F37" s="59">
        <f>3.254 * CHOOSE(CONTROL!$C$27, $C$14, 100%, $E$14)</f>
        <v>3.254</v>
      </c>
      <c r="G37" s="59">
        <f>3.2609 * CHOOSE(CONTROL!$C$27, $C$14, 100%, $E$14)</f>
        <v>3.2608999999999999</v>
      </c>
      <c r="H37" s="59">
        <f>6.138* CHOOSE(CONTROL!$C$27, $C$14, 100%, $E$14)</f>
        <v>6.1379999999999999</v>
      </c>
      <c r="I37" s="59">
        <f>6.1449 * CHOOSE(CONTROL!$C$27, $C$14, 100%, $E$14)</f>
        <v>6.1448999999999998</v>
      </c>
      <c r="J37" s="59">
        <f>6.138 * CHOOSE(CONTROL!$C$27, $C$14, 100%, $E$14)</f>
        <v>6.1379999999999999</v>
      </c>
      <c r="K37" s="59">
        <f>6.1449 * CHOOSE(CONTROL!$C$27, $C$14, 100%, $E$14)</f>
        <v>6.1448999999999998</v>
      </c>
      <c r="L37" s="59">
        <f>3.2338 * CHOOSE(CONTROL!$C$27, $C$14, 100%, $E$14)</f>
        <v>3.2338</v>
      </c>
      <c r="M37" s="59">
        <f>3.2407 * CHOOSE(CONTROL!$C$27, $C$14, 100%, $E$14)</f>
        <v>3.2406999999999999</v>
      </c>
      <c r="N37" s="59">
        <f>3.2338 * CHOOSE(CONTROL!$C$27, $C$14, 100%, $E$14)</f>
        <v>3.2338</v>
      </c>
      <c r="O37" s="59">
        <f>3.2407 * CHOOSE(CONTROL!$C$27, $C$14, 100%, $E$14)</f>
        <v>3.2406999999999999</v>
      </c>
      <c r="P37" s="4"/>
      <c r="Q37" s="59"/>
      <c r="R37" s="59"/>
    </row>
    <row r="38" spans="1:18" ht="15">
      <c r="A38" s="11">
        <v>42248</v>
      </c>
      <c r="B38" s="58">
        <f>2.5116 * CHOOSE(CONTROL!$C$27, $C$14, 100%, $E$14)</f>
        <v>2.5116000000000001</v>
      </c>
      <c r="C38" s="58">
        <f>2.5471 * CHOOSE(CONTROL!$C$27, $C$14, 100%, $E$14)</f>
        <v>2.5470999999999999</v>
      </c>
      <c r="D38" s="58">
        <f>2.5527 * CHOOSE(CONTROL!$C$27, $C$14, 100%, $E$14)</f>
        <v>2.5527000000000002</v>
      </c>
      <c r="E38" s="59">
        <f>3.2287 * CHOOSE(CONTROL!$C$27, $C$14, 100%, $E$14)</f>
        <v>3.2286999999999999</v>
      </c>
      <c r="F38" s="59">
        <f>3.254 * CHOOSE(CONTROL!$C$27, $C$14, 100%, $E$14)</f>
        <v>3.254</v>
      </c>
      <c r="G38" s="59">
        <f>3.2609 * CHOOSE(CONTROL!$C$27, $C$14, 100%, $E$14)</f>
        <v>3.2608999999999999</v>
      </c>
      <c r="H38" s="59">
        <f>6.1508* CHOOSE(CONTROL!$C$27, $C$14, 100%, $E$14)</f>
        <v>6.1508000000000003</v>
      </c>
      <c r="I38" s="59">
        <f>6.1577 * CHOOSE(CONTROL!$C$27, $C$14, 100%, $E$14)</f>
        <v>6.1577000000000002</v>
      </c>
      <c r="J38" s="59">
        <f>6.1508 * CHOOSE(CONTROL!$C$27, $C$14, 100%, $E$14)</f>
        <v>6.1508000000000003</v>
      </c>
      <c r="K38" s="59">
        <f>6.1577 * CHOOSE(CONTROL!$C$27, $C$14, 100%, $E$14)</f>
        <v>6.1577000000000002</v>
      </c>
      <c r="L38" s="59">
        <f>3.2287 * CHOOSE(CONTROL!$C$27, $C$14, 100%, $E$14)</f>
        <v>3.2286999999999999</v>
      </c>
      <c r="M38" s="59">
        <f>3.2356 * CHOOSE(CONTROL!$C$27, $C$14, 100%, $E$14)</f>
        <v>3.2355999999999998</v>
      </c>
      <c r="N38" s="59">
        <f>3.2287 * CHOOSE(CONTROL!$C$27, $C$14, 100%, $E$14)</f>
        <v>3.2286999999999999</v>
      </c>
      <c r="O38" s="59">
        <f>3.2356 * CHOOSE(CONTROL!$C$27, $C$14, 100%, $E$14)</f>
        <v>3.2355999999999998</v>
      </c>
      <c r="P38" s="4"/>
      <c r="Q38" s="59"/>
      <c r="R38" s="59"/>
    </row>
    <row r="39" spans="1:18" ht="15">
      <c r="A39" s="11">
        <v>42278</v>
      </c>
      <c r="B39" s="58">
        <f>2.5077 * CHOOSE(CONTROL!$C$27, $C$14, 100%, $E$14)</f>
        <v>2.5076999999999998</v>
      </c>
      <c r="C39" s="58">
        <f>2.538 * CHOOSE(CONTROL!$C$27, $C$14, 100%, $E$14)</f>
        <v>2.5379999999999998</v>
      </c>
      <c r="D39" s="58">
        <f>2.542 * CHOOSE(CONTROL!$C$27, $C$14, 100%, $E$14)</f>
        <v>2.5419999999999998</v>
      </c>
      <c r="E39" s="59">
        <f>3.2365 * CHOOSE(CONTROL!$C$27, $C$14, 100%, $E$14)</f>
        <v>3.2364999999999999</v>
      </c>
      <c r="F39" s="59">
        <f>3.254 * CHOOSE(CONTROL!$C$27, $C$14, 100%, $E$14)</f>
        <v>3.254</v>
      </c>
      <c r="G39" s="59">
        <f>3.2589 * CHOOSE(CONTROL!$C$27, $C$14, 100%, $E$14)</f>
        <v>3.2589000000000001</v>
      </c>
      <c r="H39" s="59">
        <f>6.1636* CHOOSE(CONTROL!$C$27, $C$14, 100%, $E$14)</f>
        <v>6.1635999999999997</v>
      </c>
      <c r="I39" s="59">
        <f>6.1685 * CHOOSE(CONTROL!$C$27, $C$14, 100%, $E$14)</f>
        <v>6.1684999999999999</v>
      </c>
      <c r="J39" s="59">
        <f>6.1636 * CHOOSE(CONTROL!$C$27, $C$14, 100%, $E$14)</f>
        <v>6.1635999999999997</v>
      </c>
      <c r="K39" s="59">
        <f>6.1685 * CHOOSE(CONTROL!$C$27, $C$14, 100%, $E$14)</f>
        <v>6.1684999999999999</v>
      </c>
      <c r="L39" s="59">
        <f>3.2365 * CHOOSE(CONTROL!$C$27, $C$14, 100%, $E$14)</f>
        <v>3.2364999999999999</v>
      </c>
      <c r="M39" s="59">
        <f>3.2414 * CHOOSE(CONTROL!$C$27, $C$14, 100%, $E$14)</f>
        <v>3.2414000000000001</v>
      </c>
      <c r="N39" s="59">
        <f>3.2365 * CHOOSE(CONTROL!$C$27, $C$14, 100%, $E$14)</f>
        <v>3.2364999999999999</v>
      </c>
      <c r="O39" s="59">
        <f>3.2414 * CHOOSE(CONTROL!$C$27, $C$14, 100%, $E$14)</f>
        <v>3.2414000000000001</v>
      </c>
      <c r="P39" s="4"/>
      <c r="Q39" s="59"/>
      <c r="R39" s="59"/>
    </row>
    <row r="40" spans="1:18" ht="15">
      <c r="A40" s="11">
        <v>42309</v>
      </c>
      <c r="B40" s="58">
        <f>2.5106 * CHOOSE(CONTROL!$C$27, $C$14, 100%, $E$14)</f>
        <v>2.5106000000000002</v>
      </c>
      <c r="C40" s="58">
        <f>2.5433 * CHOOSE(CONTROL!$C$27, $C$14, 100%, $E$14)</f>
        <v>2.5432999999999999</v>
      </c>
      <c r="D40" s="58">
        <f>2.5473 * CHOOSE(CONTROL!$C$27, $C$14, 100%, $E$14)</f>
        <v>2.5472999999999999</v>
      </c>
      <c r="E40" s="59">
        <f>3.2365 * CHOOSE(CONTROL!$C$27, $C$14, 100%, $E$14)</f>
        <v>3.2364999999999999</v>
      </c>
      <c r="F40" s="59">
        <f>3.254 * CHOOSE(CONTROL!$C$27, $C$14, 100%, $E$14)</f>
        <v>3.254</v>
      </c>
      <c r="G40" s="59">
        <f>3.2589 * CHOOSE(CONTROL!$C$27, $C$14, 100%, $E$14)</f>
        <v>3.2589000000000001</v>
      </c>
      <c r="H40" s="59">
        <f>6.1764* CHOOSE(CONTROL!$C$27, $C$14, 100%, $E$14)</f>
        <v>6.1764000000000001</v>
      </c>
      <c r="I40" s="59">
        <f>6.1813 * CHOOSE(CONTROL!$C$27, $C$14, 100%, $E$14)</f>
        <v>6.1813000000000002</v>
      </c>
      <c r="J40" s="59">
        <f>6.1764 * CHOOSE(CONTROL!$C$27, $C$14, 100%, $E$14)</f>
        <v>6.1764000000000001</v>
      </c>
      <c r="K40" s="59">
        <f>6.1813 * CHOOSE(CONTROL!$C$27, $C$14, 100%, $E$14)</f>
        <v>6.1813000000000002</v>
      </c>
      <c r="L40" s="59">
        <f>3.2365 * CHOOSE(CONTROL!$C$27, $C$14, 100%, $E$14)</f>
        <v>3.2364999999999999</v>
      </c>
      <c r="M40" s="59">
        <f>3.2414 * CHOOSE(CONTROL!$C$27, $C$14, 100%, $E$14)</f>
        <v>3.2414000000000001</v>
      </c>
      <c r="N40" s="59">
        <f>3.2365 * CHOOSE(CONTROL!$C$27, $C$14, 100%, $E$14)</f>
        <v>3.2364999999999999</v>
      </c>
      <c r="O40" s="59">
        <f>3.2414 * CHOOSE(CONTROL!$C$27, $C$14, 100%, $E$14)</f>
        <v>3.2414000000000001</v>
      </c>
      <c r="P40" s="4"/>
      <c r="Q40" s="59"/>
      <c r="R40" s="59"/>
    </row>
    <row r="41" spans="1:18" ht="15">
      <c r="A41" s="11">
        <v>42339</v>
      </c>
      <c r="B41" s="58">
        <f>2.5133 * CHOOSE(CONTROL!$C$27, $C$14, 100%, $E$14)</f>
        <v>2.5133000000000001</v>
      </c>
      <c r="C41" s="58">
        <f>2.5463 * CHOOSE(CONTROL!$C$27, $C$14, 100%, $E$14)</f>
        <v>2.5463</v>
      </c>
      <c r="D41" s="58">
        <f>2.5503 * CHOOSE(CONTROL!$C$27, $C$14, 100%, $E$14)</f>
        <v>2.5503</v>
      </c>
      <c r="E41" s="59">
        <f>3.2307 * CHOOSE(CONTROL!$C$27, $C$14, 100%, $E$14)</f>
        <v>3.2307000000000001</v>
      </c>
      <c r="F41" s="59">
        <f>3.254 * CHOOSE(CONTROL!$C$27, $C$14, 100%, $E$14)</f>
        <v>3.254</v>
      </c>
      <c r="G41" s="59">
        <f>3.2589 * CHOOSE(CONTROL!$C$27, $C$14, 100%, $E$14)</f>
        <v>3.2589000000000001</v>
      </c>
      <c r="H41" s="59">
        <f>6.1893* CHOOSE(CONTROL!$C$27, $C$14, 100%, $E$14)</f>
        <v>6.1893000000000002</v>
      </c>
      <c r="I41" s="59">
        <f>6.1942 * CHOOSE(CONTROL!$C$27, $C$14, 100%, $E$14)</f>
        <v>6.1942000000000004</v>
      </c>
      <c r="J41" s="59">
        <f>6.1893 * CHOOSE(CONTROL!$C$27, $C$14, 100%, $E$14)</f>
        <v>6.1893000000000002</v>
      </c>
      <c r="K41" s="59">
        <f>6.1942 * CHOOSE(CONTROL!$C$27, $C$14, 100%, $E$14)</f>
        <v>6.1942000000000004</v>
      </c>
      <c r="L41" s="59">
        <f>3.2307 * CHOOSE(CONTROL!$C$27, $C$14, 100%, $E$14)</f>
        <v>3.2307000000000001</v>
      </c>
      <c r="M41" s="59">
        <f>3.2356 * CHOOSE(CONTROL!$C$27, $C$14, 100%, $E$14)</f>
        <v>3.2355999999999998</v>
      </c>
      <c r="N41" s="59">
        <f>3.2307 * CHOOSE(CONTROL!$C$27, $C$14, 100%, $E$14)</f>
        <v>3.2307000000000001</v>
      </c>
      <c r="O41" s="59">
        <f>3.2356 * CHOOSE(CONTROL!$C$27, $C$14, 100%, $E$14)</f>
        <v>3.2355999999999998</v>
      </c>
      <c r="P41" s="4"/>
      <c r="Q41" s="59"/>
      <c r="R41" s="59"/>
    </row>
    <row r="42" spans="1:18" ht="15">
      <c r="A42" s="11">
        <v>42370</v>
      </c>
      <c r="B42" s="58">
        <f>2.8414 * CHOOSE(CONTROL!$C$27, $C$14, 100%, $E$14)</f>
        <v>2.8414000000000001</v>
      </c>
      <c r="C42" s="58">
        <f>2.8414 * CHOOSE(CONTROL!$C$27, $C$14, 100%, $E$14)</f>
        <v>2.8414000000000001</v>
      </c>
      <c r="D42" s="58">
        <f>2.8454 * CHOOSE(CONTROL!$C$27, $C$14, 100%, $E$14)</f>
        <v>2.8454000000000002</v>
      </c>
      <c r="E42" s="59">
        <f>3.358 * CHOOSE(CONTROL!$C$27, $C$14, 100%, $E$14)</f>
        <v>3.3580000000000001</v>
      </c>
      <c r="F42" s="59">
        <f>3.446 * CHOOSE(CONTROL!$C$27, $C$14, 100%, $E$14)</f>
        <v>3.4460000000000002</v>
      </c>
      <c r="G42" s="59">
        <f>3.4509 * CHOOSE(CONTROL!$C$27, $C$14, 100%, $E$14)</f>
        <v>3.4508999999999999</v>
      </c>
      <c r="H42" s="59">
        <f>6.2022* CHOOSE(CONTROL!$C$27, $C$14, 100%, $E$14)</f>
        <v>6.2022000000000004</v>
      </c>
      <c r="I42" s="59">
        <f>6.2071 * CHOOSE(CONTROL!$C$27, $C$14, 100%, $E$14)</f>
        <v>6.2070999999999996</v>
      </c>
      <c r="J42" s="59">
        <f>6.2022 * CHOOSE(CONTROL!$C$27, $C$14, 100%, $E$14)</f>
        <v>6.2022000000000004</v>
      </c>
      <c r="K42" s="59">
        <f>6.2071 * CHOOSE(CONTROL!$C$27, $C$14, 100%, $E$14)</f>
        <v>6.2070999999999996</v>
      </c>
      <c r="L42" s="59">
        <f>3.358 * CHOOSE(CONTROL!$C$27, $C$14, 100%, $E$14)</f>
        <v>3.3580000000000001</v>
      </c>
      <c r="M42" s="59">
        <f>3.3629 * CHOOSE(CONTROL!$C$27, $C$14, 100%, $E$14)</f>
        <v>3.3628999999999998</v>
      </c>
      <c r="N42" s="59">
        <f>3.358 * CHOOSE(CONTROL!$C$27, $C$14, 100%, $E$14)</f>
        <v>3.3580000000000001</v>
      </c>
      <c r="O42" s="59">
        <f>3.3629 * CHOOSE(CONTROL!$C$27, $C$14, 100%, $E$14)</f>
        <v>3.3628999999999998</v>
      </c>
      <c r="P42" s="4"/>
      <c r="Q42" s="59"/>
      <c r="R42" s="59"/>
    </row>
    <row r="43" spans="1:18" ht="15">
      <c r="A43" s="11">
        <v>42401</v>
      </c>
      <c r="B43" s="58">
        <f>2.8414 * CHOOSE(CONTROL!$C$27, $C$14, 100%, $E$14)</f>
        <v>2.8414000000000001</v>
      </c>
      <c r="C43" s="58">
        <f>2.8414 * CHOOSE(CONTROL!$C$27, $C$14, 100%, $E$14)</f>
        <v>2.8414000000000001</v>
      </c>
      <c r="D43" s="58">
        <f>2.8454 * CHOOSE(CONTROL!$C$27, $C$14, 100%, $E$14)</f>
        <v>2.8454000000000002</v>
      </c>
      <c r="E43" s="59">
        <f>3.402 * CHOOSE(CONTROL!$C$27, $C$14, 100%, $E$14)</f>
        <v>3.4020000000000001</v>
      </c>
      <c r="F43" s="59">
        <f>3.446 * CHOOSE(CONTROL!$C$27, $C$14, 100%, $E$14)</f>
        <v>3.4460000000000002</v>
      </c>
      <c r="G43" s="59">
        <f>3.4509 * CHOOSE(CONTROL!$C$27, $C$14, 100%, $E$14)</f>
        <v>3.4508999999999999</v>
      </c>
      <c r="H43" s="59">
        <f>6.2151* CHOOSE(CONTROL!$C$27, $C$14, 100%, $E$14)</f>
        <v>6.2150999999999996</v>
      </c>
      <c r="I43" s="59">
        <f>6.22 * CHOOSE(CONTROL!$C$27, $C$14, 100%, $E$14)</f>
        <v>6.22</v>
      </c>
      <c r="J43" s="59">
        <f>6.2151 * CHOOSE(CONTROL!$C$27, $C$14, 100%, $E$14)</f>
        <v>6.2150999999999996</v>
      </c>
      <c r="K43" s="59">
        <f>6.22 * CHOOSE(CONTROL!$C$27, $C$14, 100%, $E$14)</f>
        <v>6.22</v>
      </c>
      <c r="L43" s="59">
        <f>3.402 * CHOOSE(CONTROL!$C$27, $C$14, 100%, $E$14)</f>
        <v>3.4020000000000001</v>
      </c>
      <c r="M43" s="59">
        <f>3.4069 * CHOOSE(CONTROL!$C$27, $C$14, 100%, $E$14)</f>
        <v>3.4068999999999998</v>
      </c>
      <c r="N43" s="59">
        <f>3.402 * CHOOSE(CONTROL!$C$27, $C$14, 100%, $E$14)</f>
        <v>3.4020000000000001</v>
      </c>
      <c r="O43" s="59">
        <f>3.4069 * CHOOSE(CONTROL!$C$27, $C$14, 100%, $E$14)</f>
        <v>3.4068999999999998</v>
      </c>
      <c r="P43" s="4"/>
      <c r="Q43" s="59"/>
      <c r="R43" s="59"/>
    </row>
    <row r="44" spans="1:18" ht="15">
      <c r="A44" s="11">
        <v>42430</v>
      </c>
      <c r="B44" s="58">
        <f>2.8384 * CHOOSE(CONTROL!$C$27, $C$14, 100%, $E$14)</f>
        <v>2.8384</v>
      </c>
      <c r="C44" s="58">
        <f>2.8384 * CHOOSE(CONTROL!$C$27, $C$14, 100%, $E$14)</f>
        <v>2.8384</v>
      </c>
      <c r="D44" s="58">
        <f>2.8423 * CHOOSE(CONTROL!$C$27, $C$14, 100%, $E$14)</f>
        <v>2.8422999999999998</v>
      </c>
      <c r="E44" s="59">
        <f>3.358 * CHOOSE(CONTROL!$C$27, $C$14, 100%, $E$14)</f>
        <v>3.3580000000000001</v>
      </c>
      <c r="F44" s="59">
        <f>3.446 * CHOOSE(CONTROL!$C$27, $C$14, 100%, $E$14)</f>
        <v>3.4460000000000002</v>
      </c>
      <c r="G44" s="59">
        <f>3.4509 * CHOOSE(CONTROL!$C$27, $C$14, 100%, $E$14)</f>
        <v>3.4508999999999999</v>
      </c>
      <c r="H44" s="59">
        <f>6.228* CHOOSE(CONTROL!$C$27, $C$14, 100%, $E$14)</f>
        <v>6.2279999999999998</v>
      </c>
      <c r="I44" s="59">
        <f>6.233 * CHOOSE(CONTROL!$C$27, $C$14, 100%, $E$14)</f>
        <v>6.2329999999999997</v>
      </c>
      <c r="J44" s="59">
        <f>6.228 * CHOOSE(CONTROL!$C$27, $C$14, 100%, $E$14)</f>
        <v>6.2279999999999998</v>
      </c>
      <c r="K44" s="59">
        <f>6.233 * CHOOSE(CONTROL!$C$27, $C$14, 100%, $E$14)</f>
        <v>6.2329999999999997</v>
      </c>
      <c r="L44" s="59">
        <f>3.358 * CHOOSE(CONTROL!$C$27, $C$14, 100%, $E$14)</f>
        <v>3.3580000000000001</v>
      </c>
      <c r="M44" s="59">
        <f>3.3629 * CHOOSE(CONTROL!$C$27, $C$14, 100%, $E$14)</f>
        <v>3.3628999999999998</v>
      </c>
      <c r="N44" s="59">
        <f>3.358 * CHOOSE(CONTROL!$C$27, $C$14, 100%, $E$14)</f>
        <v>3.3580000000000001</v>
      </c>
      <c r="O44" s="59">
        <f>3.3629 * CHOOSE(CONTROL!$C$27, $C$14, 100%, $E$14)</f>
        <v>3.3628999999999998</v>
      </c>
      <c r="P44" s="4"/>
      <c r="Q44" s="59"/>
      <c r="R44" s="59"/>
    </row>
    <row r="45" spans="1:18" ht="15">
      <c r="A45" s="11">
        <v>42461</v>
      </c>
      <c r="B45" s="58">
        <f>2.8276 * CHOOSE(CONTROL!$C$27, $C$14, 100%, $E$14)</f>
        <v>2.8275999999999999</v>
      </c>
      <c r="C45" s="58">
        <f>2.8276 * CHOOSE(CONTROL!$C$27, $C$14, 100%, $E$14)</f>
        <v>2.8275999999999999</v>
      </c>
      <c r="D45" s="58">
        <f>2.8316 * CHOOSE(CONTROL!$C$27, $C$14, 100%, $E$14)</f>
        <v>2.8315999999999999</v>
      </c>
      <c r="E45" s="59">
        <f>3.402 * CHOOSE(CONTROL!$C$27, $C$14, 100%, $E$14)</f>
        <v>3.4020000000000001</v>
      </c>
      <c r="F45" s="59">
        <f>3.446 * CHOOSE(CONTROL!$C$27, $C$14, 100%, $E$14)</f>
        <v>3.4460000000000002</v>
      </c>
      <c r="G45" s="59">
        <f>3.4509 * CHOOSE(CONTROL!$C$27, $C$14, 100%, $E$14)</f>
        <v>3.4508999999999999</v>
      </c>
      <c r="H45" s="59">
        <f>6.241* CHOOSE(CONTROL!$C$27, $C$14, 100%, $E$14)</f>
        <v>6.2409999999999997</v>
      </c>
      <c r="I45" s="59">
        <f>6.2459 * CHOOSE(CONTROL!$C$27, $C$14, 100%, $E$14)</f>
        <v>6.2458999999999998</v>
      </c>
      <c r="J45" s="59">
        <f>6.241 * CHOOSE(CONTROL!$C$27, $C$14, 100%, $E$14)</f>
        <v>6.2409999999999997</v>
      </c>
      <c r="K45" s="59">
        <f>6.2459 * CHOOSE(CONTROL!$C$27, $C$14, 100%, $E$14)</f>
        <v>6.2458999999999998</v>
      </c>
      <c r="L45" s="59">
        <f>3.402 * CHOOSE(CONTROL!$C$27, $C$14, 100%, $E$14)</f>
        <v>3.4020000000000001</v>
      </c>
      <c r="M45" s="59">
        <f>3.4069 * CHOOSE(CONTROL!$C$27, $C$14, 100%, $E$14)</f>
        <v>3.4068999999999998</v>
      </c>
      <c r="N45" s="59">
        <f>3.402 * CHOOSE(CONTROL!$C$27, $C$14, 100%, $E$14)</f>
        <v>3.4020000000000001</v>
      </c>
      <c r="O45" s="59">
        <f>3.4069 * CHOOSE(CONTROL!$C$27, $C$14, 100%, $E$14)</f>
        <v>3.4068999999999998</v>
      </c>
      <c r="P45" s="4"/>
      <c r="Q45" s="59"/>
      <c r="R45" s="59"/>
    </row>
    <row r="46" spans="1:18" ht="15">
      <c r="A46" s="11">
        <v>42491</v>
      </c>
      <c r="B46" s="58">
        <f>2.8307 * CHOOSE(CONTROL!$C$27, $C$14, 100%, $E$14)</f>
        <v>2.8307000000000002</v>
      </c>
      <c r="C46" s="58">
        <f>2.8307 * CHOOSE(CONTROL!$C$27, $C$14, 100%, $E$14)</f>
        <v>2.8307000000000002</v>
      </c>
      <c r="D46" s="58">
        <f>2.8363 * CHOOSE(CONTROL!$C$27, $C$14, 100%, $E$14)</f>
        <v>2.8363</v>
      </c>
      <c r="E46" s="59">
        <f>3.358 * CHOOSE(CONTROL!$C$27, $C$14, 100%, $E$14)</f>
        <v>3.3580000000000001</v>
      </c>
      <c r="F46" s="59">
        <f>3.446 * CHOOSE(CONTROL!$C$27, $C$14, 100%, $E$14)</f>
        <v>3.4460000000000002</v>
      </c>
      <c r="G46" s="59">
        <f>3.4529 * CHOOSE(CONTROL!$C$27, $C$14, 100%, $E$14)</f>
        <v>3.4529000000000001</v>
      </c>
      <c r="H46" s="59">
        <f>6.254* CHOOSE(CONTROL!$C$27, $C$14, 100%, $E$14)</f>
        <v>6.2539999999999996</v>
      </c>
      <c r="I46" s="59">
        <f>6.2609 * CHOOSE(CONTROL!$C$27, $C$14, 100%, $E$14)</f>
        <v>6.2609000000000004</v>
      </c>
      <c r="J46" s="59">
        <f>6.254 * CHOOSE(CONTROL!$C$27, $C$14, 100%, $E$14)</f>
        <v>6.2539999999999996</v>
      </c>
      <c r="K46" s="59">
        <f>6.2609 * CHOOSE(CONTROL!$C$27, $C$14, 100%, $E$14)</f>
        <v>6.2609000000000004</v>
      </c>
      <c r="L46" s="59">
        <f>3.358 * CHOOSE(CONTROL!$C$27, $C$14, 100%, $E$14)</f>
        <v>3.3580000000000001</v>
      </c>
      <c r="M46" s="59">
        <f>3.3649 * CHOOSE(CONTROL!$C$27, $C$14, 100%, $E$14)</f>
        <v>3.3649</v>
      </c>
      <c r="N46" s="59">
        <f>3.358 * CHOOSE(CONTROL!$C$27, $C$14, 100%, $E$14)</f>
        <v>3.3580000000000001</v>
      </c>
      <c r="O46" s="59">
        <f>3.3649 * CHOOSE(CONTROL!$C$27, $C$14, 100%, $E$14)</f>
        <v>3.3649</v>
      </c>
      <c r="P46" s="4"/>
      <c r="Q46" s="59"/>
      <c r="R46" s="59"/>
    </row>
    <row r="47" spans="1:18" ht="15">
      <c r="A47" s="11">
        <v>42522</v>
      </c>
      <c r="B47" s="58">
        <f>2.8398 * CHOOSE(CONTROL!$C$27, $C$14, 100%, $E$14)</f>
        <v>2.8397999999999999</v>
      </c>
      <c r="C47" s="58">
        <f>2.8398 * CHOOSE(CONTROL!$C$27, $C$14, 100%, $E$14)</f>
        <v>2.8397999999999999</v>
      </c>
      <c r="D47" s="58">
        <f>2.8454 * CHOOSE(CONTROL!$C$27, $C$14, 100%, $E$14)</f>
        <v>2.8454000000000002</v>
      </c>
      <c r="E47" s="59">
        <f>3.402 * CHOOSE(CONTROL!$C$27, $C$14, 100%, $E$14)</f>
        <v>3.4020000000000001</v>
      </c>
      <c r="F47" s="59">
        <f>3.446 * CHOOSE(CONTROL!$C$27, $C$14, 100%, $E$14)</f>
        <v>3.4460000000000002</v>
      </c>
      <c r="G47" s="59">
        <f>3.4529 * CHOOSE(CONTROL!$C$27, $C$14, 100%, $E$14)</f>
        <v>3.4529000000000001</v>
      </c>
      <c r="H47" s="59">
        <f>6.2671* CHOOSE(CONTROL!$C$27, $C$14, 100%, $E$14)</f>
        <v>6.2671000000000001</v>
      </c>
      <c r="I47" s="59">
        <f>6.2739 * CHOOSE(CONTROL!$C$27, $C$14, 100%, $E$14)</f>
        <v>6.2739000000000003</v>
      </c>
      <c r="J47" s="59">
        <f>6.2671 * CHOOSE(CONTROL!$C$27, $C$14, 100%, $E$14)</f>
        <v>6.2671000000000001</v>
      </c>
      <c r="K47" s="59">
        <f>6.2739 * CHOOSE(CONTROL!$C$27, $C$14, 100%, $E$14)</f>
        <v>6.2739000000000003</v>
      </c>
      <c r="L47" s="59">
        <f>3.402 * CHOOSE(CONTROL!$C$27, $C$14, 100%, $E$14)</f>
        <v>3.4020000000000001</v>
      </c>
      <c r="M47" s="59">
        <f>3.4089 * CHOOSE(CONTROL!$C$27, $C$14, 100%, $E$14)</f>
        <v>3.4089</v>
      </c>
      <c r="N47" s="59">
        <f>3.402 * CHOOSE(CONTROL!$C$27, $C$14, 100%, $E$14)</f>
        <v>3.4020000000000001</v>
      </c>
      <c r="O47" s="59">
        <f>3.4089 * CHOOSE(CONTROL!$C$27, $C$14, 100%, $E$14)</f>
        <v>3.4089</v>
      </c>
      <c r="P47" s="4"/>
      <c r="Q47" s="59"/>
      <c r="R47" s="59"/>
    </row>
    <row r="48" spans="1:18" ht="15">
      <c r="A48" s="11">
        <v>42552</v>
      </c>
      <c r="B48" s="58">
        <f>2.8772 * CHOOSE(CONTROL!$C$27, $C$14, 100%, $E$14)</f>
        <v>2.8772000000000002</v>
      </c>
      <c r="C48" s="58">
        <f>2.8772 * CHOOSE(CONTROL!$C$27, $C$14, 100%, $E$14)</f>
        <v>2.8772000000000002</v>
      </c>
      <c r="D48" s="58">
        <f>2.8828 * CHOOSE(CONTROL!$C$27, $C$14, 100%, $E$14)</f>
        <v>2.8828</v>
      </c>
      <c r="E48" s="59">
        <f>3.3756 * CHOOSE(CONTROL!$C$27, $C$14, 100%, $E$14)</f>
        <v>3.3755999999999999</v>
      </c>
      <c r="F48" s="59">
        <f>3.446 * CHOOSE(CONTROL!$C$27, $C$14, 100%, $E$14)</f>
        <v>3.4460000000000002</v>
      </c>
      <c r="G48" s="59">
        <f>3.4529 * CHOOSE(CONTROL!$C$27, $C$14, 100%, $E$14)</f>
        <v>3.4529000000000001</v>
      </c>
      <c r="H48" s="59">
        <f>6.2801* CHOOSE(CONTROL!$C$27, $C$14, 100%, $E$14)</f>
        <v>6.2801</v>
      </c>
      <c r="I48" s="59">
        <f>6.287 * CHOOSE(CONTROL!$C$27, $C$14, 100%, $E$14)</f>
        <v>6.2869999999999999</v>
      </c>
      <c r="J48" s="59">
        <f>6.2801 * CHOOSE(CONTROL!$C$27, $C$14, 100%, $E$14)</f>
        <v>6.2801</v>
      </c>
      <c r="K48" s="59">
        <f>6.287 * CHOOSE(CONTROL!$C$27, $C$14, 100%, $E$14)</f>
        <v>6.2869999999999999</v>
      </c>
      <c r="L48" s="59">
        <f>3.3756 * CHOOSE(CONTROL!$C$27, $C$14, 100%, $E$14)</f>
        <v>3.3755999999999999</v>
      </c>
      <c r="M48" s="59">
        <f>3.3825 * CHOOSE(CONTROL!$C$27, $C$14, 100%, $E$14)</f>
        <v>3.3824999999999998</v>
      </c>
      <c r="N48" s="59">
        <f>3.3756 * CHOOSE(CONTROL!$C$27, $C$14, 100%, $E$14)</f>
        <v>3.3755999999999999</v>
      </c>
      <c r="O48" s="59">
        <f>3.3825 * CHOOSE(CONTROL!$C$27, $C$14, 100%, $E$14)</f>
        <v>3.3824999999999998</v>
      </c>
      <c r="P48" s="4"/>
      <c r="Q48" s="4"/>
      <c r="R48" s="4"/>
    </row>
    <row r="49" spans="1:18" ht="15">
      <c r="A49" s="11">
        <v>42583</v>
      </c>
      <c r="B49" s="58">
        <f>2.9046 * CHOOSE(CONTROL!$C$27, $C$14, 100%, $E$14)</f>
        <v>2.9045999999999998</v>
      </c>
      <c r="C49" s="58">
        <f>2.9046 * CHOOSE(CONTROL!$C$27, $C$14, 100%, $E$14)</f>
        <v>2.9045999999999998</v>
      </c>
      <c r="D49" s="58">
        <f>2.9102 * CHOOSE(CONTROL!$C$27, $C$14, 100%, $E$14)</f>
        <v>2.9102000000000001</v>
      </c>
      <c r="E49" s="59">
        <f>3.4108 * CHOOSE(CONTROL!$C$27, $C$14, 100%, $E$14)</f>
        <v>3.4108000000000001</v>
      </c>
      <c r="F49" s="59">
        <f>3.446 * CHOOSE(CONTROL!$C$27, $C$14, 100%, $E$14)</f>
        <v>3.4460000000000002</v>
      </c>
      <c r="G49" s="59">
        <f>3.4529 * CHOOSE(CONTROL!$C$27, $C$14, 100%, $E$14)</f>
        <v>3.4529000000000001</v>
      </c>
      <c r="H49" s="59">
        <f>6.2932* CHOOSE(CONTROL!$C$27, $C$14, 100%, $E$14)</f>
        <v>6.2931999999999997</v>
      </c>
      <c r="I49" s="59">
        <f>6.3001 * CHOOSE(CONTROL!$C$27, $C$14, 100%, $E$14)</f>
        <v>6.3000999999999996</v>
      </c>
      <c r="J49" s="59">
        <f>6.2932 * CHOOSE(CONTROL!$C$27, $C$14, 100%, $E$14)</f>
        <v>6.2931999999999997</v>
      </c>
      <c r="K49" s="59">
        <f>6.3001 * CHOOSE(CONTROL!$C$27, $C$14, 100%, $E$14)</f>
        <v>6.3000999999999996</v>
      </c>
      <c r="L49" s="59">
        <f>3.4108 * CHOOSE(CONTROL!$C$27, $C$14, 100%, $E$14)</f>
        <v>3.4108000000000001</v>
      </c>
      <c r="M49" s="59">
        <f>3.4177 * CHOOSE(CONTROL!$C$27, $C$14, 100%, $E$14)</f>
        <v>3.4177</v>
      </c>
      <c r="N49" s="59">
        <f>3.4108 * CHOOSE(CONTROL!$C$27, $C$14, 100%, $E$14)</f>
        <v>3.4108000000000001</v>
      </c>
      <c r="O49" s="59">
        <f>3.4177 * CHOOSE(CONTROL!$C$27, $C$14, 100%, $E$14)</f>
        <v>3.4177</v>
      </c>
      <c r="P49" s="4"/>
      <c r="Q49" s="4"/>
      <c r="R49" s="4"/>
    </row>
    <row r="50" spans="1:18" ht="15">
      <c r="A50" s="11">
        <v>42614</v>
      </c>
      <c r="B50" s="58">
        <f>2.8985 * CHOOSE(CONTROL!$C$27, $C$14, 100%, $E$14)</f>
        <v>2.8984999999999999</v>
      </c>
      <c r="C50" s="58">
        <f>2.8985 * CHOOSE(CONTROL!$C$27, $C$14, 100%, $E$14)</f>
        <v>2.8984999999999999</v>
      </c>
      <c r="D50" s="58">
        <f>2.9041 * CHOOSE(CONTROL!$C$27, $C$14, 100%, $E$14)</f>
        <v>2.9041000000000001</v>
      </c>
      <c r="E50" s="59">
        <f>3.358 * CHOOSE(CONTROL!$C$27, $C$14, 100%, $E$14)</f>
        <v>3.3580000000000001</v>
      </c>
      <c r="F50" s="59">
        <f>3.446 * CHOOSE(CONTROL!$C$27, $C$14, 100%, $E$14)</f>
        <v>3.4460000000000002</v>
      </c>
      <c r="G50" s="59">
        <f>3.4529 * CHOOSE(CONTROL!$C$27, $C$14, 100%, $E$14)</f>
        <v>3.4529000000000001</v>
      </c>
      <c r="H50" s="59">
        <f>6.3063* CHOOSE(CONTROL!$C$27, $C$14, 100%, $E$14)</f>
        <v>6.3063000000000002</v>
      </c>
      <c r="I50" s="59">
        <f>6.3132 * CHOOSE(CONTROL!$C$27, $C$14, 100%, $E$14)</f>
        <v>6.3132000000000001</v>
      </c>
      <c r="J50" s="59">
        <f>6.3063 * CHOOSE(CONTROL!$C$27, $C$14, 100%, $E$14)</f>
        <v>6.3063000000000002</v>
      </c>
      <c r="K50" s="59">
        <f>6.3132 * CHOOSE(CONTROL!$C$27, $C$14, 100%, $E$14)</f>
        <v>6.3132000000000001</v>
      </c>
      <c r="L50" s="59">
        <f>3.358 * CHOOSE(CONTROL!$C$27, $C$14, 100%, $E$14)</f>
        <v>3.3580000000000001</v>
      </c>
      <c r="M50" s="59">
        <f>3.3649 * CHOOSE(CONTROL!$C$27, $C$14, 100%, $E$14)</f>
        <v>3.3649</v>
      </c>
      <c r="N50" s="59">
        <f>3.358 * CHOOSE(CONTROL!$C$27, $C$14, 100%, $E$14)</f>
        <v>3.3580000000000001</v>
      </c>
      <c r="O50" s="59">
        <f>3.3649 * CHOOSE(CONTROL!$C$27, $C$14, 100%, $E$14)</f>
        <v>3.3649</v>
      </c>
      <c r="P50" s="4"/>
      <c r="Q50" s="4"/>
      <c r="R50" s="4"/>
    </row>
    <row r="51" spans="1:18" ht="15">
      <c r="A51" s="11">
        <v>42644</v>
      </c>
      <c r="B51" s="58">
        <f>2.9149 * CHOOSE(CONTROL!$C$27, $C$14, 100%, $E$14)</f>
        <v>2.9148999999999998</v>
      </c>
      <c r="C51" s="58">
        <f>2.9149 * CHOOSE(CONTROL!$C$27, $C$14, 100%, $E$14)</f>
        <v>2.9148999999999998</v>
      </c>
      <c r="D51" s="58">
        <f>2.9189 * CHOOSE(CONTROL!$C$27, $C$14, 100%, $E$14)</f>
        <v>2.9188999999999998</v>
      </c>
      <c r="E51" s="59">
        <f>3.3756 * CHOOSE(CONTROL!$C$27, $C$14, 100%, $E$14)</f>
        <v>3.3755999999999999</v>
      </c>
      <c r="F51" s="59">
        <f>3.446 * CHOOSE(CONTROL!$C$27, $C$14, 100%, $E$14)</f>
        <v>3.4460000000000002</v>
      </c>
      <c r="G51" s="59">
        <f>3.4509 * CHOOSE(CONTROL!$C$27, $C$14, 100%, $E$14)</f>
        <v>3.4508999999999999</v>
      </c>
      <c r="H51" s="59">
        <f>6.3194* CHOOSE(CONTROL!$C$27, $C$14, 100%, $E$14)</f>
        <v>6.3193999999999999</v>
      </c>
      <c r="I51" s="59">
        <f>6.3244 * CHOOSE(CONTROL!$C$27, $C$14, 100%, $E$14)</f>
        <v>6.3243999999999998</v>
      </c>
      <c r="J51" s="59">
        <f>6.3194 * CHOOSE(CONTROL!$C$27, $C$14, 100%, $E$14)</f>
        <v>6.3193999999999999</v>
      </c>
      <c r="K51" s="59">
        <f>6.3244 * CHOOSE(CONTROL!$C$27, $C$14, 100%, $E$14)</f>
        <v>6.3243999999999998</v>
      </c>
      <c r="L51" s="59">
        <f>3.3756 * CHOOSE(CONTROL!$C$27, $C$14, 100%, $E$14)</f>
        <v>3.3755999999999999</v>
      </c>
      <c r="M51" s="59">
        <f>3.3805 * CHOOSE(CONTROL!$C$27, $C$14, 100%, $E$14)</f>
        <v>3.3805000000000001</v>
      </c>
      <c r="N51" s="59">
        <f>3.3756 * CHOOSE(CONTROL!$C$27, $C$14, 100%, $E$14)</f>
        <v>3.3755999999999999</v>
      </c>
      <c r="O51" s="59">
        <f>3.3805 * CHOOSE(CONTROL!$C$27, $C$14, 100%, $E$14)</f>
        <v>3.3805000000000001</v>
      </c>
      <c r="P51" s="4"/>
      <c r="Q51" s="4"/>
      <c r="R51" s="4"/>
    </row>
    <row r="52" spans="1:18" ht="15">
      <c r="A52" s="11">
        <v>42675</v>
      </c>
      <c r="B52" s="58">
        <f>2.918 * CHOOSE(CONTROL!$C$27, $C$14, 100%, $E$14)</f>
        <v>2.9180000000000001</v>
      </c>
      <c r="C52" s="58">
        <f>2.918 * CHOOSE(CONTROL!$C$27, $C$14, 100%, $E$14)</f>
        <v>2.9180000000000001</v>
      </c>
      <c r="D52" s="58">
        <f>2.922 * CHOOSE(CONTROL!$C$27, $C$14, 100%, $E$14)</f>
        <v>2.9220000000000002</v>
      </c>
      <c r="E52" s="59">
        <f>3.402 * CHOOSE(CONTROL!$C$27, $C$14, 100%, $E$14)</f>
        <v>3.4020000000000001</v>
      </c>
      <c r="F52" s="59">
        <f>3.446 * CHOOSE(CONTROL!$C$27, $C$14, 100%, $E$14)</f>
        <v>3.4460000000000002</v>
      </c>
      <c r="G52" s="59">
        <f>3.4509 * CHOOSE(CONTROL!$C$27, $C$14, 100%, $E$14)</f>
        <v>3.4508999999999999</v>
      </c>
      <c r="H52" s="59">
        <f>6.3326* CHOOSE(CONTROL!$C$27, $C$14, 100%, $E$14)</f>
        <v>6.3326000000000002</v>
      </c>
      <c r="I52" s="59">
        <f>6.3375 * CHOOSE(CONTROL!$C$27, $C$14, 100%, $E$14)</f>
        <v>6.3375000000000004</v>
      </c>
      <c r="J52" s="59">
        <f>6.3326 * CHOOSE(CONTROL!$C$27, $C$14, 100%, $E$14)</f>
        <v>6.3326000000000002</v>
      </c>
      <c r="K52" s="59">
        <f>6.3375 * CHOOSE(CONTROL!$C$27, $C$14, 100%, $E$14)</f>
        <v>6.3375000000000004</v>
      </c>
      <c r="L52" s="59">
        <f>3.402 * CHOOSE(CONTROL!$C$27, $C$14, 100%, $E$14)</f>
        <v>3.4020000000000001</v>
      </c>
      <c r="M52" s="59">
        <f>3.4069 * CHOOSE(CONTROL!$C$27, $C$14, 100%, $E$14)</f>
        <v>3.4068999999999998</v>
      </c>
      <c r="N52" s="59">
        <f>3.402 * CHOOSE(CONTROL!$C$27, $C$14, 100%, $E$14)</f>
        <v>3.4020000000000001</v>
      </c>
      <c r="O52" s="59">
        <f>3.4069 * CHOOSE(CONTROL!$C$27, $C$14, 100%, $E$14)</f>
        <v>3.4068999999999998</v>
      </c>
      <c r="P52" s="4"/>
      <c r="Q52" s="4"/>
      <c r="R52" s="4"/>
    </row>
    <row r="53" spans="1:18" ht="15">
      <c r="A53" s="11">
        <v>42705</v>
      </c>
      <c r="B53" s="58">
        <f>2.921 * CHOOSE(CONTROL!$C$27, $C$14, 100%, $E$14)</f>
        <v>2.9209999999999998</v>
      </c>
      <c r="C53" s="58">
        <f>2.921 * CHOOSE(CONTROL!$C$27, $C$14, 100%, $E$14)</f>
        <v>2.9209999999999998</v>
      </c>
      <c r="D53" s="58">
        <f>2.925 * CHOOSE(CONTROL!$C$27, $C$14, 100%, $E$14)</f>
        <v>2.9249999999999998</v>
      </c>
      <c r="E53" s="59">
        <f>3.446 * CHOOSE(CONTROL!$C$27, $C$14, 100%, $E$14)</f>
        <v>3.4460000000000002</v>
      </c>
      <c r="F53" s="59">
        <f>3.446 * CHOOSE(CONTROL!$C$27, $C$14, 100%, $E$14)</f>
        <v>3.4460000000000002</v>
      </c>
      <c r="G53" s="59">
        <f>3.4509 * CHOOSE(CONTROL!$C$27, $C$14, 100%, $E$14)</f>
        <v>3.4508999999999999</v>
      </c>
      <c r="H53" s="59">
        <f>6.3458* CHOOSE(CONTROL!$C$27, $C$14, 100%, $E$14)</f>
        <v>6.3457999999999997</v>
      </c>
      <c r="I53" s="59">
        <f>6.3507 * CHOOSE(CONTROL!$C$27, $C$14, 100%, $E$14)</f>
        <v>6.3506999999999998</v>
      </c>
      <c r="J53" s="59">
        <f>6.3458 * CHOOSE(CONTROL!$C$27, $C$14, 100%, $E$14)</f>
        <v>6.3457999999999997</v>
      </c>
      <c r="K53" s="59">
        <f>6.3507 * CHOOSE(CONTROL!$C$27, $C$14, 100%, $E$14)</f>
        <v>6.3506999999999998</v>
      </c>
      <c r="L53" s="59">
        <f>3.446 * CHOOSE(CONTROL!$C$27, $C$14, 100%, $E$14)</f>
        <v>3.4460000000000002</v>
      </c>
      <c r="M53" s="59">
        <f>3.4509 * CHOOSE(CONTROL!$C$27, $C$14, 100%, $E$14)</f>
        <v>3.4508999999999999</v>
      </c>
      <c r="N53" s="59">
        <f>3.446 * CHOOSE(CONTROL!$C$27, $C$14, 100%, $E$14)</f>
        <v>3.4460000000000002</v>
      </c>
      <c r="O53" s="59">
        <f>3.4509 * CHOOSE(CONTROL!$C$27, $C$14, 100%, $E$14)</f>
        <v>3.4508999999999999</v>
      </c>
      <c r="P53" s="4"/>
      <c r="Q53" s="4"/>
      <c r="R53" s="4"/>
    </row>
    <row r="54" spans="1:18" ht="15">
      <c r="A54" s="11">
        <v>42736</v>
      </c>
      <c r="B54" s="58">
        <f>2.9632 * CHOOSE(CONTROL!$C$27, $C$14, 100%, $E$14)</f>
        <v>2.9632000000000001</v>
      </c>
      <c r="C54" s="58">
        <f>2.9632 * CHOOSE(CONTROL!$C$27, $C$14, 100%, $E$14)</f>
        <v>2.9632000000000001</v>
      </c>
      <c r="D54" s="58">
        <f>2.9672 * CHOOSE(CONTROL!$C$27, $C$14, 100%, $E$14)</f>
        <v>2.9672000000000001</v>
      </c>
      <c r="E54" s="59">
        <f>3.5517 * CHOOSE(CONTROL!$C$27, $C$14, 100%, $E$14)</f>
        <v>3.5516999999999999</v>
      </c>
      <c r="F54" s="59">
        <f>3.5517 * CHOOSE(CONTROL!$C$27, $C$14, 100%, $E$14)</f>
        <v>3.5516999999999999</v>
      </c>
      <c r="G54" s="59">
        <f>3.5566 * CHOOSE(CONTROL!$C$27, $C$14, 100%, $E$14)</f>
        <v>3.5566</v>
      </c>
      <c r="H54" s="59">
        <f>6.359* CHOOSE(CONTROL!$C$27, $C$14, 100%, $E$14)</f>
        <v>6.359</v>
      </c>
      <c r="I54" s="59">
        <f>6.3639 * CHOOSE(CONTROL!$C$27, $C$14, 100%, $E$14)</f>
        <v>6.3639000000000001</v>
      </c>
      <c r="J54" s="59">
        <f>6.359 * CHOOSE(CONTROL!$C$27, $C$14, 100%, $E$14)</f>
        <v>6.359</v>
      </c>
      <c r="K54" s="59">
        <f>6.3639 * CHOOSE(CONTROL!$C$27, $C$14, 100%, $E$14)</f>
        <v>6.3639000000000001</v>
      </c>
      <c r="L54" s="59">
        <f>3.5517 * CHOOSE(CONTROL!$C$27, $C$14, 100%, $E$14)</f>
        <v>3.5516999999999999</v>
      </c>
      <c r="M54" s="59">
        <f>3.5566 * CHOOSE(CONTROL!$C$27, $C$14, 100%, $E$14)</f>
        <v>3.5566</v>
      </c>
      <c r="N54" s="59">
        <f>3.5517 * CHOOSE(CONTROL!$C$27, $C$14, 100%, $E$14)</f>
        <v>3.5516999999999999</v>
      </c>
      <c r="O54" s="59">
        <f>3.5566 * CHOOSE(CONTROL!$C$27, $C$14, 100%, $E$14)</f>
        <v>3.5566</v>
      </c>
      <c r="P54" s="4"/>
      <c r="Q54" s="4"/>
      <c r="R54" s="4"/>
    </row>
    <row r="55" spans="1:18" ht="15">
      <c r="A55" s="11">
        <v>42767</v>
      </c>
      <c r="B55" s="58">
        <f>2.9601 * CHOOSE(CONTROL!$C$27, $C$14, 100%, $E$14)</f>
        <v>2.9601000000000002</v>
      </c>
      <c r="C55" s="58">
        <f>2.9601 * CHOOSE(CONTROL!$C$27, $C$14, 100%, $E$14)</f>
        <v>2.9601000000000002</v>
      </c>
      <c r="D55" s="58">
        <f>2.9641 * CHOOSE(CONTROL!$C$27, $C$14, 100%, $E$14)</f>
        <v>2.9641000000000002</v>
      </c>
      <c r="E55" s="59">
        <f>3.521 * CHOOSE(CONTROL!$C$27, $C$14, 100%, $E$14)</f>
        <v>3.5209999999999999</v>
      </c>
      <c r="F55" s="59">
        <f>3.521 * CHOOSE(CONTROL!$C$27, $C$14, 100%, $E$14)</f>
        <v>3.5209999999999999</v>
      </c>
      <c r="G55" s="59">
        <f>3.5259 * CHOOSE(CONTROL!$C$27, $C$14, 100%, $E$14)</f>
        <v>3.5259</v>
      </c>
      <c r="H55" s="59">
        <f>6.3723* CHOOSE(CONTROL!$C$27, $C$14, 100%, $E$14)</f>
        <v>6.3723000000000001</v>
      </c>
      <c r="I55" s="59">
        <f>6.3772 * CHOOSE(CONTROL!$C$27, $C$14, 100%, $E$14)</f>
        <v>6.3772000000000002</v>
      </c>
      <c r="J55" s="59">
        <f>6.3723 * CHOOSE(CONTROL!$C$27, $C$14, 100%, $E$14)</f>
        <v>6.3723000000000001</v>
      </c>
      <c r="K55" s="59">
        <f>6.3772 * CHOOSE(CONTROL!$C$27, $C$14, 100%, $E$14)</f>
        <v>6.3772000000000002</v>
      </c>
      <c r="L55" s="59">
        <f>3.521 * CHOOSE(CONTROL!$C$27, $C$14, 100%, $E$14)</f>
        <v>3.5209999999999999</v>
      </c>
      <c r="M55" s="59">
        <f>3.5259 * CHOOSE(CONTROL!$C$27, $C$14, 100%, $E$14)</f>
        <v>3.5259</v>
      </c>
      <c r="N55" s="59">
        <f>3.521 * CHOOSE(CONTROL!$C$27, $C$14, 100%, $E$14)</f>
        <v>3.5209999999999999</v>
      </c>
      <c r="O55" s="59">
        <f>3.5259 * CHOOSE(CONTROL!$C$27, $C$14, 100%, $E$14)</f>
        <v>3.5259</v>
      </c>
      <c r="P55" s="4"/>
      <c r="Q55" s="4"/>
      <c r="R55" s="4"/>
    </row>
    <row r="56" spans="1:18" ht="15">
      <c r="A56" s="11">
        <v>42795</v>
      </c>
      <c r="B56" s="58">
        <f>2.9571 * CHOOSE(CONTROL!$C$27, $C$14, 100%, $E$14)</f>
        <v>2.9571000000000001</v>
      </c>
      <c r="C56" s="58">
        <f>2.9571 * CHOOSE(CONTROL!$C$27, $C$14, 100%, $E$14)</f>
        <v>2.9571000000000001</v>
      </c>
      <c r="D56" s="58">
        <f>2.9611 * CHOOSE(CONTROL!$C$27, $C$14, 100%, $E$14)</f>
        <v>2.9611000000000001</v>
      </c>
      <c r="E56" s="59">
        <f>3.5414 * CHOOSE(CONTROL!$C$27, $C$14, 100%, $E$14)</f>
        <v>3.5413999999999999</v>
      </c>
      <c r="F56" s="59">
        <f>3.5414 * CHOOSE(CONTROL!$C$27, $C$14, 100%, $E$14)</f>
        <v>3.5413999999999999</v>
      </c>
      <c r="G56" s="59">
        <f>3.5463 * CHOOSE(CONTROL!$C$27, $C$14, 100%, $E$14)</f>
        <v>3.5463</v>
      </c>
      <c r="H56" s="59">
        <f>6.3855* CHOOSE(CONTROL!$C$27, $C$14, 100%, $E$14)</f>
        <v>6.3855000000000004</v>
      </c>
      <c r="I56" s="59">
        <f>6.3905 * CHOOSE(CONTROL!$C$27, $C$14, 100%, $E$14)</f>
        <v>6.3905000000000003</v>
      </c>
      <c r="J56" s="59">
        <f>6.3855 * CHOOSE(CONTROL!$C$27, $C$14, 100%, $E$14)</f>
        <v>6.3855000000000004</v>
      </c>
      <c r="K56" s="59">
        <f>6.3905 * CHOOSE(CONTROL!$C$27, $C$14, 100%, $E$14)</f>
        <v>6.3905000000000003</v>
      </c>
      <c r="L56" s="59">
        <f>3.5414 * CHOOSE(CONTROL!$C$27, $C$14, 100%, $E$14)</f>
        <v>3.5413999999999999</v>
      </c>
      <c r="M56" s="59">
        <f>3.5463 * CHOOSE(CONTROL!$C$27, $C$14, 100%, $E$14)</f>
        <v>3.5463</v>
      </c>
      <c r="N56" s="59">
        <f>3.5414 * CHOOSE(CONTROL!$C$27, $C$14, 100%, $E$14)</f>
        <v>3.5413999999999999</v>
      </c>
      <c r="O56" s="59">
        <f>3.5463 * CHOOSE(CONTROL!$C$27, $C$14, 100%, $E$14)</f>
        <v>3.5463</v>
      </c>
      <c r="P56" s="4"/>
      <c r="Q56" s="4"/>
      <c r="R56" s="4"/>
    </row>
    <row r="57" spans="1:18" ht="15">
      <c r="A57" s="11">
        <v>42826</v>
      </c>
      <c r="B57" s="58">
        <f>2.9537 * CHOOSE(CONTROL!$C$27, $C$14, 100%, $E$14)</f>
        <v>2.9537</v>
      </c>
      <c r="C57" s="58">
        <f>2.9537 * CHOOSE(CONTROL!$C$27, $C$14, 100%, $E$14)</f>
        <v>2.9537</v>
      </c>
      <c r="D57" s="58">
        <f>2.9577 * CHOOSE(CONTROL!$C$27, $C$14, 100%, $E$14)</f>
        <v>2.9577</v>
      </c>
      <c r="E57" s="59">
        <f>3.5613 * CHOOSE(CONTROL!$C$27, $C$14, 100%, $E$14)</f>
        <v>3.5613000000000001</v>
      </c>
      <c r="F57" s="59">
        <f>3.5613 * CHOOSE(CONTROL!$C$27, $C$14, 100%, $E$14)</f>
        <v>3.5613000000000001</v>
      </c>
      <c r="G57" s="59">
        <f>3.5662 * CHOOSE(CONTROL!$C$27, $C$14, 100%, $E$14)</f>
        <v>3.5661999999999998</v>
      </c>
      <c r="H57" s="59">
        <f>6.3988* CHOOSE(CONTROL!$C$27, $C$14, 100%, $E$14)</f>
        <v>6.3987999999999996</v>
      </c>
      <c r="I57" s="59">
        <f>6.4038 * CHOOSE(CONTROL!$C$27, $C$14, 100%, $E$14)</f>
        <v>6.4038000000000004</v>
      </c>
      <c r="J57" s="59">
        <f>6.3988 * CHOOSE(CONTROL!$C$27, $C$14, 100%, $E$14)</f>
        <v>6.3987999999999996</v>
      </c>
      <c r="K57" s="59">
        <f>6.4038 * CHOOSE(CONTROL!$C$27, $C$14, 100%, $E$14)</f>
        <v>6.4038000000000004</v>
      </c>
      <c r="L57" s="59">
        <f>3.5613 * CHOOSE(CONTROL!$C$27, $C$14, 100%, $E$14)</f>
        <v>3.5613000000000001</v>
      </c>
      <c r="M57" s="59">
        <f>3.5662 * CHOOSE(CONTROL!$C$27, $C$14, 100%, $E$14)</f>
        <v>3.5661999999999998</v>
      </c>
      <c r="N57" s="59">
        <f>3.5613 * CHOOSE(CONTROL!$C$27, $C$14, 100%, $E$14)</f>
        <v>3.5613000000000001</v>
      </c>
      <c r="O57" s="59">
        <f>3.5662 * CHOOSE(CONTROL!$C$27, $C$14, 100%, $E$14)</f>
        <v>3.5661999999999998</v>
      </c>
      <c r="P57" s="4"/>
      <c r="Q57" s="4"/>
      <c r="R57" s="4"/>
    </row>
    <row r="58" spans="1:18" ht="15">
      <c r="A58" s="11">
        <v>42856</v>
      </c>
      <c r="B58" s="58">
        <f>2.9537 * CHOOSE(CONTROL!$C$27, $C$14, 100%, $E$14)</f>
        <v>2.9537</v>
      </c>
      <c r="C58" s="58">
        <f>2.9537 * CHOOSE(CONTROL!$C$27, $C$14, 100%, $E$14)</f>
        <v>2.9537</v>
      </c>
      <c r="D58" s="58">
        <f>2.9593 * CHOOSE(CONTROL!$C$27, $C$14, 100%, $E$14)</f>
        <v>2.9592999999999998</v>
      </c>
      <c r="E58" s="59">
        <f>3.5704 * CHOOSE(CONTROL!$C$27, $C$14, 100%, $E$14)</f>
        <v>3.5703999999999998</v>
      </c>
      <c r="F58" s="59">
        <f>3.5704 * CHOOSE(CONTROL!$C$27, $C$14, 100%, $E$14)</f>
        <v>3.5703999999999998</v>
      </c>
      <c r="G58" s="59">
        <f>3.5773 * CHOOSE(CONTROL!$C$27, $C$14, 100%, $E$14)</f>
        <v>3.5773000000000001</v>
      </c>
      <c r="H58" s="59">
        <f>6.4122* CHOOSE(CONTROL!$C$27, $C$14, 100%, $E$14)</f>
        <v>6.4122000000000003</v>
      </c>
      <c r="I58" s="59">
        <f>6.4191 * CHOOSE(CONTROL!$C$27, $C$14, 100%, $E$14)</f>
        <v>6.4191000000000003</v>
      </c>
      <c r="J58" s="59">
        <f>6.4122 * CHOOSE(CONTROL!$C$27, $C$14, 100%, $E$14)</f>
        <v>6.4122000000000003</v>
      </c>
      <c r="K58" s="59">
        <f>6.4191 * CHOOSE(CONTROL!$C$27, $C$14, 100%, $E$14)</f>
        <v>6.4191000000000003</v>
      </c>
      <c r="L58" s="59">
        <f>3.5704 * CHOOSE(CONTROL!$C$27, $C$14, 100%, $E$14)</f>
        <v>3.5703999999999998</v>
      </c>
      <c r="M58" s="59">
        <f>3.5773 * CHOOSE(CONTROL!$C$27, $C$14, 100%, $E$14)</f>
        <v>3.5773000000000001</v>
      </c>
      <c r="N58" s="59">
        <f>3.5704 * CHOOSE(CONTROL!$C$27, $C$14, 100%, $E$14)</f>
        <v>3.5703999999999998</v>
      </c>
      <c r="O58" s="59">
        <f>3.5773 * CHOOSE(CONTROL!$C$27, $C$14, 100%, $E$14)</f>
        <v>3.5773000000000001</v>
      </c>
      <c r="P58" s="4"/>
      <c r="Q58" s="4"/>
      <c r="R58" s="4"/>
    </row>
    <row r="59" spans="1:18" ht="15">
      <c r="A59" s="11">
        <v>42887</v>
      </c>
      <c r="B59" s="58">
        <f>2.9598 * CHOOSE(CONTROL!$C$27, $C$14, 100%, $E$14)</f>
        <v>2.9598</v>
      </c>
      <c r="C59" s="58">
        <f>2.9598 * CHOOSE(CONTROL!$C$27, $C$14, 100%, $E$14)</f>
        <v>2.9598</v>
      </c>
      <c r="D59" s="58">
        <f>2.9654 * CHOOSE(CONTROL!$C$27, $C$14, 100%, $E$14)</f>
        <v>2.9653999999999998</v>
      </c>
      <c r="E59" s="59">
        <f>3.5655 * CHOOSE(CONTROL!$C$27, $C$14, 100%, $E$14)</f>
        <v>3.5655000000000001</v>
      </c>
      <c r="F59" s="59">
        <f>3.5655 * CHOOSE(CONTROL!$C$27, $C$14, 100%, $E$14)</f>
        <v>3.5655000000000001</v>
      </c>
      <c r="G59" s="59">
        <f>3.5724 * CHOOSE(CONTROL!$C$27, $C$14, 100%, $E$14)</f>
        <v>3.5724</v>
      </c>
      <c r="H59" s="59">
        <f>6.4255* CHOOSE(CONTROL!$C$27, $C$14, 100%, $E$14)</f>
        <v>6.4255000000000004</v>
      </c>
      <c r="I59" s="59">
        <f>6.4324 * CHOOSE(CONTROL!$C$27, $C$14, 100%, $E$14)</f>
        <v>6.4324000000000003</v>
      </c>
      <c r="J59" s="59">
        <f>6.4255 * CHOOSE(CONTROL!$C$27, $C$14, 100%, $E$14)</f>
        <v>6.4255000000000004</v>
      </c>
      <c r="K59" s="59">
        <f>6.4324 * CHOOSE(CONTROL!$C$27, $C$14, 100%, $E$14)</f>
        <v>6.4324000000000003</v>
      </c>
      <c r="L59" s="59">
        <f>3.5655 * CHOOSE(CONTROL!$C$27, $C$14, 100%, $E$14)</f>
        <v>3.5655000000000001</v>
      </c>
      <c r="M59" s="59">
        <f>3.5724 * CHOOSE(CONTROL!$C$27, $C$14, 100%, $E$14)</f>
        <v>3.5724</v>
      </c>
      <c r="N59" s="59">
        <f>3.5655 * CHOOSE(CONTROL!$C$27, $C$14, 100%, $E$14)</f>
        <v>3.5655000000000001</v>
      </c>
      <c r="O59" s="59">
        <f>3.5724 * CHOOSE(CONTROL!$C$27, $C$14, 100%, $E$14)</f>
        <v>3.5724</v>
      </c>
      <c r="P59" s="4"/>
      <c r="Q59" s="4"/>
      <c r="R59" s="4"/>
    </row>
    <row r="60" spans="1:18" ht="15">
      <c r="A60" s="11">
        <v>42917</v>
      </c>
      <c r="B60" s="58">
        <f>3.0475 * CHOOSE(CONTROL!$C$27, $C$14, 100%, $E$14)</f>
        <v>3.0474999999999999</v>
      </c>
      <c r="C60" s="58">
        <f>3.0475 * CHOOSE(CONTROL!$C$27, $C$14, 100%, $E$14)</f>
        <v>3.0474999999999999</v>
      </c>
      <c r="D60" s="58">
        <f>3.0532 * CHOOSE(CONTROL!$C$27, $C$14, 100%, $E$14)</f>
        <v>3.0531999999999999</v>
      </c>
      <c r="E60" s="59">
        <f>3.6468 * CHOOSE(CONTROL!$C$27, $C$14, 100%, $E$14)</f>
        <v>3.6467999999999998</v>
      </c>
      <c r="F60" s="59">
        <f>3.6468 * CHOOSE(CONTROL!$C$27, $C$14, 100%, $E$14)</f>
        <v>3.6467999999999998</v>
      </c>
      <c r="G60" s="59">
        <f>3.6537 * CHOOSE(CONTROL!$C$27, $C$14, 100%, $E$14)</f>
        <v>3.6537000000000002</v>
      </c>
      <c r="H60" s="59">
        <f>6.4389* CHOOSE(CONTROL!$C$27, $C$14, 100%, $E$14)</f>
        <v>6.4389000000000003</v>
      </c>
      <c r="I60" s="59">
        <f>6.4458 * CHOOSE(CONTROL!$C$27, $C$14, 100%, $E$14)</f>
        <v>6.4458000000000002</v>
      </c>
      <c r="J60" s="59">
        <f>6.4389 * CHOOSE(CONTROL!$C$27, $C$14, 100%, $E$14)</f>
        <v>6.4389000000000003</v>
      </c>
      <c r="K60" s="59">
        <f>6.4458 * CHOOSE(CONTROL!$C$27, $C$14, 100%, $E$14)</f>
        <v>6.4458000000000002</v>
      </c>
      <c r="L60" s="59">
        <f>3.6468 * CHOOSE(CONTROL!$C$27, $C$14, 100%, $E$14)</f>
        <v>3.6467999999999998</v>
      </c>
      <c r="M60" s="59">
        <f>3.6537 * CHOOSE(CONTROL!$C$27, $C$14, 100%, $E$14)</f>
        <v>3.6537000000000002</v>
      </c>
      <c r="N60" s="59">
        <f>3.6468 * CHOOSE(CONTROL!$C$27, $C$14, 100%, $E$14)</f>
        <v>3.6467999999999998</v>
      </c>
      <c r="O60" s="59">
        <f>3.6537 * CHOOSE(CONTROL!$C$27, $C$14, 100%, $E$14)</f>
        <v>3.6537000000000002</v>
      </c>
      <c r="P60" s="4"/>
      <c r="Q60" s="4"/>
      <c r="R60" s="4"/>
    </row>
    <row r="61" spans="1:18" ht="15">
      <c r="A61" s="11">
        <v>42948</v>
      </c>
      <c r="B61" s="58">
        <f>3.0542 * CHOOSE(CONTROL!$C$27, $C$14, 100%, $E$14)</f>
        <v>3.0541999999999998</v>
      </c>
      <c r="C61" s="58">
        <f>3.0542 * CHOOSE(CONTROL!$C$27, $C$14, 100%, $E$14)</f>
        <v>3.0541999999999998</v>
      </c>
      <c r="D61" s="58">
        <f>3.0599 * CHOOSE(CONTROL!$C$27, $C$14, 100%, $E$14)</f>
        <v>3.0598999999999998</v>
      </c>
      <c r="E61" s="59">
        <f>3.6242 * CHOOSE(CONTROL!$C$27, $C$14, 100%, $E$14)</f>
        <v>3.6242000000000001</v>
      </c>
      <c r="F61" s="59">
        <f>3.6242 * CHOOSE(CONTROL!$C$27, $C$14, 100%, $E$14)</f>
        <v>3.6242000000000001</v>
      </c>
      <c r="G61" s="59">
        <f>3.6311 * CHOOSE(CONTROL!$C$27, $C$14, 100%, $E$14)</f>
        <v>3.6311</v>
      </c>
      <c r="H61" s="59">
        <f>6.4523* CHOOSE(CONTROL!$C$27, $C$14, 100%, $E$14)</f>
        <v>6.4523000000000001</v>
      </c>
      <c r="I61" s="59">
        <f>6.4592 * CHOOSE(CONTROL!$C$27, $C$14, 100%, $E$14)</f>
        <v>6.4592000000000001</v>
      </c>
      <c r="J61" s="59">
        <f>6.4523 * CHOOSE(CONTROL!$C$27, $C$14, 100%, $E$14)</f>
        <v>6.4523000000000001</v>
      </c>
      <c r="K61" s="59">
        <f>6.4592 * CHOOSE(CONTROL!$C$27, $C$14, 100%, $E$14)</f>
        <v>6.4592000000000001</v>
      </c>
      <c r="L61" s="59">
        <f>3.6242 * CHOOSE(CONTROL!$C$27, $C$14, 100%, $E$14)</f>
        <v>3.6242000000000001</v>
      </c>
      <c r="M61" s="59">
        <f>3.6311 * CHOOSE(CONTROL!$C$27, $C$14, 100%, $E$14)</f>
        <v>3.6311</v>
      </c>
      <c r="N61" s="59">
        <f>3.6242 * CHOOSE(CONTROL!$C$27, $C$14, 100%, $E$14)</f>
        <v>3.6242000000000001</v>
      </c>
      <c r="O61" s="59">
        <f>3.6311 * CHOOSE(CONTROL!$C$27, $C$14, 100%, $E$14)</f>
        <v>3.6311</v>
      </c>
      <c r="P61" s="4"/>
      <c r="Q61" s="4"/>
      <c r="R61" s="4"/>
    </row>
    <row r="62" spans="1:18" ht="15">
      <c r="A62" s="11">
        <v>42979</v>
      </c>
      <c r="B62" s="58">
        <f>3.0512 * CHOOSE(CONTROL!$C$27, $C$14, 100%, $E$14)</f>
        <v>3.0512000000000001</v>
      </c>
      <c r="C62" s="58">
        <f>3.0512 * CHOOSE(CONTROL!$C$27, $C$14, 100%, $E$14)</f>
        <v>3.0512000000000001</v>
      </c>
      <c r="D62" s="58">
        <f>3.0568 * CHOOSE(CONTROL!$C$27, $C$14, 100%, $E$14)</f>
        <v>3.0568</v>
      </c>
      <c r="E62" s="59">
        <f>3.6191 * CHOOSE(CONTROL!$C$27, $C$14, 100%, $E$14)</f>
        <v>3.6191</v>
      </c>
      <c r="F62" s="59">
        <f>3.6191 * CHOOSE(CONTROL!$C$27, $C$14, 100%, $E$14)</f>
        <v>3.6191</v>
      </c>
      <c r="G62" s="59">
        <f>3.626 * CHOOSE(CONTROL!$C$27, $C$14, 100%, $E$14)</f>
        <v>3.6259999999999999</v>
      </c>
      <c r="H62" s="59">
        <f>6.4658* CHOOSE(CONTROL!$C$27, $C$14, 100%, $E$14)</f>
        <v>6.4657999999999998</v>
      </c>
      <c r="I62" s="59">
        <f>6.4727 * CHOOSE(CONTROL!$C$27, $C$14, 100%, $E$14)</f>
        <v>6.4726999999999997</v>
      </c>
      <c r="J62" s="59">
        <f>6.4658 * CHOOSE(CONTROL!$C$27, $C$14, 100%, $E$14)</f>
        <v>6.4657999999999998</v>
      </c>
      <c r="K62" s="59">
        <f>6.4727 * CHOOSE(CONTROL!$C$27, $C$14, 100%, $E$14)</f>
        <v>6.4726999999999997</v>
      </c>
      <c r="L62" s="59">
        <f>3.6191 * CHOOSE(CONTROL!$C$27, $C$14, 100%, $E$14)</f>
        <v>3.6191</v>
      </c>
      <c r="M62" s="59">
        <f>3.626 * CHOOSE(CONTROL!$C$27, $C$14, 100%, $E$14)</f>
        <v>3.6259999999999999</v>
      </c>
      <c r="N62" s="59">
        <f>3.6191 * CHOOSE(CONTROL!$C$27, $C$14, 100%, $E$14)</f>
        <v>3.6191</v>
      </c>
      <c r="O62" s="59">
        <f>3.626 * CHOOSE(CONTROL!$C$27, $C$14, 100%, $E$14)</f>
        <v>3.6259999999999999</v>
      </c>
      <c r="P62" s="4"/>
      <c r="Q62" s="4"/>
      <c r="R62" s="4"/>
    </row>
    <row r="63" spans="1:18" ht="15">
      <c r="A63" s="11">
        <v>43009</v>
      </c>
      <c r="B63" s="58">
        <f>3.0423 * CHOOSE(CONTROL!$C$27, $C$14, 100%, $E$14)</f>
        <v>3.0423</v>
      </c>
      <c r="C63" s="58">
        <f>3.0423 * CHOOSE(CONTROL!$C$27, $C$14, 100%, $E$14)</f>
        <v>3.0423</v>
      </c>
      <c r="D63" s="58">
        <f>3.0463 * CHOOSE(CONTROL!$C$27, $C$14, 100%, $E$14)</f>
        <v>3.0463</v>
      </c>
      <c r="E63" s="59">
        <f>3.6178 * CHOOSE(CONTROL!$C$27, $C$14, 100%, $E$14)</f>
        <v>3.6177999999999999</v>
      </c>
      <c r="F63" s="59">
        <f>3.6178 * CHOOSE(CONTROL!$C$27, $C$14, 100%, $E$14)</f>
        <v>3.6177999999999999</v>
      </c>
      <c r="G63" s="59">
        <f>3.6227 * CHOOSE(CONTROL!$C$27, $C$14, 100%, $E$14)</f>
        <v>3.6227</v>
      </c>
      <c r="H63" s="59">
        <f>6.4793* CHOOSE(CONTROL!$C$27, $C$14, 100%, $E$14)</f>
        <v>6.4793000000000003</v>
      </c>
      <c r="I63" s="59">
        <f>6.4842 * CHOOSE(CONTROL!$C$27, $C$14, 100%, $E$14)</f>
        <v>6.4842000000000004</v>
      </c>
      <c r="J63" s="59">
        <f>6.4793 * CHOOSE(CONTROL!$C$27, $C$14, 100%, $E$14)</f>
        <v>6.4793000000000003</v>
      </c>
      <c r="K63" s="59">
        <f>6.4842 * CHOOSE(CONTROL!$C$27, $C$14, 100%, $E$14)</f>
        <v>6.4842000000000004</v>
      </c>
      <c r="L63" s="59">
        <f>3.6178 * CHOOSE(CONTROL!$C$27, $C$14, 100%, $E$14)</f>
        <v>3.6177999999999999</v>
      </c>
      <c r="M63" s="59">
        <f>3.6227 * CHOOSE(CONTROL!$C$27, $C$14, 100%, $E$14)</f>
        <v>3.6227</v>
      </c>
      <c r="N63" s="59">
        <f>3.6178 * CHOOSE(CONTROL!$C$27, $C$14, 100%, $E$14)</f>
        <v>3.6177999999999999</v>
      </c>
      <c r="O63" s="59">
        <f>3.6227 * CHOOSE(CONTROL!$C$27, $C$14, 100%, $E$14)</f>
        <v>3.6227</v>
      </c>
      <c r="P63" s="4"/>
      <c r="Q63" s="4"/>
      <c r="R63" s="4"/>
    </row>
    <row r="64" spans="1:18" ht="15">
      <c r="A64" s="11">
        <v>43040</v>
      </c>
      <c r="B64" s="58">
        <f>3.0454 * CHOOSE(CONTROL!$C$27, $C$14, 100%, $E$14)</f>
        <v>3.0453999999999999</v>
      </c>
      <c r="C64" s="58">
        <f>3.0454 * CHOOSE(CONTROL!$C$27, $C$14, 100%, $E$14)</f>
        <v>3.0453999999999999</v>
      </c>
      <c r="D64" s="58">
        <f>3.0494 * CHOOSE(CONTROL!$C$27, $C$14, 100%, $E$14)</f>
        <v>3.0493999999999999</v>
      </c>
      <c r="E64" s="59">
        <f>3.6259 * CHOOSE(CONTROL!$C$27, $C$14, 100%, $E$14)</f>
        <v>3.6259000000000001</v>
      </c>
      <c r="F64" s="59">
        <f>3.6259 * CHOOSE(CONTROL!$C$27, $C$14, 100%, $E$14)</f>
        <v>3.6259000000000001</v>
      </c>
      <c r="G64" s="59">
        <f>3.6308 * CHOOSE(CONTROL!$C$27, $C$14, 100%, $E$14)</f>
        <v>3.6307999999999998</v>
      </c>
      <c r="H64" s="59">
        <f>6.4927* CHOOSE(CONTROL!$C$27, $C$14, 100%, $E$14)</f>
        <v>6.4927000000000001</v>
      </c>
      <c r="I64" s="59">
        <f>6.4977 * CHOOSE(CONTROL!$C$27, $C$14, 100%, $E$14)</f>
        <v>6.4977</v>
      </c>
      <c r="J64" s="59">
        <f>6.4927 * CHOOSE(CONTROL!$C$27, $C$14, 100%, $E$14)</f>
        <v>6.4927000000000001</v>
      </c>
      <c r="K64" s="59">
        <f>6.4977 * CHOOSE(CONTROL!$C$27, $C$14, 100%, $E$14)</f>
        <v>6.4977</v>
      </c>
      <c r="L64" s="59">
        <f>3.6259 * CHOOSE(CONTROL!$C$27, $C$14, 100%, $E$14)</f>
        <v>3.6259000000000001</v>
      </c>
      <c r="M64" s="59">
        <f>3.6308 * CHOOSE(CONTROL!$C$27, $C$14, 100%, $E$14)</f>
        <v>3.6307999999999998</v>
      </c>
      <c r="N64" s="59">
        <f>3.6259 * CHOOSE(CONTROL!$C$27, $C$14, 100%, $E$14)</f>
        <v>3.6259000000000001</v>
      </c>
      <c r="O64" s="59">
        <f>3.6308 * CHOOSE(CONTROL!$C$27, $C$14, 100%, $E$14)</f>
        <v>3.6307999999999998</v>
      </c>
      <c r="P64" s="4"/>
      <c r="Q64" s="4"/>
      <c r="R64" s="4"/>
    </row>
    <row r="65" spans="1:18" ht="15">
      <c r="A65" s="11">
        <v>43070</v>
      </c>
      <c r="B65" s="58">
        <f>3.0454 * CHOOSE(CONTROL!$C$27, $C$14, 100%, $E$14)</f>
        <v>3.0453999999999999</v>
      </c>
      <c r="C65" s="58">
        <f>3.0454 * CHOOSE(CONTROL!$C$27, $C$14, 100%, $E$14)</f>
        <v>3.0453999999999999</v>
      </c>
      <c r="D65" s="58">
        <f>3.0494 * CHOOSE(CONTROL!$C$27, $C$14, 100%, $E$14)</f>
        <v>3.0493999999999999</v>
      </c>
      <c r="E65" s="59">
        <f>3.6108 * CHOOSE(CONTROL!$C$27, $C$14, 100%, $E$14)</f>
        <v>3.6107999999999998</v>
      </c>
      <c r="F65" s="59">
        <f>3.6108 * CHOOSE(CONTROL!$C$27, $C$14, 100%, $E$14)</f>
        <v>3.6107999999999998</v>
      </c>
      <c r="G65" s="59">
        <f>3.6157 * CHOOSE(CONTROL!$C$27, $C$14, 100%, $E$14)</f>
        <v>3.6156999999999999</v>
      </c>
      <c r="H65" s="59">
        <f>6.5063* CHOOSE(CONTROL!$C$27, $C$14, 100%, $E$14)</f>
        <v>6.5063000000000004</v>
      </c>
      <c r="I65" s="59">
        <f>6.5112 * CHOOSE(CONTROL!$C$27, $C$14, 100%, $E$14)</f>
        <v>6.5111999999999997</v>
      </c>
      <c r="J65" s="59">
        <f>6.5063 * CHOOSE(CONTROL!$C$27, $C$14, 100%, $E$14)</f>
        <v>6.5063000000000004</v>
      </c>
      <c r="K65" s="59">
        <f>6.5112 * CHOOSE(CONTROL!$C$27, $C$14, 100%, $E$14)</f>
        <v>6.5111999999999997</v>
      </c>
      <c r="L65" s="59">
        <f>3.6108 * CHOOSE(CONTROL!$C$27, $C$14, 100%, $E$14)</f>
        <v>3.6107999999999998</v>
      </c>
      <c r="M65" s="59">
        <f>3.6157 * CHOOSE(CONTROL!$C$27, $C$14, 100%, $E$14)</f>
        <v>3.6156999999999999</v>
      </c>
      <c r="N65" s="59">
        <f>3.6108 * CHOOSE(CONTROL!$C$27, $C$14, 100%, $E$14)</f>
        <v>3.6107999999999998</v>
      </c>
      <c r="O65" s="59">
        <f>3.6157 * CHOOSE(CONTROL!$C$27, $C$14, 100%, $E$14)</f>
        <v>3.6156999999999999</v>
      </c>
      <c r="P65" s="4"/>
      <c r="Q65" s="4"/>
      <c r="R65" s="4"/>
    </row>
    <row r="66" spans="1:18" ht="15">
      <c r="A66" s="11">
        <v>43101</v>
      </c>
      <c r="B66" s="58">
        <f>3.0799 * CHOOSE(CONTROL!$C$27, $C$14, 100%, $E$14)</f>
        <v>3.0798999999999999</v>
      </c>
      <c r="C66" s="58">
        <f>3.0799 * CHOOSE(CONTROL!$C$27, $C$14, 100%, $E$14)</f>
        <v>3.0798999999999999</v>
      </c>
      <c r="D66" s="58">
        <f>3.0839 * CHOOSE(CONTROL!$C$27, $C$14, 100%, $E$14)</f>
        <v>3.0838999999999999</v>
      </c>
      <c r="E66" s="59">
        <f>3.7211 * CHOOSE(CONTROL!$C$27, $C$14, 100%, $E$14)</f>
        <v>3.7210999999999999</v>
      </c>
      <c r="F66" s="59">
        <f>3.7211 * CHOOSE(CONTROL!$C$27, $C$14, 100%, $E$14)</f>
        <v>3.7210999999999999</v>
      </c>
      <c r="G66" s="59">
        <f>3.726 * CHOOSE(CONTROL!$C$27, $C$14, 100%, $E$14)</f>
        <v>3.726</v>
      </c>
      <c r="H66" s="59">
        <f>6.5198* CHOOSE(CONTROL!$C$27, $C$14, 100%, $E$14)</f>
        <v>6.5198</v>
      </c>
      <c r="I66" s="59">
        <f>6.5248 * CHOOSE(CONTROL!$C$27, $C$14, 100%, $E$14)</f>
        <v>6.5247999999999999</v>
      </c>
      <c r="J66" s="59">
        <f>6.5198 * CHOOSE(CONTROL!$C$27, $C$14, 100%, $E$14)</f>
        <v>6.5198</v>
      </c>
      <c r="K66" s="59">
        <f>6.5248 * CHOOSE(CONTROL!$C$27, $C$14, 100%, $E$14)</f>
        <v>6.5247999999999999</v>
      </c>
      <c r="L66" s="59">
        <f>3.7211 * CHOOSE(CONTROL!$C$27, $C$14, 100%, $E$14)</f>
        <v>3.7210999999999999</v>
      </c>
      <c r="M66" s="59">
        <f>3.726 * CHOOSE(CONTROL!$C$27, $C$14, 100%, $E$14)</f>
        <v>3.726</v>
      </c>
      <c r="N66" s="59">
        <f>3.7211 * CHOOSE(CONTROL!$C$27, $C$14, 100%, $E$14)</f>
        <v>3.7210999999999999</v>
      </c>
      <c r="O66" s="59">
        <f>3.726 * CHOOSE(CONTROL!$C$27, $C$14, 100%, $E$14)</f>
        <v>3.726</v>
      </c>
      <c r="P66" s="4"/>
      <c r="Q66" s="4"/>
      <c r="R66" s="4"/>
    </row>
    <row r="67" spans="1:18" ht="15">
      <c r="A67" s="11">
        <v>43132</v>
      </c>
      <c r="B67" s="58">
        <f>3.0769 * CHOOSE(CONTROL!$C$27, $C$14, 100%, $E$14)</f>
        <v>3.0769000000000002</v>
      </c>
      <c r="C67" s="58">
        <f>3.0769 * CHOOSE(CONTROL!$C$27, $C$14, 100%, $E$14)</f>
        <v>3.0769000000000002</v>
      </c>
      <c r="D67" s="58">
        <f>3.0809 * CHOOSE(CONTROL!$C$27, $C$14, 100%, $E$14)</f>
        <v>3.0809000000000002</v>
      </c>
      <c r="E67" s="59">
        <f>3.6823 * CHOOSE(CONTROL!$C$27, $C$14, 100%, $E$14)</f>
        <v>3.6823000000000001</v>
      </c>
      <c r="F67" s="59">
        <f>3.6823 * CHOOSE(CONTROL!$C$27, $C$14, 100%, $E$14)</f>
        <v>3.6823000000000001</v>
      </c>
      <c r="G67" s="59">
        <f>3.6872 * CHOOSE(CONTROL!$C$27, $C$14, 100%, $E$14)</f>
        <v>3.6871999999999998</v>
      </c>
      <c r="H67" s="59">
        <f>6.5334* CHOOSE(CONTROL!$C$27, $C$14, 100%, $E$14)</f>
        <v>6.5334000000000003</v>
      </c>
      <c r="I67" s="59">
        <f>6.5383 * CHOOSE(CONTROL!$C$27, $C$14, 100%, $E$14)</f>
        <v>6.5382999999999996</v>
      </c>
      <c r="J67" s="59">
        <f>6.5334 * CHOOSE(CONTROL!$C$27, $C$14, 100%, $E$14)</f>
        <v>6.5334000000000003</v>
      </c>
      <c r="K67" s="59">
        <f>6.5383 * CHOOSE(CONTROL!$C$27, $C$14, 100%, $E$14)</f>
        <v>6.5382999999999996</v>
      </c>
      <c r="L67" s="59">
        <f>3.6823 * CHOOSE(CONTROL!$C$27, $C$14, 100%, $E$14)</f>
        <v>3.6823000000000001</v>
      </c>
      <c r="M67" s="59">
        <f>3.6872 * CHOOSE(CONTROL!$C$27, $C$14, 100%, $E$14)</f>
        <v>3.6871999999999998</v>
      </c>
      <c r="N67" s="59">
        <f>3.6823 * CHOOSE(CONTROL!$C$27, $C$14, 100%, $E$14)</f>
        <v>3.6823000000000001</v>
      </c>
      <c r="O67" s="59">
        <f>3.6872 * CHOOSE(CONTROL!$C$27, $C$14, 100%, $E$14)</f>
        <v>3.6871999999999998</v>
      </c>
      <c r="P67" s="4"/>
      <c r="Q67" s="4"/>
      <c r="R67" s="4"/>
    </row>
    <row r="68" spans="1:18" ht="15">
      <c r="A68" s="11">
        <v>43160</v>
      </c>
      <c r="B68" s="58">
        <f>3.0739 * CHOOSE(CONTROL!$C$27, $C$14, 100%, $E$14)</f>
        <v>3.0739000000000001</v>
      </c>
      <c r="C68" s="58">
        <f>3.0739 * CHOOSE(CONTROL!$C$27, $C$14, 100%, $E$14)</f>
        <v>3.0739000000000001</v>
      </c>
      <c r="D68" s="58">
        <f>3.0779 * CHOOSE(CONTROL!$C$27, $C$14, 100%, $E$14)</f>
        <v>3.0779000000000001</v>
      </c>
      <c r="E68" s="59">
        <f>3.7091 * CHOOSE(CONTROL!$C$27, $C$14, 100%, $E$14)</f>
        <v>3.7090999999999998</v>
      </c>
      <c r="F68" s="59">
        <f>3.7091 * CHOOSE(CONTROL!$C$27, $C$14, 100%, $E$14)</f>
        <v>3.7090999999999998</v>
      </c>
      <c r="G68" s="59">
        <f>3.714 * CHOOSE(CONTROL!$C$27, $C$14, 100%, $E$14)</f>
        <v>3.714</v>
      </c>
      <c r="H68" s="59">
        <f>6.547* CHOOSE(CONTROL!$C$27, $C$14, 100%, $E$14)</f>
        <v>6.5469999999999997</v>
      </c>
      <c r="I68" s="59">
        <f>6.5519 * CHOOSE(CONTROL!$C$27, $C$14, 100%, $E$14)</f>
        <v>6.5518999999999998</v>
      </c>
      <c r="J68" s="59">
        <f>6.547 * CHOOSE(CONTROL!$C$27, $C$14, 100%, $E$14)</f>
        <v>6.5469999999999997</v>
      </c>
      <c r="K68" s="59">
        <f>6.5519 * CHOOSE(CONTROL!$C$27, $C$14, 100%, $E$14)</f>
        <v>6.5518999999999998</v>
      </c>
      <c r="L68" s="59">
        <f>3.7091 * CHOOSE(CONTROL!$C$27, $C$14, 100%, $E$14)</f>
        <v>3.7090999999999998</v>
      </c>
      <c r="M68" s="59">
        <f>3.714 * CHOOSE(CONTROL!$C$27, $C$14, 100%, $E$14)</f>
        <v>3.714</v>
      </c>
      <c r="N68" s="59">
        <f>3.7091 * CHOOSE(CONTROL!$C$27, $C$14, 100%, $E$14)</f>
        <v>3.7090999999999998</v>
      </c>
      <c r="O68" s="59">
        <f>3.714 * CHOOSE(CONTROL!$C$27, $C$14, 100%, $E$14)</f>
        <v>3.714</v>
      </c>
      <c r="P68" s="4"/>
      <c r="Q68" s="4"/>
      <c r="R68" s="4"/>
    </row>
    <row r="69" spans="1:18" ht="15">
      <c r="A69" s="11">
        <v>43191</v>
      </c>
      <c r="B69" s="58">
        <f>3.0705 * CHOOSE(CONTROL!$C$27, $C$14, 100%, $E$14)</f>
        <v>3.0705</v>
      </c>
      <c r="C69" s="58">
        <f>3.0705 * CHOOSE(CONTROL!$C$27, $C$14, 100%, $E$14)</f>
        <v>3.0705</v>
      </c>
      <c r="D69" s="58">
        <f>3.0745 * CHOOSE(CONTROL!$C$27, $C$14, 100%, $E$14)</f>
        <v>3.0745</v>
      </c>
      <c r="E69" s="59">
        <f>3.7359 * CHOOSE(CONTROL!$C$27, $C$14, 100%, $E$14)</f>
        <v>3.7359</v>
      </c>
      <c r="F69" s="59">
        <f>3.7359 * CHOOSE(CONTROL!$C$27, $C$14, 100%, $E$14)</f>
        <v>3.7359</v>
      </c>
      <c r="G69" s="59">
        <f>3.7408 * CHOOSE(CONTROL!$C$27, $C$14, 100%, $E$14)</f>
        <v>3.7408000000000001</v>
      </c>
      <c r="H69" s="59">
        <f>6.5607* CHOOSE(CONTROL!$C$27, $C$14, 100%, $E$14)</f>
        <v>6.5606999999999998</v>
      </c>
      <c r="I69" s="59">
        <f>6.5656 * CHOOSE(CONTROL!$C$27, $C$14, 100%, $E$14)</f>
        <v>6.5655999999999999</v>
      </c>
      <c r="J69" s="59">
        <f>6.5607 * CHOOSE(CONTROL!$C$27, $C$14, 100%, $E$14)</f>
        <v>6.5606999999999998</v>
      </c>
      <c r="K69" s="59">
        <f>6.5656 * CHOOSE(CONTROL!$C$27, $C$14, 100%, $E$14)</f>
        <v>6.5655999999999999</v>
      </c>
      <c r="L69" s="59">
        <f>3.7359 * CHOOSE(CONTROL!$C$27, $C$14, 100%, $E$14)</f>
        <v>3.7359</v>
      </c>
      <c r="M69" s="59">
        <f>3.7408 * CHOOSE(CONTROL!$C$27, $C$14, 100%, $E$14)</f>
        <v>3.7408000000000001</v>
      </c>
      <c r="N69" s="59">
        <f>3.7359 * CHOOSE(CONTROL!$C$27, $C$14, 100%, $E$14)</f>
        <v>3.7359</v>
      </c>
      <c r="O69" s="59">
        <f>3.7408 * CHOOSE(CONTROL!$C$27, $C$14, 100%, $E$14)</f>
        <v>3.7408000000000001</v>
      </c>
      <c r="P69" s="4"/>
      <c r="Q69" s="4"/>
      <c r="R69" s="4"/>
    </row>
    <row r="70" spans="1:18" ht="15">
      <c r="A70" s="11">
        <v>43221</v>
      </c>
      <c r="B70" s="58">
        <f>3.0705 * CHOOSE(CONTROL!$C$27, $C$14, 100%, $E$14)</f>
        <v>3.0705</v>
      </c>
      <c r="C70" s="58">
        <f>3.0705 * CHOOSE(CONTROL!$C$27, $C$14, 100%, $E$14)</f>
        <v>3.0705</v>
      </c>
      <c r="D70" s="58">
        <f>3.0761 * CHOOSE(CONTROL!$C$27, $C$14, 100%, $E$14)</f>
        <v>3.0760999999999998</v>
      </c>
      <c r="E70" s="59">
        <f>3.7476 * CHOOSE(CONTROL!$C$27, $C$14, 100%, $E$14)</f>
        <v>3.7475999999999998</v>
      </c>
      <c r="F70" s="59">
        <f>3.7476 * CHOOSE(CONTROL!$C$27, $C$14, 100%, $E$14)</f>
        <v>3.7475999999999998</v>
      </c>
      <c r="G70" s="59">
        <f>3.7545 * CHOOSE(CONTROL!$C$27, $C$14, 100%, $E$14)</f>
        <v>3.7545000000000002</v>
      </c>
      <c r="H70" s="59">
        <f>6.5743* CHOOSE(CONTROL!$C$27, $C$14, 100%, $E$14)</f>
        <v>6.5743</v>
      </c>
      <c r="I70" s="59">
        <f>6.5812 * CHOOSE(CONTROL!$C$27, $C$14, 100%, $E$14)</f>
        <v>6.5811999999999999</v>
      </c>
      <c r="J70" s="59">
        <f>6.5743 * CHOOSE(CONTROL!$C$27, $C$14, 100%, $E$14)</f>
        <v>6.5743</v>
      </c>
      <c r="K70" s="59">
        <f>6.5812 * CHOOSE(CONTROL!$C$27, $C$14, 100%, $E$14)</f>
        <v>6.5811999999999999</v>
      </c>
      <c r="L70" s="59">
        <f>3.7476 * CHOOSE(CONTROL!$C$27, $C$14, 100%, $E$14)</f>
        <v>3.7475999999999998</v>
      </c>
      <c r="M70" s="59">
        <f>3.7545 * CHOOSE(CONTROL!$C$27, $C$14, 100%, $E$14)</f>
        <v>3.7545000000000002</v>
      </c>
      <c r="N70" s="59">
        <f>3.7476 * CHOOSE(CONTROL!$C$27, $C$14, 100%, $E$14)</f>
        <v>3.7475999999999998</v>
      </c>
      <c r="O70" s="59">
        <f>3.7545 * CHOOSE(CONTROL!$C$27, $C$14, 100%, $E$14)</f>
        <v>3.7545000000000002</v>
      </c>
      <c r="P70" s="4"/>
      <c r="Q70" s="4"/>
      <c r="R70" s="4"/>
    </row>
    <row r="71" spans="1:18" ht="15">
      <c r="A71" s="11">
        <v>43252</v>
      </c>
      <c r="B71" s="58">
        <f>3.0766 * CHOOSE(CONTROL!$C$27, $C$14, 100%, $E$14)</f>
        <v>3.0766</v>
      </c>
      <c r="C71" s="58">
        <f>3.0766 * CHOOSE(CONTROL!$C$27, $C$14, 100%, $E$14)</f>
        <v>3.0766</v>
      </c>
      <c r="D71" s="58">
        <f>3.0822 * CHOOSE(CONTROL!$C$27, $C$14, 100%, $E$14)</f>
        <v>3.0821999999999998</v>
      </c>
      <c r="E71" s="59">
        <f>3.7402 * CHOOSE(CONTROL!$C$27, $C$14, 100%, $E$14)</f>
        <v>3.7402000000000002</v>
      </c>
      <c r="F71" s="59">
        <f>3.7402 * CHOOSE(CONTROL!$C$27, $C$14, 100%, $E$14)</f>
        <v>3.7402000000000002</v>
      </c>
      <c r="G71" s="59">
        <f>3.747 * CHOOSE(CONTROL!$C$27, $C$14, 100%, $E$14)</f>
        <v>3.7469999999999999</v>
      </c>
      <c r="H71" s="59">
        <f>6.588* CHOOSE(CONTROL!$C$27, $C$14, 100%, $E$14)</f>
        <v>6.5880000000000001</v>
      </c>
      <c r="I71" s="59">
        <f>6.5949 * CHOOSE(CONTROL!$C$27, $C$14, 100%, $E$14)</f>
        <v>6.5949</v>
      </c>
      <c r="J71" s="59">
        <f>6.588 * CHOOSE(CONTROL!$C$27, $C$14, 100%, $E$14)</f>
        <v>6.5880000000000001</v>
      </c>
      <c r="K71" s="59">
        <f>6.5949 * CHOOSE(CONTROL!$C$27, $C$14, 100%, $E$14)</f>
        <v>6.5949</v>
      </c>
      <c r="L71" s="59">
        <f>3.7402 * CHOOSE(CONTROL!$C$27, $C$14, 100%, $E$14)</f>
        <v>3.7402000000000002</v>
      </c>
      <c r="M71" s="59">
        <f>3.747 * CHOOSE(CONTROL!$C$27, $C$14, 100%, $E$14)</f>
        <v>3.7469999999999999</v>
      </c>
      <c r="N71" s="59">
        <f>3.7402 * CHOOSE(CONTROL!$C$27, $C$14, 100%, $E$14)</f>
        <v>3.7402000000000002</v>
      </c>
      <c r="O71" s="59">
        <f>3.747 * CHOOSE(CONTROL!$C$27, $C$14, 100%, $E$14)</f>
        <v>3.7469999999999999</v>
      </c>
      <c r="P71" s="4"/>
      <c r="Q71" s="4"/>
      <c r="R71" s="4"/>
    </row>
    <row r="72" spans="1:18" ht="15">
      <c r="A72" s="11">
        <v>43282</v>
      </c>
      <c r="B72" s="58">
        <f>3.1468 * CHOOSE(CONTROL!$C$27, $C$14, 100%, $E$14)</f>
        <v>3.1467999999999998</v>
      </c>
      <c r="C72" s="58">
        <f>3.1468 * CHOOSE(CONTROL!$C$27, $C$14, 100%, $E$14)</f>
        <v>3.1467999999999998</v>
      </c>
      <c r="D72" s="58">
        <f>3.1524 * CHOOSE(CONTROL!$C$27, $C$14, 100%, $E$14)</f>
        <v>3.1524000000000001</v>
      </c>
      <c r="E72" s="59">
        <f>3.7912 * CHOOSE(CONTROL!$C$27, $C$14, 100%, $E$14)</f>
        <v>3.7911999999999999</v>
      </c>
      <c r="F72" s="59">
        <f>3.7912 * CHOOSE(CONTROL!$C$27, $C$14, 100%, $E$14)</f>
        <v>3.7911999999999999</v>
      </c>
      <c r="G72" s="59">
        <f>3.7981 * CHOOSE(CONTROL!$C$27, $C$14, 100%, $E$14)</f>
        <v>3.7980999999999998</v>
      </c>
      <c r="H72" s="59">
        <f>6.6018* CHOOSE(CONTROL!$C$27, $C$14, 100%, $E$14)</f>
        <v>6.6017999999999999</v>
      </c>
      <c r="I72" s="59">
        <f>6.6086 * CHOOSE(CONTROL!$C$27, $C$14, 100%, $E$14)</f>
        <v>6.6086</v>
      </c>
      <c r="J72" s="59">
        <f>6.6018 * CHOOSE(CONTROL!$C$27, $C$14, 100%, $E$14)</f>
        <v>6.6017999999999999</v>
      </c>
      <c r="K72" s="59">
        <f>6.6086 * CHOOSE(CONTROL!$C$27, $C$14, 100%, $E$14)</f>
        <v>6.6086</v>
      </c>
      <c r="L72" s="59">
        <f>3.7912 * CHOOSE(CONTROL!$C$27, $C$14, 100%, $E$14)</f>
        <v>3.7911999999999999</v>
      </c>
      <c r="M72" s="59">
        <f>3.7981 * CHOOSE(CONTROL!$C$27, $C$14, 100%, $E$14)</f>
        <v>3.7980999999999998</v>
      </c>
      <c r="N72" s="59">
        <f>3.7912 * CHOOSE(CONTROL!$C$27, $C$14, 100%, $E$14)</f>
        <v>3.7911999999999999</v>
      </c>
      <c r="O72" s="59">
        <f>3.7981 * CHOOSE(CONTROL!$C$27, $C$14, 100%, $E$14)</f>
        <v>3.7980999999999998</v>
      </c>
      <c r="P72" s="4"/>
      <c r="Q72" s="4"/>
      <c r="R72" s="4"/>
    </row>
    <row r="73" spans="1:18" ht="15">
      <c r="A73" s="11">
        <v>43313</v>
      </c>
      <c r="B73" s="58">
        <f>3.1535 * CHOOSE(CONTROL!$C$27, $C$14, 100%, $E$14)</f>
        <v>3.1535000000000002</v>
      </c>
      <c r="C73" s="58">
        <f>3.1535 * CHOOSE(CONTROL!$C$27, $C$14, 100%, $E$14)</f>
        <v>3.1535000000000002</v>
      </c>
      <c r="D73" s="58">
        <f>3.1591 * CHOOSE(CONTROL!$C$27, $C$14, 100%, $E$14)</f>
        <v>3.1591</v>
      </c>
      <c r="E73" s="59">
        <f>3.7609 * CHOOSE(CONTROL!$C$27, $C$14, 100%, $E$14)</f>
        <v>3.7608999999999999</v>
      </c>
      <c r="F73" s="59">
        <f>3.7609 * CHOOSE(CONTROL!$C$27, $C$14, 100%, $E$14)</f>
        <v>3.7608999999999999</v>
      </c>
      <c r="G73" s="59">
        <f>3.7678 * CHOOSE(CONTROL!$C$27, $C$14, 100%, $E$14)</f>
        <v>3.7677999999999998</v>
      </c>
      <c r="H73" s="59">
        <f>6.6155* CHOOSE(CONTROL!$C$27, $C$14, 100%, $E$14)</f>
        <v>6.6154999999999999</v>
      </c>
      <c r="I73" s="59">
        <f>6.6224 * CHOOSE(CONTROL!$C$27, $C$14, 100%, $E$14)</f>
        <v>6.6223999999999998</v>
      </c>
      <c r="J73" s="59">
        <f>6.6155 * CHOOSE(CONTROL!$C$27, $C$14, 100%, $E$14)</f>
        <v>6.6154999999999999</v>
      </c>
      <c r="K73" s="59">
        <f>6.6224 * CHOOSE(CONTROL!$C$27, $C$14, 100%, $E$14)</f>
        <v>6.6223999999999998</v>
      </c>
      <c r="L73" s="59">
        <f>3.7609 * CHOOSE(CONTROL!$C$27, $C$14, 100%, $E$14)</f>
        <v>3.7608999999999999</v>
      </c>
      <c r="M73" s="59">
        <f>3.7678 * CHOOSE(CONTROL!$C$27, $C$14, 100%, $E$14)</f>
        <v>3.7677999999999998</v>
      </c>
      <c r="N73" s="59">
        <f>3.7609 * CHOOSE(CONTROL!$C$27, $C$14, 100%, $E$14)</f>
        <v>3.7608999999999999</v>
      </c>
      <c r="O73" s="59">
        <f>3.7678 * CHOOSE(CONTROL!$C$27, $C$14, 100%, $E$14)</f>
        <v>3.7677999999999998</v>
      </c>
      <c r="P73" s="4"/>
      <c r="Q73" s="4"/>
      <c r="R73" s="4"/>
    </row>
    <row r="74" spans="1:18" ht="15">
      <c r="A74" s="11">
        <v>43344</v>
      </c>
      <c r="B74" s="58">
        <f>3.1505 * CHOOSE(CONTROL!$C$27, $C$14, 100%, $E$14)</f>
        <v>3.1505000000000001</v>
      </c>
      <c r="C74" s="58">
        <f>3.1505 * CHOOSE(CONTROL!$C$27, $C$14, 100%, $E$14)</f>
        <v>3.1505000000000001</v>
      </c>
      <c r="D74" s="58">
        <f>3.1561 * CHOOSE(CONTROL!$C$27, $C$14, 100%, $E$14)</f>
        <v>3.1560999999999999</v>
      </c>
      <c r="E74" s="59">
        <f>3.7549 * CHOOSE(CONTROL!$C$27, $C$14, 100%, $E$14)</f>
        <v>3.7549000000000001</v>
      </c>
      <c r="F74" s="59">
        <f>3.7549 * CHOOSE(CONTROL!$C$27, $C$14, 100%, $E$14)</f>
        <v>3.7549000000000001</v>
      </c>
      <c r="G74" s="59">
        <f>3.7618 * CHOOSE(CONTROL!$C$27, $C$14, 100%, $E$14)</f>
        <v>3.7618</v>
      </c>
      <c r="H74" s="59">
        <f>6.6293* CHOOSE(CONTROL!$C$27, $C$14, 100%, $E$14)</f>
        <v>6.6292999999999997</v>
      </c>
      <c r="I74" s="59">
        <f>6.6362 * CHOOSE(CONTROL!$C$27, $C$14, 100%, $E$14)</f>
        <v>6.6361999999999997</v>
      </c>
      <c r="J74" s="59">
        <f>6.6293 * CHOOSE(CONTROL!$C$27, $C$14, 100%, $E$14)</f>
        <v>6.6292999999999997</v>
      </c>
      <c r="K74" s="59">
        <f>6.6362 * CHOOSE(CONTROL!$C$27, $C$14, 100%, $E$14)</f>
        <v>6.6361999999999997</v>
      </c>
      <c r="L74" s="59">
        <f>3.7549 * CHOOSE(CONTROL!$C$27, $C$14, 100%, $E$14)</f>
        <v>3.7549000000000001</v>
      </c>
      <c r="M74" s="59">
        <f>3.7618 * CHOOSE(CONTROL!$C$27, $C$14, 100%, $E$14)</f>
        <v>3.7618</v>
      </c>
      <c r="N74" s="59">
        <f>3.7549 * CHOOSE(CONTROL!$C$27, $C$14, 100%, $E$14)</f>
        <v>3.7549000000000001</v>
      </c>
      <c r="O74" s="59">
        <f>3.7618 * CHOOSE(CONTROL!$C$27, $C$14, 100%, $E$14)</f>
        <v>3.7618</v>
      </c>
      <c r="P74" s="4"/>
      <c r="Q74" s="4"/>
      <c r="R74" s="4"/>
    </row>
    <row r="75" spans="1:18" ht="15">
      <c r="A75" s="11">
        <v>43374</v>
      </c>
      <c r="B75" s="58">
        <f>3.1419 * CHOOSE(CONTROL!$C$27, $C$14, 100%, $E$14)</f>
        <v>3.1419000000000001</v>
      </c>
      <c r="C75" s="58">
        <f>3.1419 * CHOOSE(CONTROL!$C$27, $C$14, 100%, $E$14)</f>
        <v>3.1419000000000001</v>
      </c>
      <c r="D75" s="58">
        <f>3.1459 * CHOOSE(CONTROL!$C$27, $C$14, 100%, $E$14)</f>
        <v>3.1459000000000001</v>
      </c>
      <c r="E75" s="59">
        <f>3.7571 * CHOOSE(CONTROL!$C$27, $C$14, 100%, $E$14)</f>
        <v>3.7570999999999999</v>
      </c>
      <c r="F75" s="59">
        <f>3.7571 * CHOOSE(CONTROL!$C$27, $C$14, 100%, $E$14)</f>
        <v>3.7570999999999999</v>
      </c>
      <c r="G75" s="59">
        <f>3.762 * CHOOSE(CONTROL!$C$27, $C$14, 100%, $E$14)</f>
        <v>3.762</v>
      </c>
      <c r="H75" s="59">
        <f>6.6431* CHOOSE(CONTROL!$C$27, $C$14, 100%, $E$14)</f>
        <v>6.6430999999999996</v>
      </c>
      <c r="I75" s="59">
        <f>6.648 * CHOOSE(CONTROL!$C$27, $C$14, 100%, $E$14)</f>
        <v>6.6479999999999997</v>
      </c>
      <c r="J75" s="59">
        <f>6.6431 * CHOOSE(CONTROL!$C$27, $C$14, 100%, $E$14)</f>
        <v>6.6430999999999996</v>
      </c>
      <c r="K75" s="59">
        <f>6.648 * CHOOSE(CONTROL!$C$27, $C$14, 100%, $E$14)</f>
        <v>6.6479999999999997</v>
      </c>
      <c r="L75" s="59">
        <f>3.7571 * CHOOSE(CONTROL!$C$27, $C$14, 100%, $E$14)</f>
        <v>3.7570999999999999</v>
      </c>
      <c r="M75" s="59">
        <f>3.762 * CHOOSE(CONTROL!$C$27, $C$14, 100%, $E$14)</f>
        <v>3.762</v>
      </c>
      <c r="N75" s="59">
        <f>3.7571 * CHOOSE(CONTROL!$C$27, $C$14, 100%, $E$14)</f>
        <v>3.7570999999999999</v>
      </c>
      <c r="O75" s="59">
        <f>3.762 * CHOOSE(CONTROL!$C$27, $C$14, 100%, $E$14)</f>
        <v>3.762</v>
      </c>
      <c r="P75" s="4"/>
      <c r="Q75" s="4"/>
      <c r="R75" s="4"/>
    </row>
    <row r="76" spans="1:18" ht="15">
      <c r="A76" s="11">
        <v>43405</v>
      </c>
      <c r="B76" s="58">
        <f>3.1449 * CHOOSE(CONTROL!$C$27, $C$14, 100%, $E$14)</f>
        <v>3.1448999999999998</v>
      </c>
      <c r="C76" s="58">
        <f>3.1449 * CHOOSE(CONTROL!$C$27, $C$14, 100%, $E$14)</f>
        <v>3.1448999999999998</v>
      </c>
      <c r="D76" s="58">
        <f>3.1489 * CHOOSE(CONTROL!$C$27, $C$14, 100%, $E$14)</f>
        <v>3.1488999999999998</v>
      </c>
      <c r="E76" s="59">
        <f>3.767 * CHOOSE(CONTROL!$C$27, $C$14, 100%, $E$14)</f>
        <v>3.7669999999999999</v>
      </c>
      <c r="F76" s="59">
        <f>3.767 * CHOOSE(CONTROL!$C$27, $C$14, 100%, $E$14)</f>
        <v>3.7669999999999999</v>
      </c>
      <c r="G76" s="59">
        <f>3.7719 * CHOOSE(CONTROL!$C$27, $C$14, 100%, $E$14)</f>
        <v>3.7719</v>
      </c>
      <c r="H76" s="59">
        <f>6.6569* CHOOSE(CONTROL!$C$27, $C$14, 100%, $E$14)</f>
        <v>6.6569000000000003</v>
      </c>
      <c r="I76" s="59">
        <f>6.6619 * CHOOSE(CONTROL!$C$27, $C$14, 100%, $E$14)</f>
        <v>6.6619000000000002</v>
      </c>
      <c r="J76" s="59">
        <f>6.6569 * CHOOSE(CONTROL!$C$27, $C$14, 100%, $E$14)</f>
        <v>6.6569000000000003</v>
      </c>
      <c r="K76" s="59">
        <f>6.6619 * CHOOSE(CONTROL!$C$27, $C$14, 100%, $E$14)</f>
        <v>6.6619000000000002</v>
      </c>
      <c r="L76" s="59">
        <f>3.767 * CHOOSE(CONTROL!$C$27, $C$14, 100%, $E$14)</f>
        <v>3.7669999999999999</v>
      </c>
      <c r="M76" s="59">
        <f>3.7719 * CHOOSE(CONTROL!$C$27, $C$14, 100%, $E$14)</f>
        <v>3.7719</v>
      </c>
      <c r="N76" s="59">
        <f>3.767 * CHOOSE(CONTROL!$C$27, $C$14, 100%, $E$14)</f>
        <v>3.7669999999999999</v>
      </c>
      <c r="O76" s="59">
        <f>3.7719 * CHOOSE(CONTROL!$C$27, $C$14, 100%, $E$14)</f>
        <v>3.7719</v>
      </c>
      <c r="P76" s="4"/>
      <c r="Q76" s="4"/>
      <c r="R76" s="4"/>
    </row>
    <row r="77" spans="1:18" ht="15">
      <c r="A77" s="11">
        <v>43435</v>
      </c>
      <c r="B77" s="58">
        <f>3.1449 * CHOOSE(CONTROL!$C$27, $C$14, 100%, $E$14)</f>
        <v>3.1448999999999998</v>
      </c>
      <c r="C77" s="58">
        <f>3.1449 * CHOOSE(CONTROL!$C$27, $C$14, 100%, $E$14)</f>
        <v>3.1448999999999998</v>
      </c>
      <c r="D77" s="58">
        <f>3.1489 * CHOOSE(CONTROL!$C$27, $C$14, 100%, $E$14)</f>
        <v>3.1488999999999998</v>
      </c>
      <c r="E77" s="59">
        <f>3.7475 * CHOOSE(CONTROL!$C$27, $C$14, 100%, $E$14)</f>
        <v>3.7475000000000001</v>
      </c>
      <c r="F77" s="59">
        <f>3.7475 * CHOOSE(CONTROL!$C$27, $C$14, 100%, $E$14)</f>
        <v>3.7475000000000001</v>
      </c>
      <c r="G77" s="59">
        <f>3.7525 * CHOOSE(CONTROL!$C$27, $C$14, 100%, $E$14)</f>
        <v>3.7524999999999999</v>
      </c>
      <c r="H77" s="59">
        <f>6.6708* CHOOSE(CONTROL!$C$27, $C$14, 100%, $E$14)</f>
        <v>6.6707999999999998</v>
      </c>
      <c r="I77" s="59">
        <f>6.6757 * CHOOSE(CONTROL!$C$27, $C$14, 100%, $E$14)</f>
        <v>6.6757</v>
      </c>
      <c r="J77" s="59">
        <f>6.6708 * CHOOSE(CONTROL!$C$27, $C$14, 100%, $E$14)</f>
        <v>6.6707999999999998</v>
      </c>
      <c r="K77" s="59">
        <f>6.6757 * CHOOSE(CONTROL!$C$27, $C$14, 100%, $E$14)</f>
        <v>6.6757</v>
      </c>
      <c r="L77" s="59">
        <f>3.7475 * CHOOSE(CONTROL!$C$27, $C$14, 100%, $E$14)</f>
        <v>3.7475000000000001</v>
      </c>
      <c r="M77" s="59">
        <f>3.7525 * CHOOSE(CONTROL!$C$27, $C$14, 100%, $E$14)</f>
        <v>3.7524999999999999</v>
      </c>
      <c r="N77" s="59">
        <f>3.7475 * CHOOSE(CONTROL!$C$27, $C$14, 100%, $E$14)</f>
        <v>3.7475000000000001</v>
      </c>
      <c r="O77" s="59">
        <f>3.7525 * CHOOSE(CONTROL!$C$27, $C$14, 100%, $E$14)</f>
        <v>3.7524999999999999</v>
      </c>
      <c r="P77" s="4"/>
      <c r="Q77" s="4"/>
      <c r="R77" s="4"/>
    </row>
    <row r="78" spans="1:18" ht="15">
      <c r="A78" s="11">
        <v>43466</v>
      </c>
      <c r="B78" s="58">
        <f>3.1467 * CHOOSE(CONTROL!$C$27, $C$14, 100%, $E$14)</f>
        <v>3.1467000000000001</v>
      </c>
      <c r="C78" s="58">
        <f>3.1467 * CHOOSE(CONTROL!$C$27, $C$14, 100%, $E$14)</f>
        <v>3.1467000000000001</v>
      </c>
      <c r="D78" s="58">
        <f>3.1507 * CHOOSE(CONTROL!$C$27, $C$14, 100%, $E$14)</f>
        <v>3.1507000000000001</v>
      </c>
      <c r="E78" s="59">
        <f>3.844 * CHOOSE(CONTROL!$C$27, $C$14, 100%, $E$14)</f>
        <v>3.8439999999999999</v>
      </c>
      <c r="F78" s="59">
        <f>3.844 * CHOOSE(CONTROL!$C$27, $C$14, 100%, $E$14)</f>
        <v>3.8439999999999999</v>
      </c>
      <c r="G78" s="59">
        <f>3.8489 * CHOOSE(CONTROL!$C$27, $C$14, 100%, $E$14)</f>
        <v>3.8489</v>
      </c>
      <c r="H78" s="59">
        <f>6.6847* CHOOSE(CONTROL!$C$27, $C$14, 100%, $E$14)</f>
        <v>6.6847000000000003</v>
      </c>
      <c r="I78" s="59">
        <f>6.6896 * CHOOSE(CONTROL!$C$27, $C$14, 100%, $E$14)</f>
        <v>6.6896000000000004</v>
      </c>
      <c r="J78" s="59">
        <f>6.6847 * CHOOSE(CONTROL!$C$27, $C$14, 100%, $E$14)</f>
        <v>6.6847000000000003</v>
      </c>
      <c r="K78" s="59">
        <f>6.6896 * CHOOSE(CONTROL!$C$27, $C$14, 100%, $E$14)</f>
        <v>6.6896000000000004</v>
      </c>
      <c r="L78" s="59">
        <f>3.844 * CHOOSE(CONTROL!$C$27, $C$14, 100%, $E$14)</f>
        <v>3.8439999999999999</v>
      </c>
      <c r="M78" s="59">
        <f>3.8489 * CHOOSE(CONTROL!$C$27, $C$14, 100%, $E$14)</f>
        <v>3.8489</v>
      </c>
      <c r="N78" s="59">
        <f>3.844 * CHOOSE(CONTROL!$C$27, $C$14, 100%, $E$14)</f>
        <v>3.8439999999999999</v>
      </c>
      <c r="O78" s="59">
        <f>3.8489 * CHOOSE(CONTROL!$C$27, $C$14, 100%, $E$14)</f>
        <v>3.8489</v>
      </c>
      <c r="P78" s="4"/>
      <c r="Q78" s="4"/>
      <c r="R78" s="4"/>
    </row>
    <row r="79" spans="1:18" ht="15">
      <c r="A79" s="11">
        <v>43497</v>
      </c>
      <c r="B79" s="58">
        <f>3.1437 * CHOOSE(CONTROL!$C$27, $C$14, 100%, $E$14)</f>
        <v>3.1436999999999999</v>
      </c>
      <c r="C79" s="58">
        <f>3.1437 * CHOOSE(CONTROL!$C$27, $C$14, 100%, $E$14)</f>
        <v>3.1436999999999999</v>
      </c>
      <c r="D79" s="58">
        <f>3.1477 * CHOOSE(CONTROL!$C$27, $C$14, 100%, $E$14)</f>
        <v>3.1476999999999999</v>
      </c>
      <c r="E79" s="59">
        <f>3.7978 * CHOOSE(CONTROL!$C$27, $C$14, 100%, $E$14)</f>
        <v>3.7978000000000001</v>
      </c>
      <c r="F79" s="59">
        <f>3.7978 * CHOOSE(CONTROL!$C$27, $C$14, 100%, $E$14)</f>
        <v>3.7978000000000001</v>
      </c>
      <c r="G79" s="59">
        <f>3.8027 * CHOOSE(CONTROL!$C$27, $C$14, 100%, $E$14)</f>
        <v>3.8027000000000002</v>
      </c>
      <c r="H79" s="59">
        <f>6.6986* CHOOSE(CONTROL!$C$27, $C$14, 100%, $E$14)</f>
        <v>6.6985999999999999</v>
      </c>
      <c r="I79" s="59">
        <f>6.7036 * CHOOSE(CONTROL!$C$27, $C$14, 100%, $E$14)</f>
        <v>6.7035999999999998</v>
      </c>
      <c r="J79" s="59">
        <f>6.6986 * CHOOSE(CONTROL!$C$27, $C$14, 100%, $E$14)</f>
        <v>6.6985999999999999</v>
      </c>
      <c r="K79" s="59">
        <f>6.7036 * CHOOSE(CONTROL!$C$27, $C$14, 100%, $E$14)</f>
        <v>6.7035999999999998</v>
      </c>
      <c r="L79" s="59">
        <f>3.7978 * CHOOSE(CONTROL!$C$27, $C$14, 100%, $E$14)</f>
        <v>3.7978000000000001</v>
      </c>
      <c r="M79" s="59">
        <f>3.8027 * CHOOSE(CONTROL!$C$27, $C$14, 100%, $E$14)</f>
        <v>3.8027000000000002</v>
      </c>
      <c r="N79" s="59">
        <f>3.7978 * CHOOSE(CONTROL!$C$27, $C$14, 100%, $E$14)</f>
        <v>3.7978000000000001</v>
      </c>
      <c r="O79" s="59">
        <f>3.8027 * CHOOSE(CONTROL!$C$27, $C$14, 100%, $E$14)</f>
        <v>3.8027000000000002</v>
      </c>
      <c r="P79" s="4"/>
      <c r="Q79" s="4"/>
      <c r="R79" s="4"/>
    </row>
    <row r="80" spans="1:18" ht="15">
      <c r="A80" s="11">
        <v>43525</v>
      </c>
      <c r="B80" s="58">
        <f>3.1407 * CHOOSE(CONTROL!$C$27, $C$14, 100%, $E$14)</f>
        <v>3.1406999999999998</v>
      </c>
      <c r="C80" s="58">
        <f>3.1407 * CHOOSE(CONTROL!$C$27, $C$14, 100%, $E$14)</f>
        <v>3.1406999999999998</v>
      </c>
      <c r="D80" s="58">
        <f>3.1447 * CHOOSE(CONTROL!$C$27, $C$14, 100%, $E$14)</f>
        <v>3.1446999999999998</v>
      </c>
      <c r="E80" s="59">
        <f>3.8304 * CHOOSE(CONTROL!$C$27, $C$14, 100%, $E$14)</f>
        <v>3.8304</v>
      </c>
      <c r="F80" s="59">
        <f>3.8304 * CHOOSE(CONTROL!$C$27, $C$14, 100%, $E$14)</f>
        <v>3.8304</v>
      </c>
      <c r="G80" s="59">
        <f>3.8354 * CHOOSE(CONTROL!$C$27, $C$14, 100%, $E$14)</f>
        <v>3.8353999999999999</v>
      </c>
      <c r="H80" s="59">
        <f>6.7126* CHOOSE(CONTROL!$C$27, $C$14, 100%, $E$14)</f>
        <v>6.7126000000000001</v>
      </c>
      <c r="I80" s="59">
        <f>6.7175 * CHOOSE(CONTROL!$C$27, $C$14, 100%, $E$14)</f>
        <v>6.7175000000000002</v>
      </c>
      <c r="J80" s="59">
        <f>6.7126 * CHOOSE(CONTROL!$C$27, $C$14, 100%, $E$14)</f>
        <v>6.7126000000000001</v>
      </c>
      <c r="K80" s="59">
        <f>6.7175 * CHOOSE(CONTROL!$C$27, $C$14, 100%, $E$14)</f>
        <v>6.7175000000000002</v>
      </c>
      <c r="L80" s="59">
        <f>3.8304 * CHOOSE(CONTROL!$C$27, $C$14, 100%, $E$14)</f>
        <v>3.8304</v>
      </c>
      <c r="M80" s="59">
        <f>3.8354 * CHOOSE(CONTROL!$C$27, $C$14, 100%, $E$14)</f>
        <v>3.8353999999999999</v>
      </c>
      <c r="N80" s="59">
        <f>3.8304 * CHOOSE(CONTROL!$C$27, $C$14, 100%, $E$14)</f>
        <v>3.8304</v>
      </c>
      <c r="O80" s="59">
        <f>3.8354 * CHOOSE(CONTROL!$C$27, $C$14, 100%, $E$14)</f>
        <v>3.8353999999999999</v>
      </c>
      <c r="P80" s="4"/>
      <c r="Q80" s="4"/>
      <c r="R80" s="4"/>
    </row>
    <row r="81" spans="1:18" ht="15">
      <c r="A81" s="11">
        <v>43556</v>
      </c>
      <c r="B81" s="58">
        <f>3.1374 * CHOOSE(CONTROL!$C$27, $C$14, 100%, $E$14)</f>
        <v>3.1374</v>
      </c>
      <c r="C81" s="58">
        <f>3.1374 * CHOOSE(CONTROL!$C$27, $C$14, 100%, $E$14)</f>
        <v>3.1374</v>
      </c>
      <c r="D81" s="58">
        <f>3.1414 * CHOOSE(CONTROL!$C$27, $C$14, 100%, $E$14)</f>
        <v>3.1414</v>
      </c>
      <c r="E81" s="59">
        <f>3.8635 * CHOOSE(CONTROL!$C$27, $C$14, 100%, $E$14)</f>
        <v>3.8635000000000002</v>
      </c>
      <c r="F81" s="59">
        <f>3.8635 * CHOOSE(CONTROL!$C$27, $C$14, 100%, $E$14)</f>
        <v>3.8635000000000002</v>
      </c>
      <c r="G81" s="59">
        <f>3.8685 * CHOOSE(CONTROL!$C$27, $C$14, 100%, $E$14)</f>
        <v>3.8685</v>
      </c>
      <c r="H81" s="59">
        <f>6.7266* CHOOSE(CONTROL!$C$27, $C$14, 100%, $E$14)</f>
        <v>6.7266000000000004</v>
      </c>
      <c r="I81" s="59">
        <f>6.7315 * CHOOSE(CONTROL!$C$27, $C$14, 100%, $E$14)</f>
        <v>6.7314999999999996</v>
      </c>
      <c r="J81" s="59">
        <f>6.7266 * CHOOSE(CONTROL!$C$27, $C$14, 100%, $E$14)</f>
        <v>6.7266000000000004</v>
      </c>
      <c r="K81" s="59">
        <f>6.7315 * CHOOSE(CONTROL!$C$27, $C$14, 100%, $E$14)</f>
        <v>6.7314999999999996</v>
      </c>
      <c r="L81" s="59">
        <f>3.8635 * CHOOSE(CONTROL!$C$27, $C$14, 100%, $E$14)</f>
        <v>3.8635000000000002</v>
      </c>
      <c r="M81" s="59">
        <f>3.8685 * CHOOSE(CONTROL!$C$27, $C$14, 100%, $E$14)</f>
        <v>3.8685</v>
      </c>
      <c r="N81" s="59">
        <f>3.8635 * CHOOSE(CONTROL!$C$27, $C$14, 100%, $E$14)</f>
        <v>3.8635000000000002</v>
      </c>
      <c r="O81" s="59">
        <f>3.8685 * CHOOSE(CONTROL!$C$27, $C$14, 100%, $E$14)</f>
        <v>3.8685</v>
      </c>
      <c r="P81" s="4"/>
      <c r="Q81" s="4"/>
      <c r="R81" s="4"/>
    </row>
    <row r="82" spans="1:18" ht="15">
      <c r="A82" s="11">
        <v>43586</v>
      </c>
      <c r="B82" s="58">
        <f>3.1374 * CHOOSE(CONTROL!$C$27, $C$14, 100%, $E$14)</f>
        <v>3.1374</v>
      </c>
      <c r="C82" s="58">
        <f>3.1374 * CHOOSE(CONTROL!$C$27, $C$14, 100%, $E$14)</f>
        <v>3.1374</v>
      </c>
      <c r="D82" s="58">
        <f>3.143 * CHOOSE(CONTROL!$C$27, $C$14, 100%, $E$14)</f>
        <v>3.1429999999999998</v>
      </c>
      <c r="E82" s="59">
        <f>3.8775 * CHOOSE(CONTROL!$C$27, $C$14, 100%, $E$14)</f>
        <v>3.8774999999999999</v>
      </c>
      <c r="F82" s="59">
        <f>3.8775 * CHOOSE(CONTROL!$C$27, $C$14, 100%, $E$14)</f>
        <v>3.8774999999999999</v>
      </c>
      <c r="G82" s="59">
        <f>3.8844 * CHOOSE(CONTROL!$C$27, $C$14, 100%, $E$14)</f>
        <v>3.8843999999999999</v>
      </c>
      <c r="H82" s="59">
        <f>6.7406* CHOOSE(CONTROL!$C$27, $C$14, 100%, $E$14)</f>
        <v>6.7405999999999997</v>
      </c>
      <c r="I82" s="59">
        <f>6.7475 * CHOOSE(CONTROL!$C$27, $C$14, 100%, $E$14)</f>
        <v>6.7474999999999996</v>
      </c>
      <c r="J82" s="59">
        <f>6.7406 * CHOOSE(CONTROL!$C$27, $C$14, 100%, $E$14)</f>
        <v>6.7405999999999997</v>
      </c>
      <c r="K82" s="59">
        <f>6.7475 * CHOOSE(CONTROL!$C$27, $C$14, 100%, $E$14)</f>
        <v>6.7474999999999996</v>
      </c>
      <c r="L82" s="59">
        <f>3.8775 * CHOOSE(CONTROL!$C$27, $C$14, 100%, $E$14)</f>
        <v>3.8774999999999999</v>
      </c>
      <c r="M82" s="59">
        <f>3.8844 * CHOOSE(CONTROL!$C$27, $C$14, 100%, $E$14)</f>
        <v>3.8843999999999999</v>
      </c>
      <c r="N82" s="59">
        <f>3.8775 * CHOOSE(CONTROL!$C$27, $C$14, 100%, $E$14)</f>
        <v>3.8774999999999999</v>
      </c>
      <c r="O82" s="59">
        <f>3.8844 * CHOOSE(CONTROL!$C$27, $C$14, 100%, $E$14)</f>
        <v>3.8843999999999999</v>
      </c>
      <c r="P82" s="4"/>
      <c r="Q82" s="4"/>
      <c r="R82" s="4"/>
    </row>
    <row r="83" spans="1:18" ht="15">
      <c r="A83" s="11">
        <v>43617</v>
      </c>
      <c r="B83" s="58">
        <f>3.1435 * CHOOSE(CONTROL!$C$27, $C$14, 100%, $E$14)</f>
        <v>3.1435</v>
      </c>
      <c r="C83" s="58">
        <f>3.1435 * CHOOSE(CONTROL!$C$27, $C$14, 100%, $E$14)</f>
        <v>3.1435</v>
      </c>
      <c r="D83" s="58">
        <f>3.1491 * CHOOSE(CONTROL!$C$27, $C$14, 100%, $E$14)</f>
        <v>3.1490999999999998</v>
      </c>
      <c r="E83" s="59">
        <f>3.8678 * CHOOSE(CONTROL!$C$27, $C$14, 100%, $E$14)</f>
        <v>3.8677999999999999</v>
      </c>
      <c r="F83" s="59">
        <f>3.8678 * CHOOSE(CONTROL!$C$27, $C$14, 100%, $E$14)</f>
        <v>3.8677999999999999</v>
      </c>
      <c r="G83" s="59">
        <f>3.8747 * CHOOSE(CONTROL!$C$27, $C$14, 100%, $E$14)</f>
        <v>3.8746999999999998</v>
      </c>
      <c r="H83" s="59">
        <f>6.7546* CHOOSE(CONTROL!$C$27, $C$14, 100%, $E$14)</f>
        <v>6.7545999999999999</v>
      </c>
      <c r="I83" s="59">
        <f>6.7615 * CHOOSE(CONTROL!$C$27, $C$14, 100%, $E$14)</f>
        <v>6.7614999999999998</v>
      </c>
      <c r="J83" s="59">
        <f>6.7546 * CHOOSE(CONTROL!$C$27, $C$14, 100%, $E$14)</f>
        <v>6.7545999999999999</v>
      </c>
      <c r="K83" s="59">
        <f>6.7615 * CHOOSE(CONTROL!$C$27, $C$14, 100%, $E$14)</f>
        <v>6.7614999999999998</v>
      </c>
      <c r="L83" s="59">
        <f>3.8678 * CHOOSE(CONTROL!$C$27, $C$14, 100%, $E$14)</f>
        <v>3.8677999999999999</v>
      </c>
      <c r="M83" s="59">
        <f>3.8747 * CHOOSE(CONTROL!$C$27, $C$14, 100%, $E$14)</f>
        <v>3.8746999999999998</v>
      </c>
      <c r="N83" s="59">
        <f>3.8678 * CHOOSE(CONTROL!$C$27, $C$14, 100%, $E$14)</f>
        <v>3.8677999999999999</v>
      </c>
      <c r="O83" s="59">
        <f>3.8747 * CHOOSE(CONTROL!$C$27, $C$14, 100%, $E$14)</f>
        <v>3.8746999999999998</v>
      </c>
      <c r="P83" s="4"/>
      <c r="Q83" s="4"/>
      <c r="R83" s="4"/>
    </row>
    <row r="84" spans="1:18" ht="15">
      <c r="A84" s="11">
        <v>43647</v>
      </c>
      <c r="B84" s="58">
        <f>3.1331 * CHOOSE(CONTROL!$C$27, $C$14, 100%, $E$14)</f>
        <v>3.1331000000000002</v>
      </c>
      <c r="C84" s="58">
        <f>3.1331 * CHOOSE(CONTROL!$C$27, $C$14, 100%, $E$14)</f>
        <v>3.1331000000000002</v>
      </c>
      <c r="D84" s="58">
        <f>3.1387 * CHOOSE(CONTROL!$C$27, $C$14, 100%, $E$14)</f>
        <v>3.1387</v>
      </c>
      <c r="E84" s="59">
        <f>3.901 * CHOOSE(CONTROL!$C$27, $C$14, 100%, $E$14)</f>
        <v>3.9009999999999998</v>
      </c>
      <c r="F84" s="59">
        <f>3.901 * CHOOSE(CONTROL!$C$27, $C$14, 100%, $E$14)</f>
        <v>3.9009999999999998</v>
      </c>
      <c r="G84" s="59">
        <f>3.9079 * CHOOSE(CONTROL!$C$27, $C$14, 100%, $E$14)</f>
        <v>3.9079000000000002</v>
      </c>
      <c r="H84" s="59">
        <f>6.7687* CHOOSE(CONTROL!$C$27, $C$14, 100%, $E$14)</f>
        <v>6.7686999999999999</v>
      </c>
      <c r="I84" s="59">
        <f>6.7756 * CHOOSE(CONTROL!$C$27, $C$14, 100%, $E$14)</f>
        <v>6.7755999999999998</v>
      </c>
      <c r="J84" s="59">
        <f>6.7687 * CHOOSE(CONTROL!$C$27, $C$14, 100%, $E$14)</f>
        <v>6.7686999999999999</v>
      </c>
      <c r="K84" s="59">
        <f>6.7756 * CHOOSE(CONTROL!$C$27, $C$14, 100%, $E$14)</f>
        <v>6.7755999999999998</v>
      </c>
      <c r="L84" s="59">
        <f>3.901 * CHOOSE(CONTROL!$C$27, $C$14, 100%, $E$14)</f>
        <v>3.9009999999999998</v>
      </c>
      <c r="M84" s="59">
        <f>3.9079 * CHOOSE(CONTROL!$C$27, $C$14, 100%, $E$14)</f>
        <v>3.9079000000000002</v>
      </c>
      <c r="N84" s="59">
        <f>3.901 * CHOOSE(CONTROL!$C$27, $C$14, 100%, $E$14)</f>
        <v>3.9009999999999998</v>
      </c>
      <c r="O84" s="59">
        <f>3.9079 * CHOOSE(CONTROL!$C$27, $C$14, 100%, $E$14)</f>
        <v>3.9079000000000002</v>
      </c>
      <c r="P84" s="4"/>
      <c r="Q84" s="4"/>
      <c r="R84" s="4"/>
    </row>
    <row r="85" spans="1:18" ht="15">
      <c r="A85" s="11">
        <v>43678</v>
      </c>
      <c r="B85" s="58">
        <f>3.1398 * CHOOSE(CONTROL!$C$27, $C$14, 100%, $E$14)</f>
        <v>3.1398000000000001</v>
      </c>
      <c r="C85" s="58">
        <f>3.1398 * CHOOSE(CONTROL!$C$27, $C$14, 100%, $E$14)</f>
        <v>3.1398000000000001</v>
      </c>
      <c r="D85" s="58">
        <f>3.1454 * CHOOSE(CONTROL!$C$27, $C$14, 100%, $E$14)</f>
        <v>3.1454</v>
      </c>
      <c r="E85" s="59">
        <f>3.8637 * CHOOSE(CONTROL!$C$27, $C$14, 100%, $E$14)</f>
        <v>3.8637000000000001</v>
      </c>
      <c r="F85" s="59">
        <f>3.8637 * CHOOSE(CONTROL!$C$27, $C$14, 100%, $E$14)</f>
        <v>3.8637000000000001</v>
      </c>
      <c r="G85" s="59">
        <f>3.8706 * CHOOSE(CONTROL!$C$27, $C$14, 100%, $E$14)</f>
        <v>3.8706</v>
      </c>
      <c r="H85" s="59">
        <f>6.7828* CHOOSE(CONTROL!$C$27, $C$14, 100%, $E$14)</f>
        <v>6.7827999999999999</v>
      </c>
      <c r="I85" s="59">
        <f>6.7897 * CHOOSE(CONTROL!$C$27, $C$14, 100%, $E$14)</f>
        <v>6.7896999999999998</v>
      </c>
      <c r="J85" s="59">
        <f>6.7828 * CHOOSE(CONTROL!$C$27, $C$14, 100%, $E$14)</f>
        <v>6.7827999999999999</v>
      </c>
      <c r="K85" s="59">
        <f>6.7897 * CHOOSE(CONTROL!$C$27, $C$14, 100%, $E$14)</f>
        <v>6.7896999999999998</v>
      </c>
      <c r="L85" s="59">
        <f>3.8637 * CHOOSE(CONTROL!$C$27, $C$14, 100%, $E$14)</f>
        <v>3.8637000000000001</v>
      </c>
      <c r="M85" s="59">
        <f>3.8706 * CHOOSE(CONTROL!$C$27, $C$14, 100%, $E$14)</f>
        <v>3.8706</v>
      </c>
      <c r="N85" s="59">
        <f>3.8637 * CHOOSE(CONTROL!$C$27, $C$14, 100%, $E$14)</f>
        <v>3.8637000000000001</v>
      </c>
      <c r="O85" s="59">
        <f>3.8706 * CHOOSE(CONTROL!$C$27, $C$14, 100%, $E$14)</f>
        <v>3.8706</v>
      </c>
      <c r="P85" s="4"/>
      <c r="Q85" s="4"/>
      <c r="R85" s="4"/>
    </row>
    <row r="86" spans="1:18" ht="15">
      <c r="A86" s="11">
        <v>43709</v>
      </c>
      <c r="B86" s="58">
        <f>3.1367 * CHOOSE(CONTROL!$C$27, $C$14, 100%, $E$14)</f>
        <v>3.1366999999999998</v>
      </c>
      <c r="C86" s="58">
        <f>3.1367 * CHOOSE(CONTROL!$C$27, $C$14, 100%, $E$14)</f>
        <v>3.1366999999999998</v>
      </c>
      <c r="D86" s="58">
        <f>3.1424 * CHOOSE(CONTROL!$C$27, $C$14, 100%, $E$14)</f>
        <v>3.1423999999999999</v>
      </c>
      <c r="E86" s="59">
        <f>3.8569 * CHOOSE(CONTROL!$C$27, $C$14, 100%, $E$14)</f>
        <v>3.8569</v>
      </c>
      <c r="F86" s="59">
        <f>3.8569 * CHOOSE(CONTROL!$C$27, $C$14, 100%, $E$14)</f>
        <v>3.8569</v>
      </c>
      <c r="G86" s="59">
        <f>3.8638 * CHOOSE(CONTROL!$C$27, $C$14, 100%, $E$14)</f>
        <v>3.8637999999999999</v>
      </c>
      <c r="H86" s="59">
        <f>6.7969* CHOOSE(CONTROL!$C$27, $C$14, 100%, $E$14)</f>
        <v>6.7968999999999999</v>
      </c>
      <c r="I86" s="59">
        <f>6.8038 * CHOOSE(CONTROL!$C$27, $C$14, 100%, $E$14)</f>
        <v>6.8037999999999998</v>
      </c>
      <c r="J86" s="59">
        <f>6.7969 * CHOOSE(CONTROL!$C$27, $C$14, 100%, $E$14)</f>
        <v>6.7968999999999999</v>
      </c>
      <c r="K86" s="59">
        <f>6.8038 * CHOOSE(CONTROL!$C$27, $C$14, 100%, $E$14)</f>
        <v>6.8037999999999998</v>
      </c>
      <c r="L86" s="59">
        <f>3.8569 * CHOOSE(CONTROL!$C$27, $C$14, 100%, $E$14)</f>
        <v>3.8569</v>
      </c>
      <c r="M86" s="59">
        <f>3.8638 * CHOOSE(CONTROL!$C$27, $C$14, 100%, $E$14)</f>
        <v>3.8637999999999999</v>
      </c>
      <c r="N86" s="59">
        <f>3.8569 * CHOOSE(CONTROL!$C$27, $C$14, 100%, $E$14)</f>
        <v>3.8569</v>
      </c>
      <c r="O86" s="59">
        <f>3.8638 * CHOOSE(CONTROL!$C$27, $C$14, 100%, $E$14)</f>
        <v>3.8637999999999999</v>
      </c>
      <c r="P86" s="4"/>
      <c r="Q86" s="4"/>
      <c r="R86" s="4"/>
    </row>
    <row r="87" spans="1:18" ht="15">
      <c r="A87" s="11">
        <v>43739</v>
      </c>
      <c r="B87" s="58">
        <f>3.1284 * CHOOSE(CONTROL!$C$27, $C$14, 100%, $E$14)</f>
        <v>3.1284000000000001</v>
      </c>
      <c r="C87" s="58">
        <f>3.1284 * CHOOSE(CONTROL!$C$27, $C$14, 100%, $E$14)</f>
        <v>3.1284000000000001</v>
      </c>
      <c r="D87" s="58">
        <f>3.1324 * CHOOSE(CONTROL!$C$27, $C$14, 100%, $E$14)</f>
        <v>3.1324000000000001</v>
      </c>
      <c r="E87" s="59">
        <f>3.8621 * CHOOSE(CONTROL!$C$27, $C$14, 100%, $E$14)</f>
        <v>3.8620999999999999</v>
      </c>
      <c r="F87" s="59">
        <f>3.8621 * CHOOSE(CONTROL!$C$27, $C$14, 100%, $E$14)</f>
        <v>3.8620999999999999</v>
      </c>
      <c r="G87" s="59">
        <f>3.8671 * CHOOSE(CONTROL!$C$27, $C$14, 100%, $E$14)</f>
        <v>3.8671000000000002</v>
      </c>
      <c r="H87" s="59">
        <f>6.8111* CHOOSE(CONTROL!$C$27, $C$14, 100%, $E$14)</f>
        <v>6.8110999999999997</v>
      </c>
      <c r="I87" s="59">
        <f>6.816 * CHOOSE(CONTROL!$C$27, $C$14, 100%, $E$14)</f>
        <v>6.8159999999999998</v>
      </c>
      <c r="J87" s="59">
        <f>6.8111 * CHOOSE(CONTROL!$C$27, $C$14, 100%, $E$14)</f>
        <v>6.8110999999999997</v>
      </c>
      <c r="K87" s="59">
        <f>6.816 * CHOOSE(CONTROL!$C$27, $C$14, 100%, $E$14)</f>
        <v>6.8159999999999998</v>
      </c>
      <c r="L87" s="59">
        <f>3.8621 * CHOOSE(CONTROL!$C$27, $C$14, 100%, $E$14)</f>
        <v>3.8620999999999999</v>
      </c>
      <c r="M87" s="59">
        <f>3.8671 * CHOOSE(CONTROL!$C$27, $C$14, 100%, $E$14)</f>
        <v>3.8671000000000002</v>
      </c>
      <c r="N87" s="59">
        <f>3.8621 * CHOOSE(CONTROL!$C$27, $C$14, 100%, $E$14)</f>
        <v>3.8620999999999999</v>
      </c>
      <c r="O87" s="59">
        <f>3.8671 * CHOOSE(CONTROL!$C$27, $C$14, 100%, $E$14)</f>
        <v>3.8671000000000002</v>
      </c>
      <c r="P87" s="4"/>
      <c r="Q87" s="4"/>
      <c r="R87" s="4"/>
    </row>
    <row r="88" spans="1:18" ht="15">
      <c r="A88" s="11">
        <v>43770</v>
      </c>
      <c r="B88" s="58">
        <f>3.1314 * CHOOSE(CONTROL!$C$27, $C$14, 100%, $E$14)</f>
        <v>3.1314000000000002</v>
      </c>
      <c r="C88" s="58">
        <f>3.1314 * CHOOSE(CONTROL!$C$27, $C$14, 100%, $E$14)</f>
        <v>3.1314000000000002</v>
      </c>
      <c r="D88" s="58">
        <f>3.1354 * CHOOSE(CONTROL!$C$27, $C$14, 100%, $E$14)</f>
        <v>3.1354000000000002</v>
      </c>
      <c r="E88" s="59">
        <f>3.8736 * CHOOSE(CONTROL!$C$27, $C$14, 100%, $E$14)</f>
        <v>3.8736000000000002</v>
      </c>
      <c r="F88" s="59">
        <f>3.8736 * CHOOSE(CONTROL!$C$27, $C$14, 100%, $E$14)</f>
        <v>3.8736000000000002</v>
      </c>
      <c r="G88" s="59">
        <f>3.8785 * CHOOSE(CONTROL!$C$27, $C$14, 100%, $E$14)</f>
        <v>3.8784999999999998</v>
      </c>
      <c r="H88" s="59">
        <f>6.8253* CHOOSE(CONTROL!$C$27, $C$14, 100%, $E$14)</f>
        <v>6.8253000000000004</v>
      </c>
      <c r="I88" s="59">
        <f>6.8302 * CHOOSE(CONTROL!$C$27, $C$14, 100%, $E$14)</f>
        <v>6.8301999999999996</v>
      </c>
      <c r="J88" s="59">
        <f>6.8253 * CHOOSE(CONTROL!$C$27, $C$14, 100%, $E$14)</f>
        <v>6.8253000000000004</v>
      </c>
      <c r="K88" s="59">
        <f>6.8302 * CHOOSE(CONTROL!$C$27, $C$14, 100%, $E$14)</f>
        <v>6.8301999999999996</v>
      </c>
      <c r="L88" s="59">
        <f>3.8736 * CHOOSE(CONTROL!$C$27, $C$14, 100%, $E$14)</f>
        <v>3.8736000000000002</v>
      </c>
      <c r="M88" s="59">
        <f>3.8785 * CHOOSE(CONTROL!$C$27, $C$14, 100%, $E$14)</f>
        <v>3.8784999999999998</v>
      </c>
      <c r="N88" s="59">
        <f>3.8736 * CHOOSE(CONTROL!$C$27, $C$14, 100%, $E$14)</f>
        <v>3.8736000000000002</v>
      </c>
      <c r="O88" s="59">
        <f>3.8785 * CHOOSE(CONTROL!$C$27, $C$14, 100%, $E$14)</f>
        <v>3.8784999999999998</v>
      </c>
      <c r="P88" s="4"/>
      <c r="Q88" s="4"/>
      <c r="R88" s="4"/>
    </row>
    <row r="89" spans="1:18" ht="15">
      <c r="A89" s="11">
        <v>43800</v>
      </c>
      <c r="B89" s="58">
        <f>3.1314 * CHOOSE(CONTROL!$C$27, $C$14, 100%, $E$14)</f>
        <v>3.1314000000000002</v>
      </c>
      <c r="C89" s="58">
        <f>3.1314 * CHOOSE(CONTROL!$C$27, $C$14, 100%, $E$14)</f>
        <v>3.1314000000000002</v>
      </c>
      <c r="D89" s="58">
        <f>3.1354 * CHOOSE(CONTROL!$C$27, $C$14, 100%, $E$14)</f>
        <v>3.1354000000000002</v>
      </c>
      <c r="E89" s="59">
        <f>3.8503 * CHOOSE(CONTROL!$C$27, $C$14, 100%, $E$14)</f>
        <v>3.8502999999999998</v>
      </c>
      <c r="F89" s="59">
        <f>3.8503 * CHOOSE(CONTROL!$C$27, $C$14, 100%, $E$14)</f>
        <v>3.8502999999999998</v>
      </c>
      <c r="G89" s="59">
        <f>3.8552 * CHOOSE(CONTROL!$C$27, $C$14, 100%, $E$14)</f>
        <v>3.8552</v>
      </c>
      <c r="H89" s="59">
        <f>6.8395* CHOOSE(CONTROL!$C$27, $C$14, 100%, $E$14)</f>
        <v>6.8395000000000001</v>
      </c>
      <c r="I89" s="59">
        <f>6.8444 * CHOOSE(CONTROL!$C$27, $C$14, 100%, $E$14)</f>
        <v>6.8444000000000003</v>
      </c>
      <c r="J89" s="59">
        <f>6.8395 * CHOOSE(CONTROL!$C$27, $C$14, 100%, $E$14)</f>
        <v>6.8395000000000001</v>
      </c>
      <c r="K89" s="59">
        <f>6.8444 * CHOOSE(CONTROL!$C$27, $C$14, 100%, $E$14)</f>
        <v>6.8444000000000003</v>
      </c>
      <c r="L89" s="59">
        <f>3.8503 * CHOOSE(CONTROL!$C$27, $C$14, 100%, $E$14)</f>
        <v>3.8502999999999998</v>
      </c>
      <c r="M89" s="59">
        <f>3.8552 * CHOOSE(CONTROL!$C$27, $C$14, 100%, $E$14)</f>
        <v>3.8552</v>
      </c>
      <c r="N89" s="59">
        <f>3.8503 * CHOOSE(CONTROL!$C$27, $C$14, 100%, $E$14)</f>
        <v>3.8502999999999998</v>
      </c>
      <c r="O89" s="59">
        <f>3.8552 * CHOOSE(CONTROL!$C$27, $C$14, 100%, $E$14)</f>
        <v>3.8552</v>
      </c>
      <c r="P89" s="4"/>
      <c r="Q89" s="4"/>
      <c r="R89" s="4"/>
    </row>
    <row r="90" spans="1:18" ht="15">
      <c r="A90" s="11">
        <v>43831</v>
      </c>
      <c r="B90" s="58">
        <f>3.167 * CHOOSE(CONTROL!$C$27, $C$14, 100%, $E$14)</f>
        <v>3.1669999999999998</v>
      </c>
      <c r="C90" s="58">
        <f>3.167 * CHOOSE(CONTROL!$C$27, $C$14, 100%, $E$14)</f>
        <v>3.1669999999999998</v>
      </c>
      <c r="D90" s="58">
        <f>3.171 * CHOOSE(CONTROL!$C$27, $C$14, 100%, $E$14)</f>
        <v>3.1709999999999998</v>
      </c>
      <c r="E90" s="59">
        <f>3.8608 * CHOOSE(CONTROL!$C$27, $C$14, 100%, $E$14)</f>
        <v>3.8607999999999998</v>
      </c>
      <c r="F90" s="59">
        <f>3.8608 * CHOOSE(CONTROL!$C$27, $C$14, 100%, $E$14)</f>
        <v>3.8607999999999998</v>
      </c>
      <c r="G90" s="59">
        <f>3.8658 * CHOOSE(CONTROL!$C$27, $C$14, 100%, $E$14)</f>
        <v>3.8658000000000001</v>
      </c>
      <c r="H90" s="59">
        <f>6.8538* CHOOSE(CONTROL!$C$27, $C$14, 100%, $E$14)</f>
        <v>6.8537999999999997</v>
      </c>
      <c r="I90" s="59">
        <f>6.8587 * CHOOSE(CONTROL!$C$27, $C$14, 100%, $E$14)</f>
        <v>6.8586999999999998</v>
      </c>
      <c r="J90" s="59">
        <f>6.8538 * CHOOSE(CONTROL!$C$27, $C$14, 100%, $E$14)</f>
        <v>6.8537999999999997</v>
      </c>
      <c r="K90" s="59">
        <f>6.8587 * CHOOSE(CONTROL!$C$27, $C$14, 100%, $E$14)</f>
        <v>6.8586999999999998</v>
      </c>
      <c r="L90" s="59">
        <f>3.8608 * CHOOSE(CONTROL!$C$27, $C$14, 100%, $E$14)</f>
        <v>3.8607999999999998</v>
      </c>
      <c r="M90" s="59">
        <f>3.8658 * CHOOSE(CONTROL!$C$27, $C$14, 100%, $E$14)</f>
        <v>3.8658000000000001</v>
      </c>
      <c r="N90" s="59">
        <f>3.8608 * CHOOSE(CONTROL!$C$27, $C$14, 100%, $E$14)</f>
        <v>3.8607999999999998</v>
      </c>
      <c r="O90" s="59">
        <f>3.8658 * CHOOSE(CONTROL!$C$27, $C$14, 100%, $E$14)</f>
        <v>3.8658000000000001</v>
      </c>
      <c r="P90" s="4"/>
      <c r="Q90" s="4"/>
      <c r="R90" s="4"/>
    </row>
    <row r="91" spans="1:18" ht="15">
      <c r="A91" s="11">
        <v>43862</v>
      </c>
      <c r="B91" s="58">
        <f>3.164 * CHOOSE(CONTROL!$C$27, $C$14, 100%, $E$14)</f>
        <v>3.1640000000000001</v>
      </c>
      <c r="C91" s="58">
        <f>3.164 * CHOOSE(CONTROL!$C$27, $C$14, 100%, $E$14)</f>
        <v>3.1640000000000001</v>
      </c>
      <c r="D91" s="58">
        <f>3.168 * CHOOSE(CONTROL!$C$27, $C$14, 100%, $E$14)</f>
        <v>3.1680000000000001</v>
      </c>
      <c r="E91" s="59">
        <f>3.8041 * CHOOSE(CONTROL!$C$27, $C$14, 100%, $E$14)</f>
        <v>3.8041</v>
      </c>
      <c r="F91" s="59">
        <f>3.8041 * CHOOSE(CONTROL!$C$27, $C$14, 100%, $E$14)</f>
        <v>3.8041</v>
      </c>
      <c r="G91" s="59">
        <f>3.809 * CHOOSE(CONTROL!$C$27, $C$14, 100%, $E$14)</f>
        <v>3.8090000000000002</v>
      </c>
      <c r="H91" s="59">
        <f>6.868* CHOOSE(CONTROL!$C$27, $C$14, 100%, $E$14)</f>
        <v>6.8680000000000003</v>
      </c>
      <c r="I91" s="59">
        <f>6.873 * CHOOSE(CONTROL!$C$27, $C$14, 100%, $E$14)</f>
        <v>6.8730000000000002</v>
      </c>
      <c r="J91" s="59">
        <f>6.868 * CHOOSE(CONTROL!$C$27, $C$14, 100%, $E$14)</f>
        <v>6.8680000000000003</v>
      </c>
      <c r="K91" s="59">
        <f>6.873 * CHOOSE(CONTROL!$C$27, $C$14, 100%, $E$14)</f>
        <v>6.8730000000000002</v>
      </c>
      <c r="L91" s="59">
        <f>3.8041 * CHOOSE(CONTROL!$C$27, $C$14, 100%, $E$14)</f>
        <v>3.8041</v>
      </c>
      <c r="M91" s="59">
        <f>3.809 * CHOOSE(CONTROL!$C$27, $C$14, 100%, $E$14)</f>
        <v>3.8090000000000002</v>
      </c>
      <c r="N91" s="59">
        <f>3.8041 * CHOOSE(CONTROL!$C$27, $C$14, 100%, $E$14)</f>
        <v>3.8041</v>
      </c>
      <c r="O91" s="59">
        <f>3.809 * CHOOSE(CONTROL!$C$27, $C$14, 100%, $E$14)</f>
        <v>3.8090000000000002</v>
      </c>
      <c r="P91" s="4"/>
      <c r="Q91" s="4"/>
      <c r="R91" s="4"/>
    </row>
    <row r="92" spans="1:18" ht="15">
      <c r="A92" s="11">
        <v>43891</v>
      </c>
      <c r="B92" s="58">
        <f>3.1609 * CHOOSE(CONTROL!$C$27, $C$14, 100%, $E$14)</f>
        <v>3.1608999999999998</v>
      </c>
      <c r="C92" s="58">
        <f>3.1609 * CHOOSE(CONTROL!$C$27, $C$14, 100%, $E$14)</f>
        <v>3.1608999999999998</v>
      </c>
      <c r="D92" s="58">
        <f>3.1649 * CHOOSE(CONTROL!$C$27, $C$14, 100%, $E$14)</f>
        <v>3.1648999999999998</v>
      </c>
      <c r="E92" s="59">
        <f>3.845 * CHOOSE(CONTROL!$C$27, $C$14, 100%, $E$14)</f>
        <v>3.8450000000000002</v>
      </c>
      <c r="F92" s="59">
        <f>3.845 * CHOOSE(CONTROL!$C$27, $C$14, 100%, $E$14)</f>
        <v>3.8450000000000002</v>
      </c>
      <c r="G92" s="59">
        <f>3.85 * CHOOSE(CONTROL!$C$27, $C$14, 100%, $E$14)</f>
        <v>3.85</v>
      </c>
      <c r="H92" s="59">
        <f>6.8823* CHOOSE(CONTROL!$C$27, $C$14, 100%, $E$14)</f>
        <v>6.8822999999999999</v>
      </c>
      <c r="I92" s="59">
        <f>6.8873 * CHOOSE(CONTROL!$C$27, $C$14, 100%, $E$14)</f>
        <v>6.8872999999999998</v>
      </c>
      <c r="J92" s="59">
        <f>6.8823 * CHOOSE(CONTROL!$C$27, $C$14, 100%, $E$14)</f>
        <v>6.8822999999999999</v>
      </c>
      <c r="K92" s="59">
        <f>6.8873 * CHOOSE(CONTROL!$C$27, $C$14, 100%, $E$14)</f>
        <v>6.8872999999999998</v>
      </c>
      <c r="L92" s="59">
        <f>3.845 * CHOOSE(CONTROL!$C$27, $C$14, 100%, $E$14)</f>
        <v>3.8450000000000002</v>
      </c>
      <c r="M92" s="59">
        <f>3.85 * CHOOSE(CONTROL!$C$27, $C$14, 100%, $E$14)</f>
        <v>3.85</v>
      </c>
      <c r="N92" s="59">
        <f>3.845 * CHOOSE(CONTROL!$C$27, $C$14, 100%, $E$14)</f>
        <v>3.8450000000000002</v>
      </c>
      <c r="O92" s="59">
        <f>3.85 * CHOOSE(CONTROL!$C$27, $C$14, 100%, $E$14)</f>
        <v>3.85</v>
      </c>
      <c r="P92" s="4"/>
      <c r="Q92" s="4"/>
      <c r="R92" s="4"/>
    </row>
    <row r="93" spans="1:18" ht="15">
      <c r="A93" s="11">
        <v>43922</v>
      </c>
      <c r="B93" s="58">
        <f>3.1577 * CHOOSE(CONTROL!$C$27, $C$14, 100%, $E$14)</f>
        <v>3.1577000000000002</v>
      </c>
      <c r="C93" s="58">
        <f>3.1577 * CHOOSE(CONTROL!$C$27, $C$14, 100%, $E$14)</f>
        <v>3.1577000000000002</v>
      </c>
      <c r="D93" s="58">
        <f>3.1617 * CHOOSE(CONTROL!$C$27, $C$14, 100%, $E$14)</f>
        <v>3.1617000000000002</v>
      </c>
      <c r="E93" s="59">
        <f>3.8871 * CHOOSE(CONTROL!$C$27, $C$14, 100%, $E$14)</f>
        <v>3.8871000000000002</v>
      </c>
      <c r="F93" s="59">
        <f>3.8871 * CHOOSE(CONTROL!$C$27, $C$14, 100%, $E$14)</f>
        <v>3.8871000000000002</v>
      </c>
      <c r="G93" s="59">
        <f>3.892 * CHOOSE(CONTROL!$C$27, $C$14, 100%, $E$14)</f>
        <v>3.8919999999999999</v>
      </c>
      <c r="H93" s="59">
        <f>6.8967* CHOOSE(CONTROL!$C$27, $C$14, 100%, $E$14)</f>
        <v>6.8967000000000001</v>
      </c>
      <c r="I93" s="59">
        <f>6.9016 * CHOOSE(CONTROL!$C$27, $C$14, 100%, $E$14)</f>
        <v>6.9016000000000002</v>
      </c>
      <c r="J93" s="59">
        <f>6.8967 * CHOOSE(CONTROL!$C$27, $C$14, 100%, $E$14)</f>
        <v>6.8967000000000001</v>
      </c>
      <c r="K93" s="59">
        <f>6.9016 * CHOOSE(CONTROL!$C$27, $C$14, 100%, $E$14)</f>
        <v>6.9016000000000002</v>
      </c>
      <c r="L93" s="59">
        <f>3.8871 * CHOOSE(CONTROL!$C$27, $C$14, 100%, $E$14)</f>
        <v>3.8871000000000002</v>
      </c>
      <c r="M93" s="59">
        <f>3.892 * CHOOSE(CONTROL!$C$27, $C$14, 100%, $E$14)</f>
        <v>3.8919999999999999</v>
      </c>
      <c r="N93" s="59">
        <f>3.8871 * CHOOSE(CONTROL!$C$27, $C$14, 100%, $E$14)</f>
        <v>3.8871000000000002</v>
      </c>
      <c r="O93" s="59">
        <f>3.892 * CHOOSE(CONTROL!$C$27, $C$14, 100%, $E$14)</f>
        <v>3.8919999999999999</v>
      </c>
      <c r="P93" s="4"/>
      <c r="Q93" s="4"/>
      <c r="R93" s="4"/>
    </row>
    <row r="94" spans="1:18" ht="15">
      <c r="A94" s="11">
        <v>43952</v>
      </c>
      <c r="B94" s="58">
        <f>3.1577 * CHOOSE(CONTROL!$C$27, $C$14, 100%, $E$14)</f>
        <v>3.1577000000000002</v>
      </c>
      <c r="C94" s="58">
        <f>3.1577 * CHOOSE(CONTROL!$C$27, $C$14, 100%, $E$14)</f>
        <v>3.1577000000000002</v>
      </c>
      <c r="D94" s="58">
        <f>3.1634 * CHOOSE(CONTROL!$C$27, $C$14, 100%, $E$14)</f>
        <v>3.1634000000000002</v>
      </c>
      <c r="E94" s="59">
        <f>3.9044 * CHOOSE(CONTROL!$C$27, $C$14, 100%, $E$14)</f>
        <v>3.9043999999999999</v>
      </c>
      <c r="F94" s="59">
        <f>3.9044 * CHOOSE(CONTROL!$C$27, $C$14, 100%, $E$14)</f>
        <v>3.9043999999999999</v>
      </c>
      <c r="G94" s="59">
        <f>3.9113 * CHOOSE(CONTROL!$C$27, $C$14, 100%, $E$14)</f>
        <v>3.9113000000000002</v>
      </c>
      <c r="H94" s="59">
        <f>6.911* CHOOSE(CONTROL!$C$27, $C$14, 100%, $E$14)</f>
        <v>6.9109999999999996</v>
      </c>
      <c r="I94" s="59">
        <f>6.9179 * CHOOSE(CONTROL!$C$27, $C$14, 100%, $E$14)</f>
        <v>6.9179000000000004</v>
      </c>
      <c r="J94" s="59">
        <f>6.911 * CHOOSE(CONTROL!$C$27, $C$14, 100%, $E$14)</f>
        <v>6.9109999999999996</v>
      </c>
      <c r="K94" s="59">
        <f>6.9179 * CHOOSE(CONTROL!$C$27, $C$14, 100%, $E$14)</f>
        <v>6.9179000000000004</v>
      </c>
      <c r="L94" s="59">
        <f>3.9044 * CHOOSE(CONTROL!$C$27, $C$14, 100%, $E$14)</f>
        <v>3.9043999999999999</v>
      </c>
      <c r="M94" s="59">
        <f>3.9113 * CHOOSE(CONTROL!$C$27, $C$14, 100%, $E$14)</f>
        <v>3.9113000000000002</v>
      </c>
      <c r="N94" s="59">
        <f>3.9044 * CHOOSE(CONTROL!$C$27, $C$14, 100%, $E$14)</f>
        <v>3.9043999999999999</v>
      </c>
      <c r="O94" s="59">
        <f>3.9113 * CHOOSE(CONTROL!$C$27, $C$14, 100%, $E$14)</f>
        <v>3.9113000000000002</v>
      </c>
      <c r="P94" s="4"/>
      <c r="Q94" s="4"/>
      <c r="R94" s="4"/>
    </row>
    <row r="95" spans="1:18" ht="15">
      <c r="A95" s="11">
        <v>43983</v>
      </c>
      <c r="B95" s="58">
        <f>3.1638 * CHOOSE(CONTROL!$C$27, $C$14, 100%, $E$14)</f>
        <v>3.1638000000000002</v>
      </c>
      <c r="C95" s="58">
        <f>3.1638 * CHOOSE(CONTROL!$C$27, $C$14, 100%, $E$14)</f>
        <v>3.1638000000000002</v>
      </c>
      <c r="D95" s="58">
        <f>3.1694 * CHOOSE(CONTROL!$C$27, $C$14, 100%, $E$14)</f>
        <v>3.1694</v>
      </c>
      <c r="E95" s="59">
        <f>3.8913 * CHOOSE(CONTROL!$C$27, $C$14, 100%, $E$14)</f>
        <v>3.8913000000000002</v>
      </c>
      <c r="F95" s="59">
        <f>3.8913 * CHOOSE(CONTROL!$C$27, $C$14, 100%, $E$14)</f>
        <v>3.8913000000000002</v>
      </c>
      <c r="G95" s="59">
        <f>3.8982 * CHOOSE(CONTROL!$C$27, $C$14, 100%, $E$14)</f>
        <v>3.8982000000000001</v>
      </c>
      <c r="H95" s="59">
        <f>6.9254* CHOOSE(CONTROL!$C$27, $C$14, 100%, $E$14)</f>
        <v>6.9253999999999998</v>
      </c>
      <c r="I95" s="59">
        <f>6.9323 * CHOOSE(CONTROL!$C$27, $C$14, 100%, $E$14)</f>
        <v>6.9322999999999997</v>
      </c>
      <c r="J95" s="59">
        <f>6.9254 * CHOOSE(CONTROL!$C$27, $C$14, 100%, $E$14)</f>
        <v>6.9253999999999998</v>
      </c>
      <c r="K95" s="59">
        <f>6.9323 * CHOOSE(CONTROL!$C$27, $C$14, 100%, $E$14)</f>
        <v>6.9322999999999997</v>
      </c>
      <c r="L95" s="59">
        <f>3.8913 * CHOOSE(CONTROL!$C$27, $C$14, 100%, $E$14)</f>
        <v>3.8913000000000002</v>
      </c>
      <c r="M95" s="59">
        <f>3.8982 * CHOOSE(CONTROL!$C$27, $C$14, 100%, $E$14)</f>
        <v>3.8982000000000001</v>
      </c>
      <c r="N95" s="59">
        <f>3.8913 * CHOOSE(CONTROL!$C$27, $C$14, 100%, $E$14)</f>
        <v>3.8913000000000002</v>
      </c>
      <c r="O95" s="59">
        <f>3.8982 * CHOOSE(CONTROL!$C$27, $C$14, 100%, $E$14)</f>
        <v>3.8982000000000001</v>
      </c>
      <c r="P95" s="4"/>
      <c r="Q95" s="4"/>
      <c r="R95" s="4"/>
    </row>
    <row r="96" spans="1:18" ht="15">
      <c r="A96" s="11">
        <v>44013</v>
      </c>
      <c r="B96" s="58">
        <f>3.2348 * CHOOSE(CONTROL!$C$27, $C$14, 100%, $E$14)</f>
        <v>3.2347999999999999</v>
      </c>
      <c r="C96" s="58">
        <f>3.2348 * CHOOSE(CONTROL!$C$27, $C$14, 100%, $E$14)</f>
        <v>3.2347999999999999</v>
      </c>
      <c r="D96" s="58">
        <f>3.2404 * CHOOSE(CONTROL!$C$27, $C$14, 100%, $E$14)</f>
        <v>3.2404000000000002</v>
      </c>
      <c r="E96" s="59">
        <f>3.6313 * CHOOSE(CONTROL!$C$27, $C$14, 100%, $E$14)</f>
        <v>3.6313</v>
      </c>
      <c r="F96" s="59">
        <f>3.6313 * CHOOSE(CONTROL!$C$27, $C$14, 100%, $E$14)</f>
        <v>3.6313</v>
      </c>
      <c r="G96" s="59">
        <f>3.6382 * CHOOSE(CONTROL!$C$27, $C$14, 100%, $E$14)</f>
        <v>3.6381999999999999</v>
      </c>
      <c r="H96" s="59">
        <f>6.9399* CHOOSE(CONTROL!$C$27, $C$14, 100%, $E$14)</f>
        <v>6.9398999999999997</v>
      </c>
      <c r="I96" s="59">
        <f>6.9468 * CHOOSE(CONTROL!$C$27, $C$14, 100%, $E$14)</f>
        <v>6.9467999999999996</v>
      </c>
      <c r="J96" s="59">
        <f>6.9399 * CHOOSE(CONTROL!$C$27, $C$14, 100%, $E$14)</f>
        <v>6.9398999999999997</v>
      </c>
      <c r="K96" s="59">
        <f>6.9468 * CHOOSE(CONTROL!$C$27, $C$14, 100%, $E$14)</f>
        <v>6.9467999999999996</v>
      </c>
      <c r="L96" s="59">
        <f>3.6313 * CHOOSE(CONTROL!$C$27, $C$14, 100%, $E$14)</f>
        <v>3.6313</v>
      </c>
      <c r="M96" s="59">
        <f>3.6382 * CHOOSE(CONTROL!$C$27, $C$14, 100%, $E$14)</f>
        <v>3.6381999999999999</v>
      </c>
      <c r="N96" s="59">
        <f>3.6313 * CHOOSE(CONTROL!$C$27, $C$14, 100%, $E$14)</f>
        <v>3.6313</v>
      </c>
      <c r="O96" s="59">
        <f>3.6382 * CHOOSE(CONTROL!$C$27, $C$14, 100%, $E$14)</f>
        <v>3.6381999999999999</v>
      </c>
      <c r="P96" s="4"/>
      <c r="Q96" s="4"/>
      <c r="R96" s="4"/>
    </row>
    <row r="97" spans="1:18" ht="15">
      <c r="A97" s="11">
        <v>44044</v>
      </c>
      <c r="B97" s="58">
        <f>3.2415 * CHOOSE(CONTROL!$C$27, $C$14, 100%, $E$14)</f>
        <v>3.2414999999999998</v>
      </c>
      <c r="C97" s="58">
        <f>3.2415 * CHOOSE(CONTROL!$C$27, $C$14, 100%, $E$14)</f>
        <v>3.2414999999999998</v>
      </c>
      <c r="D97" s="58">
        <f>3.2471 * CHOOSE(CONTROL!$C$27, $C$14, 100%, $E$14)</f>
        <v>3.2471000000000001</v>
      </c>
      <c r="E97" s="59">
        <f>3.5839 * CHOOSE(CONTROL!$C$27, $C$14, 100%, $E$14)</f>
        <v>3.5838999999999999</v>
      </c>
      <c r="F97" s="59">
        <f>3.5839 * CHOOSE(CONTROL!$C$27, $C$14, 100%, $E$14)</f>
        <v>3.5838999999999999</v>
      </c>
      <c r="G97" s="59">
        <f>3.5908 * CHOOSE(CONTROL!$C$27, $C$14, 100%, $E$14)</f>
        <v>3.5908000000000002</v>
      </c>
      <c r="H97" s="59">
        <f>6.9543* CHOOSE(CONTROL!$C$27, $C$14, 100%, $E$14)</f>
        <v>6.9542999999999999</v>
      </c>
      <c r="I97" s="59">
        <f>6.9612 * CHOOSE(CONTROL!$C$27, $C$14, 100%, $E$14)</f>
        <v>6.9611999999999998</v>
      </c>
      <c r="J97" s="59">
        <f>6.9543 * CHOOSE(CONTROL!$C$27, $C$14, 100%, $E$14)</f>
        <v>6.9542999999999999</v>
      </c>
      <c r="K97" s="59">
        <f>6.9612 * CHOOSE(CONTROL!$C$27, $C$14, 100%, $E$14)</f>
        <v>6.9611999999999998</v>
      </c>
      <c r="L97" s="59">
        <f>3.5839 * CHOOSE(CONTROL!$C$27, $C$14, 100%, $E$14)</f>
        <v>3.5838999999999999</v>
      </c>
      <c r="M97" s="59">
        <f>3.5908 * CHOOSE(CONTROL!$C$27, $C$14, 100%, $E$14)</f>
        <v>3.5908000000000002</v>
      </c>
      <c r="N97" s="59">
        <f>3.5839 * CHOOSE(CONTROL!$C$27, $C$14, 100%, $E$14)</f>
        <v>3.5838999999999999</v>
      </c>
      <c r="O97" s="59">
        <f>3.5908 * CHOOSE(CONTROL!$C$27, $C$14, 100%, $E$14)</f>
        <v>3.5908000000000002</v>
      </c>
      <c r="P97" s="4"/>
      <c r="Q97" s="4"/>
      <c r="R97" s="4"/>
    </row>
    <row r="98" spans="1:18" ht="15">
      <c r="A98" s="11">
        <v>44075</v>
      </c>
      <c r="B98" s="58">
        <f>3.2384 * CHOOSE(CONTROL!$C$27, $C$14, 100%, $E$14)</f>
        <v>3.2383999999999999</v>
      </c>
      <c r="C98" s="58">
        <f>3.2384 * CHOOSE(CONTROL!$C$27, $C$14, 100%, $E$14)</f>
        <v>3.2383999999999999</v>
      </c>
      <c r="D98" s="58">
        <f>3.2441 * CHOOSE(CONTROL!$C$27, $C$14, 100%, $E$14)</f>
        <v>3.2441</v>
      </c>
      <c r="E98" s="59">
        <f>3.576 * CHOOSE(CONTROL!$C$27, $C$14, 100%, $E$14)</f>
        <v>3.5760000000000001</v>
      </c>
      <c r="F98" s="59">
        <f>3.576 * CHOOSE(CONTROL!$C$27, $C$14, 100%, $E$14)</f>
        <v>3.5760000000000001</v>
      </c>
      <c r="G98" s="59">
        <f>3.5829 * CHOOSE(CONTROL!$C$27, $C$14, 100%, $E$14)</f>
        <v>3.5829</v>
      </c>
      <c r="H98" s="59">
        <f>6.9688* CHOOSE(CONTROL!$C$27, $C$14, 100%, $E$14)</f>
        <v>6.9687999999999999</v>
      </c>
      <c r="I98" s="59">
        <f>6.9757 * CHOOSE(CONTROL!$C$27, $C$14, 100%, $E$14)</f>
        <v>6.9756999999999998</v>
      </c>
      <c r="J98" s="59">
        <f>6.9688 * CHOOSE(CONTROL!$C$27, $C$14, 100%, $E$14)</f>
        <v>6.9687999999999999</v>
      </c>
      <c r="K98" s="59">
        <f>6.9757 * CHOOSE(CONTROL!$C$27, $C$14, 100%, $E$14)</f>
        <v>6.9756999999999998</v>
      </c>
      <c r="L98" s="59">
        <f>3.576 * CHOOSE(CONTROL!$C$27, $C$14, 100%, $E$14)</f>
        <v>3.5760000000000001</v>
      </c>
      <c r="M98" s="59">
        <f>3.5829 * CHOOSE(CONTROL!$C$27, $C$14, 100%, $E$14)</f>
        <v>3.5829</v>
      </c>
      <c r="N98" s="59">
        <f>3.576 * CHOOSE(CONTROL!$C$27, $C$14, 100%, $E$14)</f>
        <v>3.5760000000000001</v>
      </c>
      <c r="O98" s="59">
        <f>3.5829 * CHOOSE(CONTROL!$C$27, $C$14, 100%, $E$14)</f>
        <v>3.5829</v>
      </c>
      <c r="P98" s="4"/>
      <c r="Q98" s="4"/>
      <c r="R98" s="4"/>
    </row>
    <row r="99" spans="1:18" ht="15">
      <c r="A99" s="11">
        <v>44105</v>
      </c>
      <c r="B99" s="58">
        <f>3.2304 * CHOOSE(CONTROL!$C$27, $C$14, 100%, $E$14)</f>
        <v>3.2303999999999999</v>
      </c>
      <c r="C99" s="58">
        <f>3.2304 * CHOOSE(CONTROL!$C$27, $C$14, 100%, $E$14)</f>
        <v>3.2303999999999999</v>
      </c>
      <c r="D99" s="58">
        <f>3.2344 * CHOOSE(CONTROL!$C$27, $C$14, 100%, $E$14)</f>
        <v>3.2343999999999999</v>
      </c>
      <c r="E99" s="59">
        <f>3.5857 * CHOOSE(CONTROL!$C$27, $C$14, 100%, $E$14)</f>
        <v>3.5857000000000001</v>
      </c>
      <c r="F99" s="59">
        <f>3.5857 * CHOOSE(CONTROL!$C$27, $C$14, 100%, $E$14)</f>
        <v>3.5857000000000001</v>
      </c>
      <c r="G99" s="59">
        <f>3.5906 * CHOOSE(CONTROL!$C$27, $C$14, 100%, $E$14)</f>
        <v>3.5905999999999998</v>
      </c>
      <c r="H99" s="59">
        <f>6.9833* CHOOSE(CONTROL!$C$27, $C$14, 100%, $E$14)</f>
        <v>6.9832999999999998</v>
      </c>
      <c r="I99" s="59">
        <f>6.9883 * CHOOSE(CONTROL!$C$27, $C$14, 100%, $E$14)</f>
        <v>6.9882999999999997</v>
      </c>
      <c r="J99" s="59">
        <f>6.9833 * CHOOSE(CONTROL!$C$27, $C$14, 100%, $E$14)</f>
        <v>6.9832999999999998</v>
      </c>
      <c r="K99" s="59">
        <f>6.9883 * CHOOSE(CONTROL!$C$27, $C$14, 100%, $E$14)</f>
        <v>6.9882999999999997</v>
      </c>
      <c r="L99" s="59">
        <f>3.5857 * CHOOSE(CONTROL!$C$27, $C$14, 100%, $E$14)</f>
        <v>3.5857000000000001</v>
      </c>
      <c r="M99" s="59">
        <f>3.5906 * CHOOSE(CONTROL!$C$27, $C$14, 100%, $E$14)</f>
        <v>3.5905999999999998</v>
      </c>
      <c r="N99" s="59">
        <f>3.5857 * CHOOSE(CONTROL!$C$27, $C$14, 100%, $E$14)</f>
        <v>3.5857000000000001</v>
      </c>
      <c r="O99" s="59">
        <f>3.5906 * CHOOSE(CONTROL!$C$27, $C$14, 100%, $E$14)</f>
        <v>3.5905999999999998</v>
      </c>
      <c r="P99" s="4"/>
      <c r="Q99" s="4"/>
      <c r="R99" s="4"/>
    </row>
    <row r="100" spans="1:18" ht="15">
      <c r="A100" s="11">
        <v>44136</v>
      </c>
      <c r="B100" s="58">
        <f>3.2335 * CHOOSE(CONTROL!$C$27, $C$14, 100%, $E$14)</f>
        <v>3.2334999999999998</v>
      </c>
      <c r="C100" s="58">
        <f>3.2335 * CHOOSE(CONTROL!$C$27, $C$14, 100%, $E$14)</f>
        <v>3.2334999999999998</v>
      </c>
      <c r="D100" s="58">
        <f>3.2375 * CHOOSE(CONTROL!$C$27, $C$14, 100%, $E$14)</f>
        <v>3.2374999999999998</v>
      </c>
      <c r="E100" s="59">
        <f>3.5994 * CHOOSE(CONTROL!$C$27, $C$14, 100%, $E$14)</f>
        <v>3.5994000000000002</v>
      </c>
      <c r="F100" s="59">
        <f>3.5994 * CHOOSE(CONTROL!$C$27, $C$14, 100%, $E$14)</f>
        <v>3.5994000000000002</v>
      </c>
      <c r="G100" s="59">
        <f>3.6043 * CHOOSE(CONTROL!$C$27, $C$14, 100%, $E$14)</f>
        <v>3.6042999999999998</v>
      </c>
      <c r="H100" s="59">
        <f>6.9979* CHOOSE(CONTROL!$C$27, $C$14, 100%, $E$14)</f>
        <v>6.9978999999999996</v>
      </c>
      <c r="I100" s="59">
        <f>7.0028 * CHOOSE(CONTROL!$C$27, $C$14, 100%, $E$14)</f>
        <v>7.0027999999999997</v>
      </c>
      <c r="J100" s="59">
        <f>6.9979 * CHOOSE(CONTROL!$C$27, $C$14, 100%, $E$14)</f>
        <v>6.9978999999999996</v>
      </c>
      <c r="K100" s="59">
        <f>7.0028 * CHOOSE(CONTROL!$C$27, $C$14, 100%, $E$14)</f>
        <v>7.0027999999999997</v>
      </c>
      <c r="L100" s="59">
        <f>3.5994 * CHOOSE(CONTROL!$C$27, $C$14, 100%, $E$14)</f>
        <v>3.5994000000000002</v>
      </c>
      <c r="M100" s="59">
        <f>3.6043 * CHOOSE(CONTROL!$C$27, $C$14, 100%, $E$14)</f>
        <v>3.6042999999999998</v>
      </c>
      <c r="N100" s="59">
        <f>3.5994 * CHOOSE(CONTROL!$C$27, $C$14, 100%, $E$14)</f>
        <v>3.5994000000000002</v>
      </c>
      <c r="O100" s="59">
        <f>3.6043 * CHOOSE(CONTROL!$C$27, $C$14, 100%, $E$14)</f>
        <v>3.6042999999999998</v>
      </c>
      <c r="P100" s="4"/>
      <c r="Q100" s="4"/>
      <c r="R100" s="4"/>
    </row>
    <row r="101" spans="1:18" ht="15">
      <c r="A101" s="11">
        <v>44166</v>
      </c>
      <c r="B101" s="58">
        <f>3.2335 * CHOOSE(CONTROL!$C$27, $C$14, 100%, $E$14)</f>
        <v>3.2334999999999998</v>
      </c>
      <c r="C101" s="58">
        <f>3.2335 * CHOOSE(CONTROL!$C$27, $C$14, 100%, $E$14)</f>
        <v>3.2334999999999998</v>
      </c>
      <c r="D101" s="58">
        <f>3.2375 * CHOOSE(CONTROL!$C$27, $C$14, 100%, $E$14)</f>
        <v>3.2374999999999998</v>
      </c>
      <c r="E101" s="59">
        <f>3.5704 * CHOOSE(CONTROL!$C$27, $C$14, 100%, $E$14)</f>
        <v>3.5703999999999998</v>
      </c>
      <c r="F101" s="59">
        <f>3.5704 * CHOOSE(CONTROL!$C$27, $C$14, 100%, $E$14)</f>
        <v>3.5703999999999998</v>
      </c>
      <c r="G101" s="59">
        <f>3.5754 * CHOOSE(CONTROL!$C$27, $C$14, 100%, $E$14)</f>
        <v>3.5754000000000001</v>
      </c>
      <c r="H101" s="59">
        <f>7.0125* CHOOSE(CONTROL!$C$27, $C$14, 100%, $E$14)</f>
        <v>7.0125000000000002</v>
      </c>
      <c r="I101" s="59">
        <f>7.0174 * CHOOSE(CONTROL!$C$27, $C$14, 100%, $E$14)</f>
        <v>7.0174000000000003</v>
      </c>
      <c r="J101" s="59">
        <f>7.0125 * CHOOSE(CONTROL!$C$27, $C$14, 100%, $E$14)</f>
        <v>7.0125000000000002</v>
      </c>
      <c r="K101" s="59">
        <f>7.0174 * CHOOSE(CONTROL!$C$27, $C$14, 100%, $E$14)</f>
        <v>7.0174000000000003</v>
      </c>
      <c r="L101" s="59">
        <f>3.5704 * CHOOSE(CONTROL!$C$27, $C$14, 100%, $E$14)</f>
        <v>3.5703999999999998</v>
      </c>
      <c r="M101" s="59">
        <f>3.5754 * CHOOSE(CONTROL!$C$27, $C$14, 100%, $E$14)</f>
        <v>3.5754000000000001</v>
      </c>
      <c r="N101" s="59">
        <f>3.5704 * CHOOSE(CONTROL!$C$27, $C$14, 100%, $E$14)</f>
        <v>3.5703999999999998</v>
      </c>
      <c r="O101" s="59">
        <f>3.5754 * CHOOSE(CONTROL!$C$27, $C$14, 100%, $E$14)</f>
        <v>3.5754000000000001</v>
      </c>
      <c r="P101" s="4"/>
      <c r="Q101" s="4"/>
      <c r="R101" s="4"/>
    </row>
    <row r="102" spans="1:18" ht="15">
      <c r="A102" s="11">
        <v>44197</v>
      </c>
      <c r="B102" s="58">
        <f>3.2543 * CHOOSE(CONTROL!$C$27, $C$14, 100%, $E$14)</f>
        <v>3.2543000000000002</v>
      </c>
      <c r="C102" s="58">
        <f>3.2543 * CHOOSE(CONTROL!$C$27, $C$14, 100%, $E$14)</f>
        <v>3.2543000000000002</v>
      </c>
      <c r="D102" s="58">
        <f>3.2583 * CHOOSE(CONTROL!$C$27, $C$14, 100%, $E$14)</f>
        <v>3.2583000000000002</v>
      </c>
      <c r="E102" s="59">
        <f>3.6909 * CHOOSE(CONTROL!$C$27, $C$14, 100%, $E$14)</f>
        <v>3.6909000000000001</v>
      </c>
      <c r="F102" s="59">
        <f>3.6909 * CHOOSE(CONTROL!$C$27, $C$14, 100%, $E$14)</f>
        <v>3.6909000000000001</v>
      </c>
      <c r="G102" s="59">
        <f>3.6958 * CHOOSE(CONTROL!$C$27, $C$14, 100%, $E$14)</f>
        <v>3.6958000000000002</v>
      </c>
      <c r="H102" s="59">
        <f>7.0271* CHOOSE(CONTROL!$C$27, $C$14, 100%, $E$14)</f>
        <v>7.0270999999999999</v>
      </c>
      <c r="I102" s="59">
        <f>7.032 * CHOOSE(CONTROL!$C$27, $C$14, 100%, $E$14)</f>
        <v>7.032</v>
      </c>
      <c r="J102" s="59">
        <f>7.0271 * CHOOSE(CONTROL!$C$27, $C$14, 100%, $E$14)</f>
        <v>7.0270999999999999</v>
      </c>
      <c r="K102" s="59">
        <f>7.032 * CHOOSE(CONTROL!$C$27, $C$14, 100%, $E$14)</f>
        <v>7.032</v>
      </c>
      <c r="L102" s="59">
        <f>3.6909 * CHOOSE(CONTROL!$C$27, $C$14, 100%, $E$14)</f>
        <v>3.6909000000000001</v>
      </c>
      <c r="M102" s="59">
        <f>3.6958 * CHOOSE(CONTROL!$C$27, $C$14, 100%, $E$14)</f>
        <v>3.6958000000000002</v>
      </c>
      <c r="N102" s="59">
        <f>3.6909 * CHOOSE(CONTROL!$C$27, $C$14, 100%, $E$14)</f>
        <v>3.6909000000000001</v>
      </c>
      <c r="O102" s="59">
        <f>3.6958 * CHOOSE(CONTROL!$C$27, $C$14, 100%, $E$14)</f>
        <v>3.6958000000000002</v>
      </c>
      <c r="P102" s="4"/>
      <c r="Q102" s="4"/>
      <c r="R102" s="4"/>
    </row>
    <row r="103" spans="1:18" ht="15">
      <c r="A103" s="11">
        <v>44228</v>
      </c>
      <c r="B103" s="58">
        <f>3.2513 * CHOOSE(CONTROL!$C$27, $C$14, 100%, $E$14)</f>
        <v>3.2513000000000001</v>
      </c>
      <c r="C103" s="58">
        <f>3.2513 * CHOOSE(CONTROL!$C$27, $C$14, 100%, $E$14)</f>
        <v>3.2513000000000001</v>
      </c>
      <c r="D103" s="58">
        <f>3.2553 * CHOOSE(CONTROL!$C$27, $C$14, 100%, $E$14)</f>
        <v>3.2553000000000001</v>
      </c>
      <c r="E103" s="59">
        <f>3.6298 * CHOOSE(CONTROL!$C$27, $C$14, 100%, $E$14)</f>
        <v>3.6297999999999999</v>
      </c>
      <c r="F103" s="59">
        <f>3.6298 * CHOOSE(CONTROL!$C$27, $C$14, 100%, $E$14)</f>
        <v>3.6297999999999999</v>
      </c>
      <c r="G103" s="59">
        <f>3.6347 * CHOOSE(CONTROL!$C$27, $C$14, 100%, $E$14)</f>
        <v>3.6347</v>
      </c>
      <c r="H103" s="59">
        <f>7.0417* CHOOSE(CONTROL!$C$27, $C$14, 100%, $E$14)</f>
        <v>7.0416999999999996</v>
      </c>
      <c r="I103" s="59">
        <f>7.0466 * CHOOSE(CONTROL!$C$27, $C$14, 100%, $E$14)</f>
        <v>7.0465999999999998</v>
      </c>
      <c r="J103" s="59">
        <f>7.0417 * CHOOSE(CONTROL!$C$27, $C$14, 100%, $E$14)</f>
        <v>7.0416999999999996</v>
      </c>
      <c r="K103" s="59">
        <f>7.0466 * CHOOSE(CONTROL!$C$27, $C$14, 100%, $E$14)</f>
        <v>7.0465999999999998</v>
      </c>
      <c r="L103" s="59">
        <f>3.6298 * CHOOSE(CONTROL!$C$27, $C$14, 100%, $E$14)</f>
        <v>3.6297999999999999</v>
      </c>
      <c r="M103" s="59">
        <f>3.6347 * CHOOSE(CONTROL!$C$27, $C$14, 100%, $E$14)</f>
        <v>3.6347</v>
      </c>
      <c r="N103" s="59">
        <f>3.6298 * CHOOSE(CONTROL!$C$27, $C$14, 100%, $E$14)</f>
        <v>3.6297999999999999</v>
      </c>
      <c r="O103" s="59">
        <f>3.6347 * CHOOSE(CONTROL!$C$27, $C$14, 100%, $E$14)</f>
        <v>3.6347</v>
      </c>
      <c r="P103" s="4"/>
      <c r="Q103" s="4"/>
      <c r="R103" s="4"/>
    </row>
    <row r="104" spans="1:18" ht="15">
      <c r="A104" s="11">
        <v>44256</v>
      </c>
      <c r="B104" s="58">
        <f>3.2482 * CHOOSE(CONTROL!$C$27, $C$14, 100%, $E$14)</f>
        <v>3.2482000000000002</v>
      </c>
      <c r="C104" s="58">
        <f>3.2482 * CHOOSE(CONTROL!$C$27, $C$14, 100%, $E$14)</f>
        <v>3.2482000000000002</v>
      </c>
      <c r="D104" s="58">
        <f>3.2522 * CHOOSE(CONTROL!$C$27, $C$14, 100%, $E$14)</f>
        <v>3.2522000000000002</v>
      </c>
      <c r="E104" s="59">
        <f>3.6741 * CHOOSE(CONTROL!$C$27, $C$14, 100%, $E$14)</f>
        <v>3.6741000000000001</v>
      </c>
      <c r="F104" s="59">
        <f>3.6741 * CHOOSE(CONTROL!$C$27, $C$14, 100%, $E$14)</f>
        <v>3.6741000000000001</v>
      </c>
      <c r="G104" s="59">
        <f>3.6791 * CHOOSE(CONTROL!$C$27, $C$14, 100%, $E$14)</f>
        <v>3.6791</v>
      </c>
      <c r="H104" s="59">
        <f>7.0564* CHOOSE(CONTROL!$C$27, $C$14, 100%, $E$14)</f>
        <v>7.0564</v>
      </c>
      <c r="I104" s="59">
        <f>7.0613 * CHOOSE(CONTROL!$C$27, $C$14, 100%, $E$14)</f>
        <v>7.0613000000000001</v>
      </c>
      <c r="J104" s="59">
        <f>7.0564 * CHOOSE(CONTROL!$C$27, $C$14, 100%, $E$14)</f>
        <v>7.0564</v>
      </c>
      <c r="K104" s="59">
        <f>7.0613 * CHOOSE(CONTROL!$C$27, $C$14, 100%, $E$14)</f>
        <v>7.0613000000000001</v>
      </c>
      <c r="L104" s="59">
        <f>3.6741 * CHOOSE(CONTROL!$C$27, $C$14, 100%, $E$14)</f>
        <v>3.6741000000000001</v>
      </c>
      <c r="M104" s="59">
        <f>3.6791 * CHOOSE(CONTROL!$C$27, $C$14, 100%, $E$14)</f>
        <v>3.6791</v>
      </c>
      <c r="N104" s="59">
        <f>3.6741 * CHOOSE(CONTROL!$C$27, $C$14, 100%, $E$14)</f>
        <v>3.6741000000000001</v>
      </c>
      <c r="O104" s="59">
        <f>3.6791 * CHOOSE(CONTROL!$C$27, $C$14, 100%, $E$14)</f>
        <v>3.6791</v>
      </c>
      <c r="P104" s="4"/>
      <c r="Q104" s="4"/>
      <c r="R104" s="4"/>
    </row>
    <row r="105" spans="1:18" ht="15">
      <c r="A105" s="11">
        <v>44287</v>
      </c>
      <c r="B105" s="58">
        <f>3.2451 * CHOOSE(CONTROL!$C$27, $C$14, 100%, $E$14)</f>
        <v>3.2450999999999999</v>
      </c>
      <c r="C105" s="58">
        <f>3.2451 * CHOOSE(CONTROL!$C$27, $C$14, 100%, $E$14)</f>
        <v>3.2450999999999999</v>
      </c>
      <c r="D105" s="58">
        <f>3.2491 * CHOOSE(CONTROL!$C$27, $C$14, 100%, $E$14)</f>
        <v>3.2490999999999999</v>
      </c>
      <c r="E105" s="59">
        <f>3.7198 * CHOOSE(CONTROL!$C$27, $C$14, 100%, $E$14)</f>
        <v>3.7198000000000002</v>
      </c>
      <c r="F105" s="59">
        <f>3.7198 * CHOOSE(CONTROL!$C$27, $C$14, 100%, $E$14)</f>
        <v>3.7198000000000002</v>
      </c>
      <c r="G105" s="59">
        <f>3.7247 * CHOOSE(CONTROL!$C$27, $C$14, 100%, $E$14)</f>
        <v>3.7246999999999999</v>
      </c>
      <c r="H105" s="59">
        <f>7.0711* CHOOSE(CONTROL!$C$27, $C$14, 100%, $E$14)</f>
        <v>7.0711000000000004</v>
      </c>
      <c r="I105" s="59">
        <f>7.076 * CHOOSE(CONTROL!$C$27, $C$14, 100%, $E$14)</f>
        <v>7.0759999999999996</v>
      </c>
      <c r="J105" s="59">
        <f>7.0711 * CHOOSE(CONTROL!$C$27, $C$14, 100%, $E$14)</f>
        <v>7.0711000000000004</v>
      </c>
      <c r="K105" s="59">
        <f>7.076 * CHOOSE(CONTROL!$C$27, $C$14, 100%, $E$14)</f>
        <v>7.0759999999999996</v>
      </c>
      <c r="L105" s="59">
        <f>3.7198 * CHOOSE(CONTROL!$C$27, $C$14, 100%, $E$14)</f>
        <v>3.7198000000000002</v>
      </c>
      <c r="M105" s="59">
        <f>3.7247 * CHOOSE(CONTROL!$C$27, $C$14, 100%, $E$14)</f>
        <v>3.7246999999999999</v>
      </c>
      <c r="N105" s="59">
        <f>3.7198 * CHOOSE(CONTROL!$C$27, $C$14, 100%, $E$14)</f>
        <v>3.7198000000000002</v>
      </c>
      <c r="O105" s="59">
        <f>3.7247 * CHOOSE(CONTROL!$C$27, $C$14, 100%, $E$14)</f>
        <v>3.7246999999999999</v>
      </c>
      <c r="P105" s="4"/>
      <c r="Q105" s="4"/>
      <c r="R105" s="4"/>
    </row>
    <row r="106" spans="1:18" ht="15">
      <c r="A106" s="11">
        <v>44317</v>
      </c>
      <c r="B106" s="58">
        <f>3.2451 * CHOOSE(CONTROL!$C$27, $C$14, 100%, $E$14)</f>
        <v>3.2450999999999999</v>
      </c>
      <c r="C106" s="58">
        <f>3.2451 * CHOOSE(CONTROL!$C$27, $C$14, 100%, $E$14)</f>
        <v>3.2450999999999999</v>
      </c>
      <c r="D106" s="58">
        <f>3.2507 * CHOOSE(CONTROL!$C$27, $C$14, 100%, $E$14)</f>
        <v>3.2507000000000001</v>
      </c>
      <c r="E106" s="59">
        <f>3.7385 * CHOOSE(CONTROL!$C$27, $C$14, 100%, $E$14)</f>
        <v>3.7385000000000002</v>
      </c>
      <c r="F106" s="59">
        <f>3.7385 * CHOOSE(CONTROL!$C$27, $C$14, 100%, $E$14)</f>
        <v>3.7385000000000002</v>
      </c>
      <c r="G106" s="59">
        <f>3.7454 * CHOOSE(CONTROL!$C$27, $C$14, 100%, $E$14)</f>
        <v>3.7454000000000001</v>
      </c>
      <c r="H106" s="59">
        <f>7.0858* CHOOSE(CONTROL!$C$27, $C$14, 100%, $E$14)</f>
        <v>7.0857999999999999</v>
      </c>
      <c r="I106" s="59">
        <f>7.0927 * CHOOSE(CONTROL!$C$27, $C$14, 100%, $E$14)</f>
        <v>7.0926999999999998</v>
      </c>
      <c r="J106" s="59">
        <f>7.0858 * CHOOSE(CONTROL!$C$27, $C$14, 100%, $E$14)</f>
        <v>7.0857999999999999</v>
      </c>
      <c r="K106" s="59">
        <f>7.0927 * CHOOSE(CONTROL!$C$27, $C$14, 100%, $E$14)</f>
        <v>7.0926999999999998</v>
      </c>
      <c r="L106" s="59">
        <f>3.7385 * CHOOSE(CONTROL!$C$27, $C$14, 100%, $E$14)</f>
        <v>3.7385000000000002</v>
      </c>
      <c r="M106" s="59">
        <f>3.7454 * CHOOSE(CONTROL!$C$27, $C$14, 100%, $E$14)</f>
        <v>3.7454000000000001</v>
      </c>
      <c r="N106" s="59">
        <f>3.7385 * CHOOSE(CONTROL!$C$27, $C$14, 100%, $E$14)</f>
        <v>3.7385000000000002</v>
      </c>
      <c r="O106" s="59">
        <f>3.7454 * CHOOSE(CONTROL!$C$27, $C$14, 100%, $E$14)</f>
        <v>3.7454000000000001</v>
      </c>
      <c r="P106" s="4"/>
      <c r="Q106" s="4"/>
      <c r="R106" s="4"/>
    </row>
    <row r="107" spans="1:18" ht="15">
      <c r="A107" s="11">
        <v>44348</v>
      </c>
      <c r="B107" s="58">
        <f>3.2512 * CHOOSE(CONTROL!$C$27, $C$14, 100%, $E$14)</f>
        <v>3.2511999999999999</v>
      </c>
      <c r="C107" s="58">
        <f>3.2512 * CHOOSE(CONTROL!$C$27, $C$14, 100%, $E$14)</f>
        <v>3.2511999999999999</v>
      </c>
      <c r="D107" s="58">
        <f>3.2568 * CHOOSE(CONTROL!$C$27, $C$14, 100%, $E$14)</f>
        <v>3.2568000000000001</v>
      </c>
      <c r="E107" s="59">
        <f>3.724 * CHOOSE(CONTROL!$C$27, $C$14, 100%, $E$14)</f>
        <v>3.7240000000000002</v>
      </c>
      <c r="F107" s="59">
        <f>3.724 * CHOOSE(CONTROL!$C$27, $C$14, 100%, $E$14)</f>
        <v>3.7240000000000002</v>
      </c>
      <c r="G107" s="59">
        <f>3.7309 * CHOOSE(CONTROL!$C$27, $C$14, 100%, $E$14)</f>
        <v>3.7309000000000001</v>
      </c>
      <c r="H107" s="59">
        <f>7.1006* CHOOSE(CONTROL!$C$27, $C$14, 100%, $E$14)</f>
        <v>7.1006</v>
      </c>
      <c r="I107" s="59">
        <f>7.1075 * CHOOSE(CONTROL!$C$27, $C$14, 100%, $E$14)</f>
        <v>7.1074999999999999</v>
      </c>
      <c r="J107" s="59">
        <f>7.1006 * CHOOSE(CONTROL!$C$27, $C$14, 100%, $E$14)</f>
        <v>7.1006</v>
      </c>
      <c r="K107" s="59">
        <f>7.1075 * CHOOSE(CONTROL!$C$27, $C$14, 100%, $E$14)</f>
        <v>7.1074999999999999</v>
      </c>
      <c r="L107" s="59">
        <f>3.724 * CHOOSE(CONTROL!$C$27, $C$14, 100%, $E$14)</f>
        <v>3.7240000000000002</v>
      </c>
      <c r="M107" s="59">
        <f>3.7309 * CHOOSE(CONTROL!$C$27, $C$14, 100%, $E$14)</f>
        <v>3.7309000000000001</v>
      </c>
      <c r="N107" s="59">
        <f>3.724 * CHOOSE(CONTROL!$C$27, $C$14, 100%, $E$14)</f>
        <v>3.7240000000000002</v>
      </c>
      <c r="O107" s="59">
        <f>3.7309 * CHOOSE(CONTROL!$C$27, $C$14, 100%, $E$14)</f>
        <v>3.7309000000000001</v>
      </c>
      <c r="P107" s="4"/>
      <c r="Q107" s="4"/>
      <c r="R107" s="4"/>
    </row>
    <row r="108" spans="1:18" ht="15">
      <c r="A108" s="11">
        <v>44378</v>
      </c>
      <c r="B108" s="58">
        <f>3.2867 * CHOOSE(CONTROL!$C$27, $C$14, 100%, $E$14)</f>
        <v>3.2867000000000002</v>
      </c>
      <c r="C108" s="58">
        <f>3.2867 * CHOOSE(CONTROL!$C$27, $C$14, 100%, $E$14)</f>
        <v>3.2867000000000002</v>
      </c>
      <c r="D108" s="58">
        <f>3.2923 * CHOOSE(CONTROL!$C$27, $C$14, 100%, $E$14)</f>
        <v>3.2923</v>
      </c>
      <c r="E108" s="59">
        <f>3.8884 * CHOOSE(CONTROL!$C$27, $C$14, 100%, $E$14)</f>
        <v>3.8883999999999999</v>
      </c>
      <c r="F108" s="59">
        <f>3.8884 * CHOOSE(CONTROL!$C$27, $C$14, 100%, $E$14)</f>
        <v>3.8883999999999999</v>
      </c>
      <c r="G108" s="59">
        <f>3.8953 * CHOOSE(CONTROL!$C$27, $C$14, 100%, $E$14)</f>
        <v>3.8953000000000002</v>
      </c>
      <c r="H108" s="59">
        <f>7.1154* CHOOSE(CONTROL!$C$27, $C$14, 100%, $E$14)</f>
        <v>7.1154000000000002</v>
      </c>
      <c r="I108" s="59">
        <f>7.1223 * CHOOSE(CONTROL!$C$27, $C$14, 100%, $E$14)</f>
        <v>7.1223000000000001</v>
      </c>
      <c r="J108" s="59">
        <f>7.1154 * CHOOSE(CONTROL!$C$27, $C$14, 100%, $E$14)</f>
        <v>7.1154000000000002</v>
      </c>
      <c r="K108" s="59">
        <f>7.1223 * CHOOSE(CONTROL!$C$27, $C$14, 100%, $E$14)</f>
        <v>7.1223000000000001</v>
      </c>
      <c r="L108" s="59">
        <f>3.8884 * CHOOSE(CONTROL!$C$27, $C$14, 100%, $E$14)</f>
        <v>3.8883999999999999</v>
      </c>
      <c r="M108" s="59">
        <f>3.8953 * CHOOSE(CONTROL!$C$27, $C$14, 100%, $E$14)</f>
        <v>3.8953000000000002</v>
      </c>
      <c r="N108" s="59">
        <f>3.8884 * CHOOSE(CONTROL!$C$27, $C$14, 100%, $E$14)</f>
        <v>3.8883999999999999</v>
      </c>
      <c r="O108" s="59">
        <f>3.8953 * CHOOSE(CONTROL!$C$27, $C$14, 100%, $E$14)</f>
        <v>3.8953000000000002</v>
      </c>
      <c r="P108" s="4"/>
      <c r="Q108" s="4"/>
      <c r="R108" s="4"/>
    </row>
    <row r="109" spans="1:18" ht="15">
      <c r="A109" s="11">
        <v>44409</v>
      </c>
      <c r="B109" s="58">
        <f>3.2934 * CHOOSE(CONTROL!$C$27, $C$14, 100%, $E$14)</f>
        <v>3.2934000000000001</v>
      </c>
      <c r="C109" s="58">
        <f>3.2934 * CHOOSE(CONTROL!$C$27, $C$14, 100%, $E$14)</f>
        <v>3.2934000000000001</v>
      </c>
      <c r="D109" s="58">
        <f>3.299 * CHOOSE(CONTROL!$C$27, $C$14, 100%, $E$14)</f>
        <v>3.2989999999999999</v>
      </c>
      <c r="E109" s="59">
        <f>3.8369 * CHOOSE(CONTROL!$C$27, $C$14, 100%, $E$14)</f>
        <v>3.8369</v>
      </c>
      <c r="F109" s="59">
        <f>3.8369 * CHOOSE(CONTROL!$C$27, $C$14, 100%, $E$14)</f>
        <v>3.8369</v>
      </c>
      <c r="G109" s="59">
        <f>3.8438 * CHOOSE(CONTROL!$C$27, $C$14, 100%, $E$14)</f>
        <v>3.8437999999999999</v>
      </c>
      <c r="H109" s="59">
        <f>7.1302* CHOOSE(CONTROL!$C$27, $C$14, 100%, $E$14)</f>
        <v>7.1302000000000003</v>
      </c>
      <c r="I109" s="59">
        <f>7.1371 * CHOOSE(CONTROL!$C$27, $C$14, 100%, $E$14)</f>
        <v>7.1371000000000002</v>
      </c>
      <c r="J109" s="59">
        <f>7.1302 * CHOOSE(CONTROL!$C$27, $C$14, 100%, $E$14)</f>
        <v>7.1302000000000003</v>
      </c>
      <c r="K109" s="59">
        <f>7.1371 * CHOOSE(CONTROL!$C$27, $C$14, 100%, $E$14)</f>
        <v>7.1371000000000002</v>
      </c>
      <c r="L109" s="59">
        <f>3.8369 * CHOOSE(CONTROL!$C$27, $C$14, 100%, $E$14)</f>
        <v>3.8369</v>
      </c>
      <c r="M109" s="59">
        <f>3.8438 * CHOOSE(CONTROL!$C$27, $C$14, 100%, $E$14)</f>
        <v>3.8437999999999999</v>
      </c>
      <c r="N109" s="59">
        <f>3.8369 * CHOOSE(CONTROL!$C$27, $C$14, 100%, $E$14)</f>
        <v>3.8369</v>
      </c>
      <c r="O109" s="59">
        <f>3.8438 * CHOOSE(CONTROL!$C$27, $C$14, 100%, $E$14)</f>
        <v>3.8437999999999999</v>
      </c>
      <c r="P109" s="4"/>
      <c r="Q109" s="4"/>
      <c r="R109" s="4"/>
    </row>
    <row r="110" spans="1:18" ht="15">
      <c r="A110" s="11">
        <v>44440</v>
      </c>
      <c r="B110" s="58">
        <f>3.2903 * CHOOSE(CONTROL!$C$27, $C$14, 100%, $E$14)</f>
        <v>3.2902999999999998</v>
      </c>
      <c r="C110" s="58">
        <f>3.2903 * CHOOSE(CONTROL!$C$27, $C$14, 100%, $E$14)</f>
        <v>3.2902999999999998</v>
      </c>
      <c r="D110" s="58">
        <f>3.296 * CHOOSE(CONTROL!$C$27, $C$14, 100%, $E$14)</f>
        <v>3.2959999999999998</v>
      </c>
      <c r="E110" s="59">
        <f>3.8285 * CHOOSE(CONTROL!$C$27, $C$14, 100%, $E$14)</f>
        <v>3.8285</v>
      </c>
      <c r="F110" s="59">
        <f>3.8285 * CHOOSE(CONTROL!$C$27, $C$14, 100%, $E$14)</f>
        <v>3.8285</v>
      </c>
      <c r="G110" s="59">
        <f>3.8354 * CHOOSE(CONTROL!$C$27, $C$14, 100%, $E$14)</f>
        <v>3.8353999999999999</v>
      </c>
      <c r="H110" s="59">
        <f>7.145* CHOOSE(CONTROL!$C$27, $C$14, 100%, $E$14)</f>
        <v>7.1449999999999996</v>
      </c>
      <c r="I110" s="59">
        <f>7.1519 * CHOOSE(CONTROL!$C$27, $C$14, 100%, $E$14)</f>
        <v>7.1519000000000004</v>
      </c>
      <c r="J110" s="59">
        <f>7.145 * CHOOSE(CONTROL!$C$27, $C$14, 100%, $E$14)</f>
        <v>7.1449999999999996</v>
      </c>
      <c r="K110" s="59">
        <f>7.1519 * CHOOSE(CONTROL!$C$27, $C$14, 100%, $E$14)</f>
        <v>7.1519000000000004</v>
      </c>
      <c r="L110" s="59">
        <f>3.8285 * CHOOSE(CONTROL!$C$27, $C$14, 100%, $E$14)</f>
        <v>3.8285</v>
      </c>
      <c r="M110" s="59">
        <f>3.8354 * CHOOSE(CONTROL!$C$27, $C$14, 100%, $E$14)</f>
        <v>3.8353999999999999</v>
      </c>
      <c r="N110" s="59">
        <f>3.8285 * CHOOSE(CONTROL!$C$27, $C$14, 100%, $E$14)</f>
        <v>3.8285</v>
      </c>
      <c r="O110" s="59">
        <f>3.8354 * CHOOSE(CONTROL!$C$27, $C$14, 100%, $E$14)</f>
        <v>3.8353999999999999</v>
      </c>
      <c r="P110" s="4"/>
      <c r="Q110" s="4"/>
      <c r="R110" s="4"/>
    </row>
    <row r="111" spans="1:18" ht="15">
      <c r="A111" s="11">
        <v>44470</v>
      </c>
      <c r="B111" s="58">
        <f>3.2826 * CHOOSE(CONTROL!$C$27, $C$14, 100%, $E$14)</f>
        <v>3.2826</v>
      </c>
      <c r="C111" s="58">
        <f>3.2826 * CHOOSE(CONTROL!$C$27, $C$14, 100%, $E$14)</f>
        <v>3.2826</v>
      </c>
      <c r="D111" s="58">
        <f>3.2866 * CHOOSE(CONTROL!$C$27, $C$14, 100%, $E$14)</f>
        <v>3.2866</v>
      </c>
      <c r="E111" s="59">
        <f>3.8401 * CHOOSE(CONTROL!$C$27, $C$14, 100%, $E$14)</f>
        <v>3.8401000000000001</v>
      </c>
      <c r="F111" s="59">
        <f>3.8401 * CHOOSE(CONTROL!$C$27, $C$14, 100%, $E$14)</f>
        <v>3.8401000000000001</v>
      </c>
      <c r="G111" s="59">
        <f>3.845 * CHOOSE(CONTROL!$C$27, $C$14, 100%, $E$14)</f>
        <v>3.8450000000000002</v>
      </c>
      <c r="H111" s="59">
        <f>7.1599* CHOOSE(CONTROL!$C$27, $C$14, 100%, $E$14)</f>
        <v>7.1599000000000004</v>
      </c>
      <c r="I111" s="59">
        <f>7.1649 * CHOOSE(CONTROL!$C$27, $C$14, 100%, $E$14)</f>
        <v>7.1649000000000003</v>
      </c>
      <c r="J111" s="59">
        <f>7.1599 * CHOOSE(CONTROL!$C$27, $C$14, 100%, $E$14)</f>
        <v>7.1599000000000004</v>
      </c>
      <c r="K111" s="59">
        <f>7.1649 * CHOOSE(CONTROL!$C$27, $C$14, 100%, $E$14)</f>
        <v>7.1649000000000003</v>
      </c>
      <c r="L111" s="59">
        <f>3.8401 * CHOOSE(CONTROL!$C$27, $C$14, 100%, $E$14)</f>
        <v>3.8401000000000001</v>
      </c>
      <c r="M111" s="59">
        <f>3.845 * CHOOSE(CONTROL!$C$27, $C$14, 100%, $E$14)</f>
        <v>3.8450000000000002</v>
      </c>
      <c r="N111" s="59">
        <f>3.8401 * CHOOSE(CONTROL!$C$27, $C$14, 100%, $E$14)</f>
        <v>3.8401000000000001</v>
      </c>
      <c r="O111" s="59">
        <f>3.845 * CHOOSE(CONTROL!$C$27, $C$14, 100%, $E$14)</f>
        <v>3.8450000000000002</v>
      </c>
      <c r="P111" s="4"/>
      <c r="Q111" s="4"/>
      <c r="R111" s="4"/>
    </row>
    <row r="112" spans="1:18" ht="15">
      <c r="A112" s="11">
        <v>44501</v>
      </c>
      <c r="B112" s="58">
        <f>3.2856 * CHOOSE(CONTROL!$C$27, $C$14, 100%, $E$14)</f>
        <v>3.2856000000000001</v>
      </c>
      <c r="C112" s="58">
        <f>3.2856 * CHOOSE(CONTROL!$C$27, $C$14, 100%, $E$14)</f>
        <v>3.2856000000000001</v>
      </c>
      <c r="D112" s="58">
        <f>3.2896 * CHOOSE(CONTROL!$C$27, $C$14, 100%, $E$14)</f>
        <v>3.2896000000000001</v>
      </c>
      <c r="E112" s="59">
        <f>3.8547 * CHOOSE(CONTROL!$C$27, $C$14, 100%, $E$14)</f>
        <v>3.8546999999999998</v>
      </c>
      <c r="F112" s="59">
        <f>3.8547 * CHOOSE(CONTROL!$C$27, $C$14, 100%, $E$14)</f>
        <v>3.8546999999999998</v>
      </c>
      <c r="G112" s="59">
        <f>3.8596 * CHOOSE(CONTROL!$C$27, $C$14, 100%, $E$14)</f>
        <v>3.8595999999999999</v>
      </c>
      <c r="H112" s="59">
        <f>7.1749* CHOOSE(CONTROL!$C$27, $C$14, 100%, $E$14)</f>
        <v>7.1749000000000001</v>
      </c>
      <c r="I112" s="59">
        <f>7.1798 * CHOOSE(CONTROL!$C$27, $C$14, 100%, $E$14)</f>
        <v>7.1798000000000002</v>
      </c>
      <c r="J112" s="59">
        <f>7.1749 * CHOOSE(CONTROL!$C$27, $C$14, 100%, $E$14)</f>
        <v>7.1749000000000001</v>
      </c>
      <c r="K112" s="59">
        <f>7.1798 * CHOOSE(CONTROL!$C$27, $C$14, 100%, $E$14)</f>
        <v>7.1798000000000002</v>
      </c>
      <c r="L112" s="59">
        <f>3.8547 * CHOOSE(CONTROL!$C$27, $C$14, 100%, $E$14)</f>
        <v>3.8546999999999998</v>
      </c>
      <c r="M112" s="59">
        <f>3.8596 * CHOOSE(CONTROL!$C$27, $C$14, 100%, $E$14)</f>
        <v>3.8595999999999999</v>
      </c>
      <c r="N112" s="59">
        <f>3.8547 * CHOOSE(CONTROL!$C$27, $C$14, 100%, $E$14)</f>
        <v>3.8546999999999998</v>
      </c>
      <c r="O112" s="59">
        <f>3.8596 * CHOOSE(CONTROL!$C$27, $C$14, 100%, $E$14)</f>
        <v>3.8595999999999999</v>
      </c>
      <c r="P112" s="4"/>
      <c r="Q112" s="4"/>
      <c r="R112" s="4"/>
    </row>
    <row r="113" spans="1:18" ht="15">
      <c r="A113" s="11">
        <v>44531</v>
      </c>
      <c r="B113" s="58">
        <f>3.2856 * CHOOSE(CONTROL!$C$27, $C$14, 100%, $E$14)</f>
        <v>3.2856000000000001</v>
      </c>
      <c r="C113" s="58">
        <f>3.2856 * CHOOSE(CONTROL!$C$27, $C$14, 100%, $E$14)</f>
        <v>3.2856000000000001</v>
      </c>
      <c r="D113" s="58">
        <f>3.2896 * CHOOSE(CONTROL!$C$27, $C$14, 100%, $E$14)</f>
        <v>3.2896000000000001</v>
      </c>
      <c r="E113" s="59">
        <f>3.8235 * CHOOSE(CONTROL!$C$27, $C$14, 100%, $E$14)</f>
        <v>3.8235000000000001</v>
      </c>
      <c r="F113" s="59">
        <f>3.8235 * CHOOSE(CONTROL!$C$27, $C$14, 100%, $E$14)</f>
        <v>3.8235000000000001</v>
      </c>
      <c r="G113" s="59">
        <f>3.8284 * CHOOSE(CONTROL!$C$27, $C$14, 100%, $E$14)</f>
        <v>3.8283999999999998</v>
      </c>
      <c r="H113" s="59">
        <f>7.1898* CHOOSE(CONTROL!$C$27, $C$14, 100%, $E$14)</f>
        <v>7.1898</v>
      </c>
      <c r="I113" s="59">
        <f>7.1947 * CHOOSE(CONTROL!$C$27, $C$14, 100%, $E$14)</f>
        <v>7.1947000000000001</v>
      </c>
      <c r="J113" s="59">
        <f>7.1898 * CHOOSE(CONTROL!$C$27, $C$14, 100%, $E$14)</f>
        <v>7.1898</v>
      </c>
      <c r="K113" s="59">
        <f>7.1947 * CHOOSE(CONTROL!$C$27, $C$14, 100%, $E$14)</f>
        <v>7.1947000000000001</v>
      </c>
      <c r="L113" s="59">
        <f>3.8235 * CHOOSE(CONTROL!$C$27, $C$14, 100%, $E$14)</f>
        <v>3.8235000000000001</v>
      </c>
      <c r="M113" s="59">
        <f>3.8284 * CHOOSE(CONTROL!$C$27, $C$14, 100%, $E$14)</f>
        <v>3.8283999999999998</v>
      </c>
      <c r="N113" s="59">
        <f>3.8235 * CHOOSE(CONTROL!$C$27, $C$14, 100%, $E$14)</f>
        <v>3.8235000000000001</v>
      </c>
      <c r="O113" s="59">
        <f>3.8284 * CHOOSE(CONTROL!$C$27, $C$14, 100%, $E$14)</f>
        <v>3.8283999999999998</v>
      </c>
      <c r="P113" s="4"/>
      <c r="Q113" s="4"/>
      <c r="R113" s="4"/>
    </row>
    <row r="114" spans="1:18" ht="15">
      <c r="A114" s="11">
        <v>44562</v>
      </c>
      <c r="B114" s="58">
        <f>3.315 * CHOOSE(CONTROL!$C$27, $C$14, 100%, $E$14)</f>
        <v>3.3149999999999999</v>
      </c>
      <c r="C114" s="58">
        <f>3.315 * CHOOSE(CONTROL!$C$27, $C$14, 100%, $E$14)</f>
        <v>3.3149999999999999</v>
      </c>
      <c r="D114" s="58">
        <f>3.319 * CHOOSE(CONTROL!$C$27, $C$14, 100%, $E$14)</f>
        <v>3.319</v>
      </c>
      <c r="E114" s="59">
        <f>3.9024 * CHOOSE(CONTROL!$C$27, $C$14, 100%, $E$14)</f>
        <v>3.9024000000000001</v>
      </c>
      <c r="F114" s="59">
        <f>3.9024 * CHOOSE(CONTROL!$C$27, $C$14, 100%, $E$14)</f>
        <v>3.9024000000000001</v>
      </c>
      <c r="G114" s="59">
        <f>3.9073 * CHOOSE(CONTROL!$C$27, $C$14, 100%, $E$14)</f>
        <v>3.9073000000000002</v>
      </c>
      <c r="H114" s="59">
        <f>7.2048* CHOOSE(CONTROL!$C$27, $C$14, 100%, $E$14)</f>
        <v>7.2047999999999996</v>
      </c>
      <c r="I114" s="59">
        <f>7.2097 * CHOOSE(CONTROL!$C$27, $C$14, 100%, $E$14)</f>
        <v>7.2096999999999998</v>
      </c>
      <c r="J114" s="59">
        <f>7.2048 * CHOOSE(CONTROL!$C$27, $C$14, 100%, $E$14)</f>
        <v>7.2047999999999996</v>
      </c>
      <c r="K114" s="59">
        <f>7.2097 * CHOOSE(CONTROL!$C$27, $C$14, 100%, $E$14)</f>
        <v>7.2096999999999998</v>
      </c>
      <c r="L114" s="59">
        <f>3.9024 * CHOOSE(CONTROL!$C$27, $C$14, 100%, $E$14)</f>
        <v>3.9024000000000001</v>
      </c>
      <c r="M114" s="59">
        <f>3.9073 * CHOOSE(CONTROL!$C$27, $C$14, 100%, $E$14)</f>
        <v>3.9073000000000002</v>
      </c>
      <c r="N114" s="59">
        <f>3.9024 * CHOOSE(CONTROL!$C$27, $C$14, 100%, $E$14)</f>
        <v>3.9024000000000001</v>
      </c>
      <c r="O114" s="59">
        <f>3.9073 * CHOOSE(CONTROL!$C$27, $C$14, 100%, $E$14)</f>
        <v>3.9073000000000002</v>
      </c>
      <c r="P114" s="4"/>
      <c r="Q114" s="4"/>
      <c r="R114" s="4"/>
    </row>
    <row r="115" spans="1:18" ht="15">
      <c r="A115" s="11">
        <v>44593</v>
      </c>
      <c r="B115" s="58">
        <f>3.312 * CHOOSE(CONTROL!$C$27, $C$14, 100%, $E$14)</f>
        <v>3.3119999999999998</v>
      </c>
      <c r="C115" s="58">
        <f>3.312 * CHOOSE(CONTROL!$C$27, $C$14, 100%, $E$14)</f>
        <v>3.3119999999999998</v>
      </c>
      <c r="D115" s="58">
        <f>3.316 * CHOOSE(CONTROL!$C$27, $C$14, 100%, $E$14)</f>
        <v>3.3159999999999998</v>
      </c>
      <c r="E115" s="59">
        <f>3.8381 * CHOOSE(CONTROL!$C$27, $C$14, 100%, $E$14)</f>
        <v>3.8380999999999998</v>
      </c>
      <c r="F115" s="59">
        <f>3.8381 * CHOOSE(CONTROL!$C$27, $C$14, 100%, $E$14)</f>
        <v>3.8380999999999998</v>
      </c>
      <c r="G115" s="59">
        <f>3.843 * CHOOSE(CONTROL!$C$27, $C$14, 100%, $E$14)</f>
        <v>3.843</v>
      </c>
      <c r="H115" s="59">
        <f>7.2198* CHOOSE(CONTROL!$C$27, $C$14, 100%, $E$14)</f>
        <v>7.2198000000000002</v>
      </c>
      <c r="I115" s="59">
        <f>7.2247 * CHOOSE(CONTROL!$C$27, $C$14, 100%, $E$14)</f>
        <v>7.2247000000000003</v>
      </c>
      <c r="J115" s="59">
        <f>7.2198 * CHOOSE(CONTROL!$C$27, $C$14, 100%, $E$14)</f>
        <v>7.2198000000000002</v>
      </c>
      <c r="K115" s="59">
        <f>7.2247 * CHOOSE(CONTROL!$C$27, $C$14, 100%, $E$14)</f>
        <v>7.2247000000000003</v>
      </c>
      <c r="L115" s="59">
        <f>3.8381 * CHOOSE(CONTROL!$C$27, $C$14, 100%, $E$14)</f>
        <v>3.8380999999999998</v>
      </c>
      <c r="M115" s="59">
        <f>3.843 * CHOOSE(CONTROL!$C$27, $C$14, 100%, $E$14)</f>
        <v>3.843</v>
      </c>
      <c r="N115" s="59">
        <f>3.8381 * CHOOSE(CONTROL!$C$27, $C$14, 100%, $E$14)</f>
        <v>3.8380999999999998</v>
      </c>
      <c r="O115" s="59">
        <f>3.843 * CHOOSE(CONTROL!$C$27, $C$14, 100%, $E$14)</f>
        <v>3.843</v>
      </c>
      <c r="P115" s="4"/>
      <c r="Q115" s="4"/>
      <c r="R115" s="4"/>
    </row>
    <row r="116" spans="1:18" ht="15">
      <c r="A116" s="11">
        <v>44621</v>
      </c>
      <c r="B116" s="58">
        <f>3.309 * CHOOSE(CONTROL!$C$27, $C$14, 100%, $E$14)</f>
        <v>3.3090000000000002</v>
      </c>
      <c r="C116" s="58">
        <f>3.309 * CHOOSE(CONTROL!$C$27, $C$14, 100%, $E$14)</f>
        <v>3.3090000000000002</v>
      </c>
      <c r="D116" s="58">
        <f>3.313 * CHOOSE(CONTROL!$C$27, $C$14, 100%, $E$14)</f>
        <v>3.3130000000000002</v>
      </c>
      <c r="E116" s="59">
        <f>3.885 * CHOOSE(CONTROL!$C$27, $C$14, 100%, $E$14)</f>
        <v>3.8849999999999998</v>
      </c>
      <c r="F116" s="59">
        <f>3.885 * CHOOSE(CONTROL!$C$27, $C$14, 100%, $E$14)</f>
        <v>3.8849999999999998</v>
      </c>
      <c r="G116" s="59">
        <f>3.8899 * CHOOSE(CONTROL!$C$27, $C$14, 100%, $E$14)</f>
        <v>3.8898999999999999</v>
      </c>
      <c r="H116" s="59">
        <f>7.2348* CHOOSE(CONTROL!$C$27, $C$14, 100%, $E$14)</f>
        <v>7.2347999999999999</v>
      </c>
      <c r="I116" s="59">
        <f>7.2398 * CHOOSE(CONTROL!$C$27, $C$14, 100%, $E$14)</f>
        <v>7.2397999999999998</v>
      </c>
      <c r="J116" s="59">
        <f>7.2348 * CHOOSE(CONTROL!$C$27, $C$14, 100%, $E$14)</f>
        <v>7.2347999999999999</v>
      </c>
      <c r="K116" s="59">
        <f>7.2398 * CHOOSE(CONTROL!$C$27, $C$14, 100%, $E$14)</f>
        <v>7.2397999999999998</v>
      </c>
      <c r="L116" s="59">
        <f>3.885 * CHOOSE(CONTROL!$C$27, $C$14, 100%, $E$14)</f>
        <v>3.8849999999999998</v>
      </c>
      <c r="M116" s="59">
        <f>3.8899 * CHOOSE(CONTROL!$C$27, $C$14, 100%, $E$14)</f>
        <v>3.8898999999999999</v>
      </c>
      <c r="N116" s="59">
        <f>3.885 * CHOOSE(CONTROL!$C$27, $C$14, 100%, $E$14)</f>
        <v>3.8849999999999998</v>
      </c>
      <c r="O116" s="59">
        <f>3.8899 * CHOOSE(CONTROL!$C$27, $C$14, 100%, $E$14)</f>
        <v>3.8898999999999999</v>
      </c>
      <c r="P116" s="4"/>
      <c r="Q116" s="4"/>
      <c r="R116" s="4"/>
    </row>
    <row r="117" spans="1:18" ht="15">
      <c r="A117" s="11">
        <v>44652</v>
      </c>
      <c r="B117" s="58">
        <f>3.3059 * CHOOSE(CONTROL!$C$27, $C$14, 100%, $E$14)</f>
        <v>3.3058999999999998</v>
      </c>
      <c r="C117" s="58">
        <f>3.3059 * CHOOSE(CONTROL!$C$27, $C$14, 100%, $E$14)</f>
        <v>3.3058999999999998</v>
      </c>
      <c r="D117" s="58">
        <f>3.3099 * CHOOSE(CONTROL!$C$27, $C$14, 100%, $E$14)</f>
        <v>3.3098999999999998</v>
      </c>
      <c r="E117" s="59">
        <f>3.9334 * CHOOSE(CONTROL!$C$27, $C$14, 100%, $E$14)</f>
        <v>3.9333999999999998</v>
      </c>
      <c r="F117" s="59">
        <f>3.9334 * CHOOSE(CONTROL!$C$27, $C$14, 100%, $E$14)</f>
        <v>3.9333999999999998</v>
      </c>
      <c r="G117" s="59">
        <f>3.9383 * CHOOSE(CONTROL!$C$27, $C$14, 100%, $E$14)</f>
        <v>3.9382999999999999</v>
      </c>
      <c r="H117" s="59">
        <f>7.2499* CHOOSE(CONTROL!$C$27, $C$14, 100%, $E$14)</f>
        <v>7.2499000000000002</v>
      </c>
      <c r="I117" s="59">
        <f>7.2548 * CHOOSE(CONTROL!$C$27, $C$14, 100%, $E$14)</f>
        <v>7.2548000000000004</v>
      </c>
      <c r="J117" s="59">
        <f>7.2499 * CHOOSE(CONTROL!$C$27, $C$14, 100%, $E$14)</f>
        <v>7.2499000000000002</v>
      </c>
      <c r="K117" s="59">
        <f>7.2548 * CHOOSE(CONTROL!$C$27, $C$14, 100%, $E$14)</f>
        <v>7.2548000000000004</v>
      </c>
      <c r="L117" s="59">
        <f>3.9334 * CHOOSE(CONTROL!$C$27, $C$14, 100%, $E$14)</f>
        <v>3.9333999999999998</v>
      </c>
      <c r="M117" s="59">
        <f>3.9383 * CHOOSE(CONTROL!$C$27, $C$14, 100%, $E$14)</f>
        <v>3.9382999999999999</v>
      </c>
      <c r="N117" s="59">
        <f>3.9334 * CHOOSE(CONTROL!$C$27, $C$14, 100%, $E$14)</f>
        <v>3.9333999999999998</v>
      </c>
      <c r="O117" s="59">
        <f>3.9383 * CHOOSE(CONTROL!$C$27, $C$14, 100%, $E$14)</f>
        <v>3.9382999999999999</v>
      </c>
      <c r="P117" s="4"/>
      <c r="Q117" s="4"/>
      <c r="R117" s="4"/>
    </row>
    <row r="118" spans="1:18" ht="15">
      <c r="A118" s="11">
        <v>44682</v>
      </c>
      <c r="B118" s="58">
        <f>3.3059 * CHOOSE(CONTROL!$C$27, $C$14, 100%, $E$14)</f>
        <v>3.3058999999999998</v>
      </c>
      <c r="C118" s="58">
        <f>3.3059 * CHOOSE(CONTROL!$C$27, $C$14, 100%, $E$14)</f>
        <v>3.3058999999999998</v>
      </c>
      <c r="D118" s="58">
        <f>3.3115 * CHOOSE(CONTROL!$C$27, $C$14, 100%, $E$14)</f>
        <v>3.3115000000000001</v>
      </c>
      <c r="E118" s="59">
        <f>3.9531 * CHOOSE(CONTROL!$C$27, $C$14, 100%, $E$14)</f>
        <v>3.9531000000000001</v>
      </c>
      <c r="F118" s="59">
        <f>3.9531 * CHOOSE(CONTROL!$C$27, $C$14, 100%, $E$14)</f>
        <v>3.9531000000000001</v>
      </c>
      <c r="G118" s="59">
        <f>3.96 * CHOOSE(CONTROL!$C$27, $C$14, 100%, $E$14)</f>
        <v>3.96</v>
      </c>
      <c r="H118" s="59">
        <f>7.265* CHOOSE(CONTROL!$C$27, $C$14, 100%, $E$14)</f>
        <v>7.2649999999999997</v>
      </c>
      <c r="I118" s="59">
        <f>7.2719 * CHOOSE(CONTROL!$C$27, $C$14, 100%, $E$14)</f>
        <v>7.2718999999999996</v>
      </c>
      <c r="J118" s="59">
        <f>7.265 * CHOOSE(CONTROL!$C$27, $C$14, 100%, $E$14)</f>
        <v>7.2649999999999997</v>
      </c>
      <c r="K118" s="59">
        <f>7.2719 * CHOOSE(CONTROL!$C$27, $C$14, 100%, $E$14)</f>
        <v>7.2718999999999996</v>
      </c>
      <c r="L118" s="59">
        <f>3.9531 * CHOOSE(CONTROL!$C$27, $C$14, 100%, $E$14)</f>
        <v>3.9531000000000001</v>
      </c>
      <c r="M118" s="59">
        <f>3.96 * CHOOSE(CONTROL!$C$27, $C$14, 100%, $E$14)</f>
        <v>3.96</v>
      </c>
      <c r="N118" s="59">
        <f>3.9531 * CHOOSE(CONTROL!$C$27, $C$14, 100%, $E$14)</f>
        <v>3.9531000000000001</v>
      </c>
      <c r="O118" s="59">
        <f>3.96 * CHOOSE(CONTROL!$C$27, $C$14, 100%, $E$14)</f>
        <v>3.96</v>
      </c>
      <c r="P118" s="4"/>
      <c r="Q118" s="4"/>
      <c r="R118" s="4"/>
    </row>
    <row r="119" spans="1:18" ht="15">
      <c r="A119" s="11">
        <v>44713</v>
      </c>
      <c r="B119" s="58">
        <f>3.312 * CHOOSE(CONTROL!$C$27, $C$14, 100%, $E$14)</f>
        <v>3.3119999999999998</v>
      </c>
      <c r="C119" s="58">
        <f>3.312 * CHOOSE(CONTROL!$C$27, $C$14, 100%, $E$14)</f>
        <v>3.3119999999999998</v>
      </c>
      <c r="D119" s="58">
        <f>3.3176 * CHOOSE(CONTROL!$C$27, $C$14, 100%, $E$14)</f>
        <v>3.3176000000000001</v>
      </c>
      <c r="E119" s="59">
        <f>3.9376 * CHOOSE(CONTROL!$C$27, $C$14, 100%, $E$14)</f>
        <v>3.9376000000000002</v>
      </c>
      <c r="F119" s="59">
        <f>3.9376 * CHOOSE(CONTROL!$C$27, $C$14, 100%, $E$14)</f>
        <v>3.9376000000000002</v>
      </c>
      <c r="G119" s="59">
        <f>3.9445 * CHOOSE(CONTROL!$C$27, $C$14, 100%, $E$14)</f>
        <v>3.9445000000000001</v>
      </c>
      <c r="H119" s="59">
        <f>7.2801* CHOOSE(CONTROL!$C$27, $C$14, 100%, $E$14)</f>
        <v>7.2801</v>
      </c>
      <c r="I119" s="59">
        <f>7.287 * CHOOSE(CONTROL!$C$27, $C$14, 100%, $E$14)</f>
        <v>7.2869999999999999</v>
      </c>
      <c r="J119" s="59">
        <f>7.2801 * CHOOSE(CONTROL!$C$27, $C$14, 100%, $E$14)</f>
        <v>7.2801</v>
      </c>
      <c r="K119" s="59">
        <f>7.287 * CHOOSE(CONTROL!$C$27, $C$14, 100%, $E$14)</f>
        <v>7.2869999999999999</v>
      </c>
      <c r="L119" s="59">
        <f>3.9376 * CHOOSE(CONTROL!$C$27, $C$14, 100%, $E$14)</f>
        <v>3.9376000000000002</v>
      </c>
      <c r="M119" s="59">
        <f>3.9445 * CHOOSE(CONTROL!$C$27, $C$14, 100%, $E$14)</f>
        <v>3.9445000000000001</v>
      </c>
      <c r="N119" s="59">
        <f>3.9376 * CHOOSE(CONTROL!$C$27, $C$14, 100%, $E$14)</f>
        <v>3.9376000000000002</v>
      </c>
      <c r="O119" s="59">
        <f>3.9445 * CHOOSE(CONTROL!$C$27, $C$14, 100%, $E$14)</f>
        <v>3.9445000000000001</v>
      </c>
      <c r="P119" s="4"/>
      <c r="Q119" s="4"/>
      <c r="R119" s="4"/>
    </row>
    <row r="120" spans="1:18" ht="15">
      <c r="A120" s="11">
        <v>44743</v>
      </c>
      <c r="B120" s="58">
        <f>3.3675 * CHOOSE(CONTROL!$C$27, $C$14, 100%, $E$14)</f>
        <v>3.3675000000000002</v>
      </c>
      <c r="C120" s="58">
        <f>3.3675 * CHOOSE(CONTROL!$C$27, $C$14, 100%, $E$14)</f>
        <v>3.3675000000000002</v>
      </c>
      <c r="D120" s="58">
        <f>3.3731 * CHOOSE(CONTROL!$C$27, $C$14, 100%, $E$14)</f>
        <v>3.3731</v>
      </c>
      <c r="E120" s="59">
        <f>4.0252 * CHOOSE(CONTROL!$C$27, $C$14, 100%, $E$14)</f>
        <v>4.0251999999999999</v>
      </c>
      <c r="F120" s="59">
        <f>4.0252 * CHOOSE(CONTROL!$C$27, $C$14, 100%, $E$14)</f>
        <v>4.0251999999999999</v>
      </c>
      <c r="G120" s="59">
        <f>4.0321 * CHOOSE(CONTROL!$C$27, $C$14, 100%, $E$14)</f>
        <v>4.0320999999999998</v>
      </c>
      <c r="H120" s="59">
        <f>7.2953* CHOOSE(CONTROL!$C$27, $C$14, 100%, $E$14)</f>
        <v>7.2953000000000001</v>
      </c>
      <c r="I120" s="59">
        <f>7.3022 * CHOOSE(CONTROL!$C$27, $C$14, 100%, $E$14)</f>
        <v>7.3022</v>
      </c>
      <c r="J120" s="59">
        <f>7.2953 * CHOOSE(CONTROL!$C$27, $C$14, 100%, $E$14)</f>
        <v>7.2953000000000001</v>
      </c>
      <c r="K120" s="59">
        <f>7.3022 * CHOOSE(CONTROL!$C$27, $C$14, 100%, $E$14)</f>
        <v>7.3022</v>
      </c>
      <c r="L120" s="59">
        <f>4.0252 * CHOOSE(CONTROL!$C$27, $C$14, 100%, $E$14)</f>
        <v>4.0251999999999999</v>
      </c>
      <c r="M120" s="59">
        <f>4.0321 * CHOOSE(CONTROL!$C$27, $C$14, 100%, $E$14)</f>
        <v>4.0320999999999998</v>
      </c>
      <c r="N120" s="59">
        <f>4.0252 * CHOOSE(CONTROL!$C$27, $C$14, 100%, $E$14)</f>
        <v>4.0251999999999999</v>
      </c>
      <c r="O120" s="59">
        <f>4.0321 * CHOOSE(CONTROL!$C$27, $C$14, 100%, $E$14)</f>
        <v>4.0320999999999998</v>
      </c>
      <c r="P120" s="4"/>
      <c r="Q120" s="4"/>
      <c r="R120" s="4"/>
    </row>
    <row r="121" spans="1:18" ht="15">
      <c r="A121" s="11">
        <v>44774</v>
      </c>
      <c r="B121" s="58">
        <f>3.3742 * CHOOSE(CONTROL!$C$27, $C$14, 100%, $E$14)</f>
        <v>3.3742000000000001</v>
      </c>
      <c r="C121" s="58">
        <f>3.3742 * CHOOSE(CONTROL!$C$27, $C$14, 100%, $E$14)</f>
        <v>3.3742000000000001</v>
      </c>
      <c r="D121" s="58">
        <f>3.3798 * CHOOSE(CONTROL!$C$27, $C$14, 100%, $E$14)</f>
        <v>3.3797999999999999</v>
      </c>
      <c r="E121" s="59">
        <f>3.9706 * CHOOSE(CONTROL!$C$27, $C$14, 100%, $E$14)</f>
        <v>3.9706000000000001</v>
      </c>
      <c r="F121" s="59">
        <f>3.9706 * CHOOSE(CONTROL!$C$27, $C$14, 100%, $E$14)</f>
        <v>3.9706000000000001</v>
      </c>
      <c r="G121" s="59">
        <f>3.9775 * CHOOSE(CONTROL!$C$27, $C$14, 100%, $E$14)</f>
        <v>3.9775</v>
      </c>
      <c r="H121" s="59">
        <f>7.3105* CHOOSE(CONTROL!$C$27, $C$14, 100%, $E$14)</f>
        <v>7.3105000000000002</v>
      </c>
      <c r="I121" s="59">
        <f>7.3174 * CHOOSE(CONTROL!$C$27, $C$14, 100%, $E$14)</f>
        <v>7.3174000000000001</v>
      </c>
      <c r="J121" s="59">
        <f>7.3105 * CHOOSE(CONTROL!$C$27, $C$14, 100%, $E$14)</f>
        <v>7.3105000000000002</v>
      </c>
      <c r="K121" s="59">
        <f>7.3174 * CHOOSE(CONTROL!$C$27, $C$14, 100%, $E$14)</f>
        <v>7.3174000000000001</v>
      </c>
      <c r="L121" s="59">
        <f>3.9706 * CHOOSE(CONTROL!$C$27, $C$14, 100%, $E$14)</f>
        <v>3.9706000000000001</v>
      </c>
      <c r="M121" s="59">
        <f>3.9775 * CHOOSE(CONTROL!$C$27, $C$14, 100%, $E$14)</f>
        <v>3.9775</v>
      </c>
      <c r="N121" s="59">
        <f>3.9706 * CHOOSE(CONTROL!$C$27, $C$14, 100%, $E$14)</f>
        <v>3.9706000000000001</v>
      </c>
      <c r="O121" s="59">
        <f>3.9775 * CHOOSE(CONTROL!$C$27, $C$14, 100%, $E$14)</f>
        <v>3.9775</v>
      </c>
      <c r="P121" s="4"/>
      <c r="Q121" s="4"/>
      <c r="R121" s="4"/>
    </row>
    <row r="122" spans="1:18" ht="15">
      <c r="A122" s="11">
        <v>44805</v>
      </c>
      <c r="B122" s="58">
        <f>3.3711 * CHOOSE(CONTROL!$C$27, $C$14, 100%, $E$14)</f>
        <v>3.3711000000000002</v>
      </c>
      <c r="C122" s="58">
        <f>3.3711 * CHOOSE(CONTROL!$C$27, $C$14, 100%, $E$14)</f>
        <v>3.3711000000000002</v>
      </c>
      <c r="D122" s="58">
        <f>3.3768 * CHOOSE(CONTROL!$C$27, $C$14, 100%, $E$14)</f>
        <v>3.3767999999999998</v>
      </c>
      <c r="E122" s="59">
        <f>3.9619 * CHOOSE(CONTROL!$C$27, $C$14, 100%, $E$14)</f>
        <v>3.9619</v>
      </c>
      <c r="F122" s="59">
        <f>3.9619 * CHOOSE(CONTROL!$C$27, $C$14, 100%, $E$14)</f>
        <v>3.9619</v>
      </c>
      <c r="G122" s="59">
        <f>3.9688 * CHOOSE(CONTROL!$C$27, $C$14, 100%, $E$14)</f>
        <v>3.9687999999999999</v>
      </c>
      <c r="H122" s="59">
        <f>7.3257* CHOOSE(CONTROL!$C$27, $C$14, 100%, $E$14)</f>
        <v>7.3257000000000003</v>
      </c>
      <c r="I122" s="59">
        <f>7.3326 * CHOOSE(CONTROL!$C$27, $C$14, 100%, $E$14)</f>
        <v>7.3326000000000002</v>
      </c>
      <c r="J122" s="59">
        <f>7.3257 * CHOOSE(CONTROL!$C$27, $C$14, 100%, $E$14)</f>
        <v>7.3257000000000003</v>
      </c>
      <c r="K122" s="59">
        <f>7.3326 * CHOOSE(CONTROL!$C$27, $C$14, 100%, $E$14)</f>
        <v>7.3326000000000002</v>
      </c>
      <c r="L122" s="59">
        <f>3.9619 * CHOOSE(CONTROL!$C$27, $C$14, 100%, $E$14)</f>
        <v>3.9619</v>
      </c>
      <c r="M122" s="59">
        <f>3.9688 * CHOOSE(CONTROL!$C$27, $C$14, 100%, $E$14)</f>
        <v>3.9687999999999999</v>
      </c>
      <c r="N122" s="59">
        <f>3.9619 * CHOOSE(CONTROL!$C$27, $C$14, 100%, $E$14)</f>
        <v>3.9619</v>
      </c>
      <c r="O122" s="59">
        <f>3.9688 * CHOOSE(CONTROL!$C$27, $C$14, 100%, $E$14)</f>
        <v>3.9687999999999999</v>
      </c>
      <c r="P122" s="4"/>
      <c r="Q122" s="4"/>
      <c r="R122" s="4"/>
    </row>
    <row r="123" spans="1:18" ht="15">
      <c r="A123" s="11">
        <v>44835</v>
      </c>
      <c r="B123" s="58">
        <f>3.3637 * CHOOSE(CONTROL!$C$27, $C$14, 100%, $E$14)</f>
        <v>3.3637000000000001</v>
      </c>
      <c r="C123" s="58">
        <f>3.3637 * CHOOSE(CONTROL!$C$27, $C$14, 100%, $E$14)</f>
        <v>3.3637000000000001</v>
      </c>
      <c r="D123" s="58">
        <f>3.3677 * CHOOSE(CONTROL!$C$27, $C$14, 100%, $E$14)</f>
        <v>3.3677000000000001</v>
      </c>
      <c r="E123" s="59">
        <f>3.9748 * CHOOSE(CONTROL!$C$27, $C$14, 100%, $E$14)</f>
        <v>3.9748000000000001</v>
      </c>
      <c r="F123" s="59">
        <f>3.9748 * CHOOSE(CONTROL!$C$27, $C$14, 100%, $E$14)</f>
        <v>3.9748000000000001</v>
      </c>
      <c r="G123" s="59">
        <f>3.9798 * CHOOSE(CONTROL!$C$27, $C$14, 100%, $E$14)</f>
        <v>3.9798</v>
      </c>
      <c r="H123" s="59">
        <f>7.341* CHOOSE(CONTROL!$C$27, $C$14, 100%, $E$14)</f>
        <v>7.3410000000000002</v>
      </c>
      <c r="I123" s="59">
        <f>7.3459 * CHOOSE(CONTROL!$C$27, $C$14, 100%, $E$14)</f>
        <v>7.3459000000000003</v>
      </c>
      <c r="J123" s="59">
        <f>7.341 * CHOOSE(CONTROL!$C$27, $C$14, 100%, $E$14)</f>
        <v>7.3410000000000002</v>
      </c>
      <c r="K123" s="59">
        <f>7.3459 * CHOOSE(CONTROL!$C$27, $C$14, 100%, $E$14)</f>
        <v>7.3459000000000003</v>
      </c>
      <c r="L123" s="59">
        <f>3.9748 * CHOOSE(CONTROL!$C$27, $C$14, 100%, $E$14)</f>
        <v>3.9748000000000001</v>
      </c>
      <c r="M123" s="59">
        <f>3.9798 * CHOOSE(CONTROL!$C$27, $C$14, 100%, $E$14)</f>
        <v>3.9798</v>
      </c>
      <c r="N123" s="59">
        <f>3.9748 * CHOOSE(CONTROL!$C$27, $C$14, 100%, $E$14)</f>
        <v>3.9748000000000001</v>
      </c>
      <c r="O123" s="59">
        <f>3.9798 * CHOOSE(CONTROL!$C$27, $C$14, 100%, $E$14)</f>
        <v>3.9798</v>
      </c>
      <c r="P123" s="4"/>
      <c r="Q123" s="4"/>
      <c r="R123" s="4"/>
    </row>
    <row r="124" spans="1:18" ht="15">
      <c r="A124" s="11">
        <v>44866</v>
      </c>
      <c r="B124" s="58">
        <f>3.3667 * CHOOSE(CONTROL!$C$27, $C$14, 100%, $E$14)</f>
        <v>3.3666999999999998</v>
      </c>
      <c r="C124" s="58">
        <f>3.3667 * CHOOSE(CONTROL!$C$27, $C$14, 100%, $E$14)</f>
        <v>3.3666999999999998</v>
      </c>
      <c r="D124" s="58">
        <f>3.3707 * CHOOSE(CONTROL!$C$27, $C$14, 100%, $E$14)</f>
        <v>3.3706999999999998</v>
      </c>
      <c r="E124" s="59">
        <f>3.9901 * CHOOSE(CONTROL!$C$27, $C$14, 100%, $E$14)</f>
        <v>3.9901</v>
      </c>
      <c r="F124" s="59">
        <f>3.9901 * CHOOSE(CONTROL!$C$27, $C$14, 100%, $E$14)</f>
        <v>3.9901</v>
      </c>
      <c r="G124" s="59">
        <f>3.995 * CHOOSE(CONTROL!$C$27, $C$14, 100%, $E$14)</f>
        <v>3.9950000000000001</v>
      </c>
      <c r="H124" s="59">
        <f>7.3563* CHOOSE(CONTROL!$C$27, $C$14, 100%, $E$14)</f>
        <v>7.3563000000000001</v>
      </c>
      <c r="I124" s="59">
        <f>7.3612 * CHOOSE(CONTROL!$C$27, $C$14, 100%, $E$14)</f>
        <v>7.3612000000000002</v>
      </c>
      <c r="J124" s="59">
        <f>7.3563 * CHOOSE(CONTROL!$C$27, $C$14, 100%, $E$14)</f>
        <v>7.3563000000000001</v>
      </c>
      <c r="K124" s="59">
        <f>7.3612 * CHOOSE(CONTROL!$C$27, $C$14, 100%, $E$14)</f>
        <v>7.3612000000000002</v>
      </c>
      <c r="L124" s="59">
        <f>3.9901 * CHOOSE(CONTROL!$C$27, $C$14, 100%, $E$14)</f>
        <v>3.9901</v>
      </c>
      <c r="M124" s="59">
        <f>3.995 * CHOOSE(CONTROL!$C$27, $C$14, 100%, $E$14)</f>
        <v>3.9950000000000001</v>
      </c>
      <c r="N124" s="59">
        <f>3.9901 * CHOOSE(CONTROL!$C$27, $C$14, 100%, $E$14)</f>
        <v>3.9901</v>
      </c>
      <c r="O124" s="59">
        <f>3.995 * CHOOSE(CONTROL!$C$27, $C$14, 100%, $E$14)</f>
        <v>3.9950000000000001</v>
      </c>
      <c r="P124" s="4"/>
      <c r="Q124" s="4"/>
      <c r="R124" s="4"/>
    </row>
    <row r="125" spans="1:18" ht="15">
      <c r="A125" s="11">
        <v>44896</v>
      </c>
      <c r="B125" s="58">
        <f>3.3667 * CHOOSE(CONTROL!$C$27, $C$14, 100%, $E$14)</f>
        <v>3.3666999999999998</v>
      </c>
      <c r="C125" s="58">
        <f>3.3667 * CHOOSE(CONTROL!$C$27, $C$14, 100%, $E$14)</f>
        <v>3.3666999999999998</v>
      </c>
      <c r="D125" s="58">
        <f>3.3707 * CHOOSE(CONTROL!$C$27, $C$14, 100%, $E$14)</f>
        <v>3.3706999999999998</v>
      </c>
      <c r="E125" s="59">
        <f>3.9572 * CHOOSE(CONTROL!$C$27, $C$14, 100%, $E$14)</f>
        <v>3.9571999999999998</v>
      </c>
      <c r="F125" s="59">
        <f>3.9572 * CHOOSE(CONTROL!$C$27, $C$14, 100%, $E$14)</f>
        <v>3.9571999999999998</v>
      </c>
      <c r="G125" s="59">
        <f>3.9621 * CHOOSE(CONTROL!$C$27, $C$14, 100%, $E$14)</f>
        <v>3.9621</v>
      </c>
      <c r="H125" s="59">
        <f>7.3716* CHOOSE(CONTROL!$C$27, $C$14, 100%, $E$14)</f>
        <v>7.3715999999999999</v>
      </c>
      <c r="I125" s="59">
        <f>7.3765 * CHOOSE(CONTROL!$C$27, $C$14, 100%, $E$14)</f>
        <v>7.3765000000000001</v>
      </c>
      <c r="J125" s="59">
        <f>7.3716 * CHOOSE(CONTROL!$C$27, $C$14, 100%, $E$14)</f>
        <v>7.3715999999999999</v>
      </c>
      <c r="K125" s="59">
        <f>7.3765 * CHOOSE(CONTROL!$C$27, $C$14, 100%, $E$14)</f>
        <v>7.3765000000000001</v>
      </c>
      <c r="L125" s="59">
        <f>3.9572 * CHOOSE(CONTROL!$C$27, $C$14, 100%, $E$14)</f>
        <v>3.9571999999999998</v>
      </c>
      <c r="M125" s="59">
        <f>3.9621 * CHOOSE(CONTROL!$C$27, $C$14, 100%, $E$14)</f>
        <v>3.9621</v>
      </c>
      <c r="N125" s="59">
        <f>3.9572 * CHOOSE(CONTROL!$C$27, $C$14, 100%, $E$14)</f>
        <v>3.9571999999999998</v>
      </c>
      <c r="O125" s="59">
        <f>3.9621 * CHOOSE(CONTROL!$C$27, $C$14, 100%, $E$14)</f>
        <v>3.9621</v>
      </c>
      <c r="P125" s="4"/>
      <c r="Q125" s="4"/>
      <c r="R125" s="4"/>
    </row>
    <row r="126" spans="1:18" ht="15">
      <c r="A126" s="11">
        <v>44927</v>
      </c>
      <c r="B126" s="58">
        <f>3.3924 * CHOOSE(CONTROL!$C$27, $C$14, 100%, $E$14)</f>
        <v>3.3923999999999999</v>
      </c>
      <c r="C126" s="58">
        <f>3.3924 * CHOOSE(CONTROL!$C$27, $C$14, 100%, $E$14)</f>
        <v>3.3923999999999999</v>
      </c>
      <c r="D126" s="58">
        <f>3.3964 * CHOOSE(CONTROL!$C$27, $C$14, 100%, $E$14)</f>
        <v>3.3963999999999999</v>
      </c>
      <c r="E126" s="59">
        <f>4.0337 * CHOOSE(CONTROL!$C$27, $C$14, 100%, $E$14)</f>
        <v>4.0336999999999996</v>
      </c>
      <c r="F126" s="59">
        <f>4.0337 * CHOOSE(CONTROL!$C$27, $C$14, 100%, $E$14)</f>
        <v>4.0336999999999996</v>
      </c>
      <c r="G126" s="59">
        <f>4.0387 * CHOOSE(CONTROL!$C$27, $C$14, 100%, $E$14)</f>
        <v>4.0387000000000004</v>
      </c>
      <c r="H126" s="59">
        <f>7.387* CHOOSE(CONTROL!$C$27, $C$14, 100%, $E$14)</f>
        <v>7.3869999999999996</v>
      </c>
      <c r="I126" s="59">
        <f>7.3919 * CHOOSE(CONTROL!$C$27, $C$14, 100%, $E$14)</f>
        <v>7.3918999999999997</v>
      </c>
      <c r="J126" s="59">
        <f>7.387 * CHOOSE(CONTROL!$C$27, $C$14, 100%, $E$14)</f>
        <v>7.3869999999999996</v>
      </c>
      <c r="K126" s="59">
        <f>7.3919 * CHOOSE(CONTROL!$C$27, $C$14, 100%, $E$14)</f>
        <v>7.3918999999999997</v>
      </c>
      <c r="L126" s="59">
        <f>4.0337 * CHOOSE(CONTROL!$C$27, $C$14, 100%, $E$14)</f>
        <v>4.0336999999999996</v>
      </c>
      <c r="M126" s="59">
        <f>4.0387 * CHOOSE(CONTROL!$C$27, $C$14, 100%, $E$14)</f>
        <v>4.0387000000000004</v>
      </c>
      <c r="N126" s="59">
        <f>4.0337 * CHOOSE(CONTROL!$C$27, $C$14, 100%, $E$14)</f>
        <v>4.0336999999999996</v>
      </c>
      <c r="O126" s="59">
        <f>4.0387 * CHOOSE(CONTROL!$C$27, $C$14, 100%, $E$14)</f>
        <v>4.0387000000000004</v>
      </c>
      <c r="P126" s="4"/>
      <c r="Q126" s="4"/>
      <c r="R126" s="4"/>
    </row>
    <row r="127" spans="1:18" ht="15">
      <c r="A127" s="11">
        <v>44958</v>
      </c>
      <c r="B127" s="58">
        <f>3.3894 * CHOOSE(CONTROL!$C$27, $C$14, 100%, $E$14)</f>
        <v>3.3894000000000002</v>
      </c>
      <c r="C127" s="58">
        <f>3.3894 * CHOOSE(CONTROL!$C$27, $C$14, 100%, $E$14)</f>
        <v>3.3894000000000002</v>
      </c>
      <c r="D127" s="58">
        <f>3.3933 * CHOOSE(CONTROL!$C$27, $C$14, 100%, $E$14)</f>
        <v>3.3933</v>
      </c>
      <c r="E127" s="59">
        <f>3.9661 * CHOOSE(CONTROL!$C$27, $C$14, 100%, $E$14)</f>
        <v>3.9661</v>
      </c>
      <c r="F127" s="59">
        <f>3.9661 * CHOOSE(CONTROL!$C$27, $C$14, 100%, $E$14)</f>
        <v>3.9661</v>
      </c>
      <c r="G127" s="59">
        <f>3.971 * CHOOSE(CONTROL!$C$27, $C$14, 100%, $E$14)</f>
        <v>3.9710000000000001</v>
      </c>
      <c r="H127" s="59">
        <f>7.4024* CHOOSE(CONTROL!$C$27, $C$14, 100%, $E$14)</f>
        <v>7.4024000000000001</v>
      </c>
      <c r="I127" s="59">
        <f>7.4073 * CHOOSE(CONTROL!$C$27, $C$14, 100%, $E$14)</f>
        <v>7.4073000000000002</v>
      </c>
      <c r="J127" s="59">
        <f>7.4024 * CHOOSE(CONTROL!$C$27, $C$14, 100%, $E$14)</f>
        <v>7.4024000000000001</v>
      </c>
      <c r="K127" s="59">
        <f>7.4073 * CHOOSE(CONTROL!$C$27, $C$14, 100%, $E$14)</f>
        <v>7.4073000000000002</v>
      </c>
      <c r="L127" s="59">
        <f>3.9661 * CHOOSE(CONTROL!$C$27, $C$14, 100%, $E$14)</f>
        <v>3.9661</v>
      </c>
      <c r="M127" s="59">
        <f>3.971 * CHOOSE(CONTROL!$C$27, $C$14, 100%, $E$14)</f>
        <v>3.9710000000000001</v>
      </c>
      <c r="N127" s="59">
        <f>3.9661 * CHOOSE(CONTROL!$C$27, $C$14, 100%, $E$14)</f>
        <v>3.9661</v>
      </c>
      <c r="O127" s="59">
        <f>3.971 * CHOOSE(CONTROL!$C$27, $C$14, 100%, $E$14)</f>
        <v>3.9710000000000001</v>
      </c>
      <c r="P127" s="4"/>
      <c r="Q127" s="4"/>
      <c r="R127" s="4"/>
    </row>
    <row r="128" spans="1:18" ht="15">
      <c r="A128" s="11">
        <v>44986</v>
      </c>
      <c r="B128" s="58">
        <f>3.3863 * CHOOSE(CONTROL!$C$27, $C$14, 100%, $E$14)</f>
        <v>3.3862999999999999</v>
      </c>
      <c r="C128" s="58">
        <f>3.3863 * CHOOSE(CONTROL!$C$27, $C$14, 100%, $E$14)</f>
        <v>3.3862999999999999</v>
      </c>
      <c r="D128" s="58">
        <f>3.3903 * CHOOSE(CONTROL!$C$27, $C$14, 100%, $E$14)</f>
        <v>3.3902999999999999</v>
      </c>
      <c r="E128" s="59">
        <f>4.0156 * CHOOSE(CONTROL!$C$27, $C$14, 100%, $E$14)</f>
        <v>4.0156000000000001</v>
      </c>
      <c r="F128" s="59">
        <f>4.0156 * CHOOSE(CONTROL!$C$27, $C$14, 100%, $E$14)</f>
        <v>4.0156000000000001</v>
      </c>
      <c r="G128" s="59">
        <f>4.0206 * CHOOSE(CONTROL!$C$27, $C$14, 100%, $E$14)</f>
        <v>4.0206</v>
      </c>
      <c r="H128" s="59">
        <f>7.4178* CHOOSE(CONTROL!$C$27, $C$14, 100%, $E$14)</f>
        <v>7.4177999999999997</v>
      </c>
      <c r="I128" s="59">
        <f>7.4227 * CHOOSE(CONTROL!$C$27, $C$14, 100%, $E$14)</f>
        <v>7.4226999999999999</v>
      </c>
      <c r="J128" s="59">
        <f>7.4178 * CHOOSE(CONTROL!$C$27, $C$14, 100%, $E$14)</f>
        <v>7.4177999999999997</v>
      </c>
      <c r="K128" s="59">
        <f>7.4227 * CHOOSE(CONTROL!$C$27, $C$14, 100%, $E$14)</f>
        <v>7.4226999999999999</v>
      </c>
      <c r="L128" s="59">
        <f>4.0156 * CHOOSE(CONTROL!$C$27, $C$14, 100%, $E$14)</f>
        <v>4.0156000000000001</v>
      </c>
      <c r="M128" s="59">
        <f>4.0206 * CHOOSE(CONTROL!$C$27, $C$14, 100%, $E$14)</f>
        <v>4.0206</v>
      </c>
      <c r="N128" s="59">
        <f>4.0156 * CHOOSE(CONTROL!$C$27, $C$14, 100%, $E$14)</f>
        <v>4.0156000000000001</v>
      </c>
      <c r="O128" s="59">
        <f>4.0206 * CHOOSE(CONTROL!$C$27, $C$14, 100%, $E$14)</f>
        <v>4.0206</v>
      </c>
      <c r="P128" s="4"/>
      <c r="Q128" s="4"/>
      <c r="R128" s="4"/>
    </row>
    <row r="129" spans="1:18" ht="15">
      <c r="A129" s="11">
        <v>45017</v>
      </c>
      <c r="B129" s="58">
        <f>3.3833 * CHOOSE(CONTROL!$C$27, $C$14, 100%, $E$14)</f>
        <v>3.3833000000000002</v>
      </c>
      <c r="C129" s="58">
        <f>3.3833 * CHOOSE(CONTROL!$C$27, $C$14, 100%, $E$14)</f>
        <v>3.3833000000000002</v>
      </c>
      <c r="D129" s="58">
        <f>3.3873 * CHOOSE(CONTROL!$C$27, $C$14, 100%, $E$14)</f>
        <v>3.3873000000000002</v>
      </c>
      <c r="E129" s="59">
        <f>4.0669 * CHOOSE(CONTROL!$C$27, $C$14, 100%, $E$14)</f>
        <v>4.0669000000000004</v>
      </c>
      <c r="F129" s="59">
        <f>4.0669 * CHOOSE(CONTROL!$C$27, $C$14, 100%, $E$14)</f>
        <v>4.0669000000000004</v>
      </c>
      <c r="G129" s="59">
        <f>4.0718 * CHOOSE(CONTROL!$C$27, $C$14, 100%, $E$14)</f>
        <v>4.0717999999999996</v>
      </c>
      <c r="H129" s="59">
        <f>7.4332* CHOOSE(CONTROL!$C$27, $C$14, 100%, $E$14)</f>
        <v>7.4332000000000003</v>
      </c>
      <c r="I129" s="59">
        <f>7.4382 * CHOOSE(CONTROL!$C$27, $C$14, 100%, $E$14)</f>
        <v>7.4382000000000001</v>
      </c>
      <c r="J129" s="59">
        <f>7.4332 * CHOOSE(CONTROL!$C$27, $C$14, 100%, $E$14)</f>
        <v>7.4332000000000003</v>
      </c>
      <c r="K129" s="59">
        <f>7.4382 * CHOOSE(CONTROL!$C$27, $C$14, 100%, $E$14)</f>
        <v>7.4382000000000001</v>
      </c>
      <c r="L129" s="59">
        <f>4.0669 * CHOOSE(CONTROL!$C$27, $C$14, 100%, $E$14)</f>
        <v>4.0669000000000004</v>
      </c>
      <c r="M129" s="59">
        <f>4.0718 * CHOOSE(CONTROL!$C$27, $C$14, 100%, $E$14)</f>
        <v>4.0717999999999996</v>
      </c>
      <c r="N129" s="59">
        <f>4.0669 * CHOOSE(CONTROL!$C$27, $C$14, 100%, $E$14)</f>
        <v>4.0669000000000004</v>
      </c>
      <c r="O129" s="59">
        <f>4.0718 * CHOOSE(CONTROL!$C$27, $C$14, 100%, $E$14)</f>
        <v>4.0717999999999996</v>
      </c>
      <c r="P129" s="4"/>
      <c r="Q129" s="4"/>
      <c r="R129" s="4"/>
    </row>
    <row r="130" spans="1:18" ht="15">
      <c r="A130" s="11">
        <v>45047</v>
      </c>
      <c r="B130" s="58">
        <f>3.3833 * CHOOSE(CONTROL!$C$27, $C$14, 100%, $E$14)</f>
        <v>3.3833000000000002</v>
      </c>
      <c r="C130" s="58">
        <f>3.3833 * CHOOSE(CONTROL!$C$27, $C$14, 100%, $E$14)</f>
        <v>3.3833000000000002</v>
      </c>
      <c r="D130" s="58">
        <f>3.389 * CHOOSE(CONTROL!$C$27, $C$14, 100%, $E$14)</f>
        <v>3.3889999999999998</v>
      </c>
      <c r="E130" s="59">
        <f>4.0877 * CHOOSE(CONTROL!$C$27, $C$14, 100%, $E$14)</f>
        <v>4.0876999999999999</v>
      </c>
      <c r="F130" s="59">
        <f>4.0877 * CHOOSE(CONTROL!$C$27, $C$14, 100%, $E$14)</f>
        <v>4.0876999999999999</v>
      </c>
      <c r="G130" s="59">
        <f>4.0946 * CHOOSE(CONTROL!$C$27, $C$14, 100%, $E$14)</f>
        <v>4.0945999999999998</v>
      </c>
      <c r="H130" s="59">
        <f>7.4487* CHOOSE(CONTROL!$C$27, $C$14, 100%, $E$14)</f>
        <v>7.4486999999999997</v>
      </c>
      <c r="I130" s="59">
        <f>7.4556 * CHOOSE(CONTROL!$C$27, $C$14, 100%, $E$14)</f>
        <v>7.4555999999999996</v>
      </c>
      <c r="J130" s="59">
        <f>7.4487 * CHOOSE(CONTROL!$C$27, $C$14, 100%, $E$14)</f>
        <v>7.4486999999999997</v>
      </c>
      <c r="K130" s="59">
        <f>7.4556 * CHOOSE(CONTROL!$C$27, $C$14, 100%, $E$14)</f>
        <v>7.4555999999999996</v>
      </c>
      <c r="L130" s="59">
        <f>4.0877 * CHOOSE(CONTROL!$C$27, $C$14, 100%, $E$14)</f>
        <v>4.0876999999999999</v>
      </c>
      <c r="M130" s="59">
        <f>4.0946 * CHOOSE(CONTROL!$C$27, $C$14, 100%, $E$14)</f>
        <v>4.0945999999999998</v>
      </c>
      <c r="N130" s="59">
        <f>4.0877 * CHOOSE(CONTROL!$C$27, $C$14, 100%, $E$14)</f>
        <v>4.0876999999999999</v>
      </c>
      <c r="O130" s="59">
        <f>4.0946 * CHOOSE(CONTROL!$C$27, $C$14, 100%, $E$14)</f>
        <v>4.0945999999999998</v>
      </c>
      <c r="P130" s="4"/>
      <c r="Q130" s="4"/>
      <c r="R130" s="4"/>
    </row>
    <row r="131" spans="1:18" ht="15">
      <c r="A131" s="11">
        <v>45078</v>
      </c>
      <c r="B131" s="58">
        <f>3.3894 * CHOOSE(CONTROL!$C$27, $C$14, 100%, $E$14)</f>
        <v>3.3894000000000002</v>
      </c>
      <c r="C131" s="58">
        <f>3.3894 * CHOOSE(CONTROL!$C$27, $C$14, 100%, $E$14)</f>
        <v>3.3894000000000002</v>
      </c>
      <c r="D131" s="58">
        <f>3.395 * CHOOSE(CONTROL!$C$27, $C$14, 100%, $E$14)</f>
        <v>3.395</v>
      </c>
      <c r="E131" s="59">
        <f>4.0711 * CHOOSE(CONTROL!$C$27, $C$14, 100%, $E$14)</f>
        <v>4.0711000000000004</v>
      </c>
      <c r="F131" s="59">
        <f>4.0711 * CHOOSE(CONTROL!$C$27, $C$14, 100%, $E$14)</f>
        <v>4.0711000000000004</v>
      </c>
      <c r="G131" s="59">
        <f>4.078 * CHOOSE(CONTROL!$C$27, $C$14, 100%, $E$14)</f>
        <v>4.0780000000000003</v>
      </c>
      <c r="H131" s="59">
        <f>7.4642* CHOOSE(CONTROL!$C$27, $C$14, 100%, $E$14)</f>
        <v>7.4641999999999999</v>
      </c>
      <c r="I131" s="59">
        <f>7.4711 * CHOOSE(CONTROL!$C$27, $C$14, 100%, $E$14)</f>
        <v>7.4710999999999999</v>
      </c>
      <c r="J131" s="59">
        <f>7.4642 * CHOOSE(CONTROL!$C$27, $C$14, 100%, $E$14)</f>
        <v>7.4641999999999999</v>
      </c>
      <c r="K131" s="59">
        <f>7.4711 * CHOOSE(CONTROL!$C$27, $C$14, 100%, $E$14)</f>
        <v>7.4710999999999999</v>
      </c>
      <c r="L131" s="59">
        <f>4.0711 * CHOOSE(CONTROL!$C$27, $C$14, 100%, $E$14)</f>
        <v>4.0711000000000004</v>
      </c>
      <c r="M131" s="59">
        <f>4.078 * CHOOSE(CONTROL!$C$27, $C$14, 100%, $E$14)</f>
        <v>4.0780000000000003</v>
      </c>
      <c r="N131" s="59">
        <f>4.0711 * CHOOSE(CONTROL!$C$27, $C$14, 100%, $E$14)</f>
        <v>4.0711000000000004</v>
      </c>
      <c r="O131" s="59">
        <f>4.078 * CHOOSE(CONTROL!$C$27, $C$14, 100%, $E$14)</f>
        <v>4.0780000000000003</v>
      </c>
      <c r="P131" s="4"/>
      <c r="Q131" s="4"/>
      <c r="R131" s="4"/>
    </row>
    <row r="132" spans="1:18" ht="15">
      <c r="A132" s="11">
        <v>45108</v>
      </c>
      <c r="B132" s="58">
        <f>3.4356 * CHOOSE(CONTROL!$C$27, $C$14, 100%, $E$14)</f>
        <v>3.4356</v>
      </c>
      <c r="C132" s="58">
        <f>3.4356 * CHOOSE(CONTROL!$C$27, $C$14, 100%, $E$14)</f>
        <v>3.4356</v>
      </c>
      <c r="D132" s="58">
        <f>3.4413 * CHOOSE(CONTROL!$C$27, $C$14, 100%, $E$14)</f>
        <v>3.4413</v>
      </c>
      <c r="E132" s="59">
        <f>4.1492 * CHOOSE(CONTROL!$C$27, $C$14, 100%, $E$14)</f>
        <v>4.1492000000000004</v>
      </c>
      <c r="F132" s="59">
        <f>4.1492 * CHOOSE(CONTROL!$C$27, $C$14, 100%, $E$14)</f>
        <v>4.1492000000000004</v>
      </c>
      <c r="G132" s="59">
        <f>4.1561 * CHOOSE(CONTROL!$C$27, $C$14, 100%, $E$14)</f>
        <v>4.1561000000000003</v>
      </c>
      <c r="H132" s="59">
        <f>7.4798* CHOOSE(CONTROL!$C$27, $C$14, 100%, $E$14)</f>
        <v>7.4798</v>
      </c>
      <c r="I132" s="59">
        <f>7.4867 * CHOOSE(CONTROL!$C$27, $C$14, 100%, $E$14)</f>
        <v>7.4866999999999999</v>
      </c>
      <c r="J132" s="59">
        <f>7.4798 * CHOOSE(CONTROL!$C$27, $C$14, 100%, $E$14)</f>
        <v>7.4798</v>
      </c>
      <c r="K132" s="59">
        <f>7.4867 * CHOOSE(CONTROL!$C$27, $C$14, 100%, $E$14)</f>
        <v>7.4866999999999999</v>
      </c>
      <c r="L132" s="59">
        <f>4.1492 * CHOOSE(CONTROL!$C$27, $C$14, 100%, $E$14)</f>
        <v>4.1492000000000004</v>
      </c>
      <c r="M132" s="59">
        <f>4.1561 * CHOOSE(CONTROL!$C$27, $C$14, 100%, $E$14)</f>
        <v>4.1561000000000003</v>
      </c>
      <c r="N132" s="59">
        <f>4.1492 * CHOOSE(CONTROL!$C$27, $C$14, 100%, $E$14)</f>
        <v>4.1492000000000004</v>
      </c>
      <c r="O132" s="59">
        <f>4.1561 * CHOOSE(CONTROL!$C$27, $C$14, 100%, $E$14)</f>
        <v>4.1561000000000003</v>
      </c>
      <c r="P132" s="4"/>
      <c r="Q132" s="4"/>
      <c r="R132" s="4"/>
    </row>
    <row r="133" spans="1:18" ht="15">
      <c r="A133" s="11">
        <v>45139</v>
      </c>
      <c r="B133" s="58">
        <f>3.4423 * CHOOSE(CONTROL!$C$27, $C$14, 100%, $E$14)</f>
        <v>3.4422999999999999</v>
      </c>
      <c r="C133" s="58">
        <f>3.4423 * CHOOSE(CONTROL!$C$27, $C$14, 100%, $E$14)</f>
        <v>3.4422999999999999</v>
      </c>
      <c r="D133" s="58">
        <f>3.448 * CHOOSE(CONTROL!$C$27, $C$14, 100%, $E$14)</f>
        <v>3.448</v>
      </c>
      <c r="E133" s="59">
        <f>4.0915 * CHOOSE(CONTROL!$C$27, $C$14, 100%, $E$14)</f>
        <v>4.0914999999999999</v>
      </c>
      <c r="F133" s="59">
        <f>4.0915 * CHOOSE(CONTROL!$C$27, $C$14, 100%, $E$14)</f>
        <v>4.0914999999999999</v>
      </c>
      <c r="G133" s="59">
        <f>4.0984 * CHOOSE(CONTROL!$C$27, $C$14, 100%, $E$14)</f>
        <v>4.0983999999999998</v>
      </c>
      <c r="H133" s="59">
        <f>7.4954* CHOOSE(CONTROL!$C$27, $C$14, 100%, $E$14)</f>
        <v>7.4954000000000001</v>
      </c>
      <c r="I133" s="59">
        <f>7.5023 * CHOOSE(CONTROL!$C$27, $C$14, 100%, $E$14)</f>
        <v>7.5023</v>
      </c>
      <c r="J133" s="59">
        <f>7.4954 * CHOOSE(CONTROL!$C$27, $C$14, 100%, $E$14)</f>
        <v>7.4954000000000001</v>
      </c>
      <c r="K133" s="59">
        <f>7.5023 * CHOOSE(CONTROL!$C$27, $C$14, 100%, $E$14)</f>
        <v>7.5023</v>
      </c>
      <c r="L133" s="59">
        <f>4.0915 * CHOOSE(CONTROL!$C$27, $C$14, 100%, $E$14)</f>
        <v>4.0914999999999999</v>
      </c>
      <c r="M133" s="59">
        <f>4.0984 * CHOOSE(CONTROL!$C$27, $C$14, 100%, $E$14)</f>
        <v>4.0983999999999998</v>
      </c>
      <c r="N133" s="59">
        <f>4.0915 * CHOOSE(CONTROL!$C$27, $C$14, 100%, $E$14)</f>
        <v>4.0914999999999999</v>
      </c>
      <c r="O133" s="59">
        <f>4.0984 * CHOOSE(CONTROL!$C$27, $C$14, 100%, $E$14)</f>
        <v>4.0983999999999998</v>
      </c>
      <c r="P133" s="4"/>
      <c r="Q133" s="4"/>
      <c r="R133" s="4"/>
    </row>
    <row r="134" spans="1:18" ht="15">
      <c r="A134" s="11">
        <v>45170</v>
      </c>
      <c r="B134" s="58">
        <f>3.4393 * CHOOSE(CONTROL!$C$27, $C$14, 100%, $E$14)</f>
        <v>3.4392999999999998</v>
      </c>
      <c r="C134" s="58">
        <f>3.4393 * CHOOSE(CONTROL!$C$27, $C$14, 100%, $E$14)</f>
        <v>3.4392999999999998</v>
      </c>
      <c r="D134" s="58">
        <f>3.4449 * CHOOSE(CONTROL!$C$27, $C$14, 100%, $E$14)</f>
        <v>3.4449000000000001</v>
      </c>
      <c r="E134" s="59">
        <f>4.0824 * CHOOSE(CONTROL!$C$27, $C$14, 100%, $E$14)</f>
        <v>4.0823999999999998</v>
      </c>
      <c r="F134" s="59">
        <f>4.0824 * CHOOSE(CONTROL!$C$27, $C$14, 100%, $E$14)</f>
        <v>4.0823999999999998</v>
      </c>
      <c r="G134" s="59">
        <f>4.0893 * CHOOSE(CONTROL!$C$27, $C$14, 100%, $E$14)</f>
        <v>4.0892999999999997</v>
      </c>
      <c r="H134" s="59">
        <f>7.511* CHOOSE(CONTROL!$C$27, $C$14, 100%, $E$14)</f>
        <v>7.5110000000000001</v>
      </c>
      <c r="I134" s="59">
        <f>7.5179 * CHOOSE(CONTROL!$C$27, $C$14, 100%, $E$14)</f>
        <v>7.5179</v>
      </c>
      <c r="J134" s="59">
        <f>7.511 * CHOOSE(CONTROL!$C$27, $C$14, 100%, $E$14)</f>
        <v>7.5110000000000001</v>
      </c>
      <c r="K134" s="59">
        <f>7.5179 * CHOOSE(CONTROL!$C$27, $C$14, 100%, $E$14)</f>
        <v>7.5179</v>
      </c>
      <c r="L134" s="59">
        <f>4.0824 * CHOOSE(CONTROL!$C$27, $C$14, 100%, $E$14)</f>
        <v>4.0823999999999998</v>
      </c>
      <c r="M134" s="59">
        <f>4.0893 * CHOOSE(CONTROL!$C$27, $C$14, 100%, $E$14)</f>
        <v>4.0892999999999997</v>
      </c>
      <c r="N134" s="59">
        <f>4.0824 * CHOOSE(CONTROL!$C$27, $C$14, 100%, $E$14)</f>
        <v>4.0823999999999998</v>
      </c>
      <c r="O134" s="59">
        <f>4.0893 * CHOOSE(CONTROL!$C$27, $C$14, 100%, $E$14)</f>
        <v>4.0892999999999997</v>
      </c>
      <c r="P134" s="4"/>
      <c r="Q134" s="4"/>
      <c r="R134" s="4"/>
    </row>
    <row r="135" spans="1:18" ht="15">
      <c r="A135" s="11">
        <v>45200</v>
      </c>
      <c r="B135" s="58">
        <f>3.4321 * CHOOSE(CONTROL!$C$27, $C$14, 100%, $E$14)</f>
        <v>3.4321000000000002</v>
      </c>
      <c r="C135" s="58">
        <f>3.4321 * CHOOSE(CONTROL!$C$27, $C$14, 100%, $E$14)</f>
        <v>3.4321000000000002</v>
      </c>
      <c r="D135" s="58">
        <f>3.4361 * CHOOSE(CONTROL!$C$27, $C$14, 100%, $E$14)</f>
        <v>3.4361000000000002</v>
      </c>
      <c r="E135" s="59">
        <f>4.0968 * CHOOSE(CONTROL!$C$27, $C$14, 100%, $E$14)</f>
        <v>4.0968</v>
      </c>
      <c r="F135" s="59">
        <f>4.0968 * CHOOSE(CONTROL!$C$27, $C$14, 100%, $E$14)</f>
        <v>4.0968</v>
      </c>
      <c r="G135" s="59">
        <f>4.1017 * CHOOSE(CONTROL!$C$27, $C$14, 100%, $E$14)</f>
        <v>4.1017000000000001</v>
      </c>
      <c r="H135" s="59">
        <f>7.5266* CHOOSE(CONTROL!$C$27, $C$14, 100%, $E$14)</f>
        <v>7.5266000000000002</v>
      </c>
      <c r="I135" s="59">
        <f>7.5316 * CHOOSE(CONTROL!$C$27, $C$14, 100%, $E$14)</f>
        <v>7.5316000000000001</v>
      </c>
      <c r="J135" s="59">
        <f>7.5266 * CHOOSE(CONTROL!$C$27, $C$14, 100%, $E$14)</f>
        <v>7.5266000000000002</v>
      </c>
      <c r="K135" s="59">
        <f>7.5316 * CHOOSE(CONTROL!$C$27, $C$14, 100%, $E$14)</f>
        <v>7.5316000000000001</v>
      </c>
      <c r="L135" s="59">
        <f>4.0968 * CHOOSE(CONTROL!$C$27, $C$14, 100%, $E$14)</f>
        <v>4.0968</v>
      </c>
      <c r="M135" s="59">
        <f>4.1017 * CHOOSE(CONTROL!$C$27, $C$14, 100%, $E$14)</f>
        <v>4.1017000000000001</v>
      </c>
      <c r="N135" s="59">
        <f>4.0968 * CHOOSE(CONTROL!$C$27, $C$14, 100%, $E$14)</f>
        <v>4.0968</v>
      </c>
      <c r="O135" s="59">
        <f>4.1017 * CHOOSE(CONTROL!$C$27, $C$14, 100%, $E$14)</f>
        <v>4.1017000000000001</v>
      </c>
      <c r="P135" s="4"/>
      <c r="Q135" s="4"/>
      <c r="R135" s="4"/>
    </row>
    <row r="136" spans="1:18" ht="15">
      <c r="A136" s="11">
        <v>45231</v>
      </c>
      <c r="B136" s="58">
        <f>3.4352 * CHOOSE(CONTROL!$C$27, $C$14, 100%, $E$14)</f>
        <v>3.4352</v>
      </c>
      <c r="C136" s="58">
        <f>3.4352 * CHOOSE(CONTROL!$C$27, $C$14, 100%, $E$14)</f>
        <v>3.4352</v>
      </c>
      <c r="D136" s="58">
        <f>3.4392 * CHOOSE(CONTROL!$C$27, $C$14, 100%, $E$14)</f>
        <v>3.4392</v>
      </c>
      <c r="E136" s="59">
        <f>4.1127 * CHOOSE(CONTROL!$C$27, $C$14, 100%, $E$14)</f>
        <v>4.1127000000000002</v>
      </c>
      <c r="F136" s="59">
        <f>4.1127 * CHOOSE(CONTROL!$C$27, $C$14, 100%, $E$14)</f>
        <v>4.1127000000000002</v>
      </c>
      <c r="G136" s="59">
        <f>4.1177 * CHOOSE(CONTROL!$C$27, $C$14, 100%, $E$14)</f>
        <v>4.1177000000000001</v>
      </c>
      <c r="H136" s="59">
        <f>7.5423* CHOOSE(CONTROL!$C$27, $C$14, 100%, $E$14)</f>
        <v>7.5423</v>
      </c>
      <c r="I136" s="59">
        <f>7.5472 * CHOOSE(CONTROL!$C$27, $C$14, 100%, $E$14)</f>
        <v>7.5472000000000001</v>
      </c>
      <c r="J136" s="59">
        <f>7.5423 * CHOOSE(CONTROL!$C$27, $C$14, 100%, $E$14)</f>
        <v>7.5423</v>
      </c>
      <c r="K136" s="59">
        <f>7.5472 * CHOOSE(CONTROL!$C$27, $C$14, 100%, $E$14)</f>
        <v>7.5472000000000001</v>
      </c>
      <c r="L136" s="59">
        <f>4.1127 * CHOOSE(CONTROL!$C$27, $C$14, 100%, $E$14)</f>
        <v>4.1127000000000002</v>
      </c>
      <c r="M136" s="59">
        <f>4.1177 * CHOOSE(CONTROL!$C$27, $C$14, 100%, $E$14)</f>
        <v>4.1177000000000001</v>
      </c>
      <c r="N136" s="59">
        <f>4.1127 * CHOOSE(CONTROL!$C$27, $C$14, 100%, $E$14)</f>
        <v>4.1127000000000002</v>
      </c>
      <c r="O136" s="59">
        <f>4.1177 * CHOOSE(CONTROL!$C$27, $C$14, 100%, $E$14)</f>
        <v>4.1177000000000001</v>
      </c>
      <c r="P136" s="4"/>
      <c r="Q136" s="4"/>
      <c r="R136" s="4"/>
    </row>
    <row r="137" spans="1:18" ht="15">
      <c r="A137" s="11">
        <v>45261</v>
      </c>
      <c r="B137" s="58">
        <f>3.4352 * CHOOSE(CONTROL!$C$27, $C$14, 100%, $E$14)</f>
        <v>3.4352</v>
      </c>
      <c r="C137" s="58">
        <f>3.4352 * CHOOSE(CONTROL!$C$27, $C$14, 100%, $E$14)</f>
        <v>3.4352</v>
      </c>
      <c r="D137" s="58">
        <f>3.4392 * CHOOSE(CONTROL!$C$27, $C$14, 100%, $E$14)</f>
        <v>3.4392</v>
      </c>
      <c r="E137" s="59">
        <f>4.0781 * CHOOSE(CONTROL!$C$27, $C$14, 100%, $E$14)</f>
        <v>4.0781000000000001</v>
      </c>
      <c r="F137" s="59">
        <f>4.0781 * CHOOSE(CONTROL!$C$27, $C$14, 100%, $E$14)</f>
        <v>4.0781000000000001</v>
      </c>
      <c r="G137" s="59">
        <f>4.083 * CHOOSE(CONTROL!$C$27, $C$14, 100%, $E$14)</f>
        <v>4.0830000000000002</v>
      </c>
      <c r="H137" s="59">
        <f>7.558* CHOOSE(CONTROL!$C$27, $C$14, 100%, $E$14)</f>
        <v>7.5579999999999998</v>
      </c>
      <c r="I137" s="59">
        <f>7.563 * CHOOSE(CONTROL!$C$27, $C$14, 100%, $E$14)</f>
        <v>7.5629999999999997</v>
      </c>
      <c r="J137" s="59">
        <f>7.558 * CHOOSE(CONTROL!$C$27, $C$14, 100%, $E$14)</f>
        <v>7.5579999999999998</v>
      </c>
      <c r="K137" s="59">
        <f>7.563 * CHOOSE(CONTROL!$C$27, $C$14, 100%, $E$14)</f>
        <v>7.5629999999999997</v>
      </c>
      <c r="L137" s="59">
        <f>4.0781 * CHOOSE(CONTROL!$C$27, $C$14, 100%, $E$14)</f>
        <v>4.0781000000000001</v>
      </c>
      <c r="M137" s="59">
        <f>4.083 * CHOOSE(CONTROL!$C$27, $C$14, 100%, $E$14)</f>
        <v>4.0830000000000002</v>
      </c>
      <c r="N137" s="59">
        <f>4.0781 * CHOOSE(CONTROL!$C$27, $C$14, 100%, $E$14)</f>
        <v>4.0781000000000001</v>
      </c>
      <c r="O137" s="59">
        <f>4.083 * CHOOSE(CONTROL!$C$27, $C$14, 100%, $E$14)</f>
        <v>4.0830000000000002</v>
      </c>
      <c r="P137" s="4"/>
      <c r="Q137" s="4"/>
      <c r="R137" s="4"/>
    </row>
    <row r="138" spans="1:18" ht="15">
      <c r="A138" s="11">
        <v>45292</v>
      </c>
      <c r="B138" s="58">
        <f>3.4652 * CHOOSE(CONTROL!$C$27, $C$14, 100%, $E$14)</f>
        <v>3.4651999999999998</v>
      </c>
      <c r="C138" s="58">
        <f>3.4652 * CHOOSE(CONTROL!$C$27, $C$14, 100%, $E$14)</f>
        <v>3.4651999999999998</v>
      </c>
      <c r="D138" s="58">
        <f>3.4692 * CHOOSE(CONTROL!$C$27, $C$14, 100%, $E$14)</f>
        <v>3.4691999999999998</v>
      </c>
      <c r="E138" s="59">
        <f>4.1228 * CHOOSE(CONTROL!$C$27, $C$14, 100%, $E$14)</f>
        <v>4.1227999999999998</v>
      </c>
      <c r="F138" s="59">
        <f>4.1228 * CHOOSE(CONTROL!$C$27, $C$14, 100%, $E$14)</f>
        <v>4.1227999999999998</v>
      </c>
      <c r="G138" s="59">
        <f>4.1277 * CHOOSE(CONTROL!$C$27, $C$14, 100%, $E$14)</f>
        <v>4.1276999999999999</v>
      </c>
      <c r="H138" s="59">
        <f>7.5738* CHOOSE(CONTROL!$C$27, $C$14, 100%, $E$14)</f>
        <v>7.5738000000000003</v>
      </c>
      <c r="I138" s="59">
        <f>7.5787 * CHOOSE(CONTROL!$C$27, $C$14, 100%, $E$14)</f>
        <v>7.5787000000000004</v>
      </c>
      <c r="J138" s="59">
        <f>7.5738 * CHOOSE(CONTROL!$C$27, $C$14, 100%, $E$14)</f>
        <v>7.5738000000000003</v>
      </c>
      <c r="K138" s="59">
        <f>7.5787 * CHOOSE(CONTROL!$C$27, $C$14, 100%, $E$14)</f>
        <v>7.5787000000000004</v>
      </c>
      <c r="L138" s="59">
        <f>4.1228 * CHOOSE(CONTROL!$C$27, $C$14, 100%, $E$14)</f>
        <v>4.1227999999999998</v>
      </c>
      <c r="M138" s="59">
        <f>4.1277 * CHOOSE(CONTROL!$C$27, $C$14, 100%, $E$14)</f>
        <v>4.1276999999999999</v>
      </c>
      <c r="N138" s="59">
        <f>4.1228 * CHOOSE(CONTROL!$C$27, $C$14, 100%, $E$14)</f>
        <v>4.1227999999999998</v>
      </c>
      <c r="O138" s="59">
        <f>4.1277 * CHOOSE(CONTROL!$C$27, $C$14, 100%, $E$14)</f>
        <v>4.1276999999999999</v>
      </c>
      <c r="P138" s="4"/>
      <c r="Q138" s="4"/>
      <c r="R138" s="4"/>
    </row>
    <row r="139" spans="1:18" ht="15">
      <c r="A139" s="11">
        <v>45323</v>
      </c>
      <c r="B139" s="58">
        <f>3.4621 * CHOOSE(CONTROL!$C$27, $C$14, 100%, $E$14)</f>
        <v>3.4621</v>
      </c>
      <c r="C139" s="58">
        <f>3.4621 * CHOOSE(CONTROL!$C$27, $C$14, 100%, $E$14)</f>
        <v>3.4621</v>
      </c>
      <c r="D139" s="58">
        <f>3.4661 * CHOOSE(CONTROL!$C$27, $C$14, 100%, $E$14)</f>
        <v>3.4661</v>
      </c>
      <c r="E139" s="59">
        <f>4.0546 * CHOOSE(CONTROL!$C$27, $C$14, 100%, $E$14)</f>
        <v>4.0545999999999998</v>
      </c>
      <c r="F139" s="59">
        <f>4.0546 * CHOOSE(CONTROL!$C$27, $C$14, 100%, $E$14)</f>
        <v>4.0545999999999998</v>
      </c>
      <c r="G139" s="59">
        <f>4.0595 * CHOOSE(CONTROL!$C$27, $C$14, 100%, $E$14)</f>
        <v>4.0594999999999999</v>
      </c>
      <c r="H139" s="59">
        <f>7.5896* CHOOSE(CONTROL!$C$27, $C$14, 100%, $E$14)</f>
        <v>7.5895999999999999</v>
      </c>
      <c r="I139" s="59">
        <f>7.5945 * CHOOSE(CONTROL!$C$27, $C$14, 100%, $E$14)</f>
        <v>7.5945</v>
      </c>
      <c r="J139" s="59">
        <f>7.5896 * CHOOSE(CONTROL!$C$27, $C$14, 100%, $E$14)</f>
        <v>7.5895999999999999</v>
      </c>
      <c r="K139" s="59">
        <f>7.5945 * CHOOSE(CONTROL!$C$27, $C$14, 100%, $E$14)</f>
        <v>7.5945</v>
      </c>
      <c r="L139" s="59">
        <f>4.0546 * CHOOSE(CONTROL!$C$27, $C$14, 100%, $E$14)</f>
        <v>4.0545999999999998</v>
      </c>
      <c r="M139" s="59">
        <f>4.0595 * CHOOSE(CONTROL!$C$27, $C$14, 100%, $E$14)</f>
        <v>4.0594999999999999</v>
      </c>
      <c r="N139" s="59">
        <f>4.0546 * CHOOSE(CONTROL!$C$27, $C$14, 100%, $E$14)</f>
        <v>4.0545999999999998</v>
      </c>
      <c r="O139" s="59">
        <f>4.0595 * CHOOSE(CONTROL!$C$27, $C$14, 100%, $E$14)</f>
        <v>4.0594999999999999</v>
      </c>
      <c r="P139" s="4"/>
      <c r="Q139" s="4"/>
      <c r="R139" s="4"/>
    </row>
    <row r="140" spans="1:18" ht="15">
      <c r="A140" s="11">
        <v>45352</v>
      </c>
      <c r="B140" s="58">
        <f>3.4591 * CHOOSE(CONTROL!$C$27, $C$14, 100%, $E$14)</f>
        <v>3.4590999999999998</v>
      </c>
      <c r="C140" s="58">
        <f>3.4591 * CHOOSE(CONTROL!$C$27, $C$14, 100%, $E$14)</f>
        <v>3.4590999999999998</v>
      </c>
      <c r="D140" s="58">
        <f>3.4631 * CHOOSE(CONTROL!$C$27, $C$14, 100%, $E$14)</f>
        <v>3.4630999999999998</v>
      </c>
      <c r="E140" s="59">
        <f>4.1046 * CHOOSE(CONTROL!$C$27, $C$14, 100%, $E$14)</f>
        <v>4.1045999999999996</v>
      </c>
      <c r="F140" s="59">
        <f>4.1046 * CHOOSE(CONTROL!$C$27, $C$14, 100%, $E$14)</f>
        <v>4.1045999999999996</v>
      </c>
      <c r="G140" s="59">
        <f>4.1095 * CHOOSE(CONTROL!$C$27, $C$14, 100%, $E$14)</f>
        <v>4.1094999999999997</v>
      </c>
      <c r="H140" s="59">
        <f>7.6054* CHOOSE(CONTROL!$C$27, $C$14, 100%, $E$14)</f>
        <v>7.6054000000000004</v>
      </c>
      <c r="I140" s="59">
        <f>7.6103 * CHOOSE(CONTROL!$C$27, $C$14, 100%, $E$14)</f>
        <v>7.6102999999999996</v>
      </c>
      <c r="J140" s="59">
        <f>7.6054 * CHOOSE(CONTROL!$C$27, $C$14, 100%, $E$14)</f>
        <v>7.6054000000000004</v>
      </c>
      <c r="K140" s="59">
        <f>7.6103 * CHOOSE(CONTROL!$C$27, $C$14, 100%, $E$14)</f>
        <v>7.6102999999999996</v>
      </c>
      <c r="L140" s="59">
        <f>4.1046 * CHOOSE(CONTROL!$C$27, $C$14, 100%, $E$14)</f>
        <v>4.1045999999999996</v>
      </c>
      <c r="M140" s="59">
        <f>4.1095 * CHOOSE(CONTROL!$C$27, $C$14, 100%, $E$14)</f>
        <v>4.1094999999999997</v>
      </c>
      <c r="N140" s="59">
        <f>4.1046 * CHOOSE(CONTROL!$C$27, $C$14, 100%, $E$14)</f>
        <v>4.1045999999999996</v>
      </c>
      <c r="O140" s="59">
        <f>4.1095 * CHOOSE(CONTROL!$C$27, $C$14, 100%, $E$14)</f>
        <v>4.1094999999999997</v>
      </c>
      <c r="P140" s="4"/>
      <c r="Q140" s="4"/>
      <c r="R140" s="4"/>
    </row>
    <row r="141" spans="1:18" ht="15">
      <c r="A141" s="11">
        <v>45383</v>
      </c>
      <c r="B141" s="58">
        <f>3.4562 * CHOOSE(CONTROL!$C$27, $C$14, 100%, $E$14)</f>
        <v>3.4561999999999999</v>
      </c>
      <c r="C141" s="58">
        <f>3.4562 * CHOOSE(CONTROL!$C$27, $C$14, 100%, $E$14)</f>
        <v>3.4561999999999999</v>
      </c>
      <c r="D141" s="58">
        <f>3.4602 * CHOOSE(CONTROL!$C$27, $C$14, 100%, $E$14)</f>
        <v>3.4601999999999999</v>
      </c>
      <c r="E141" s="59">
        <f>4.1563 * CHOOSE(CONTROL!$C$27, $C$14, 100%, $E$14)</f>
        <v>4.1562999999999999</v>
      </c>
      <c r="F141" s="59">
        <f>4.1563 * CHOOSE(CONTROL!$C$27, $C$14, 100%, $E$14)</f>
        <v>4.1562999999999999</v>
      </c>
      <c r="G141" s="59">
        <f>4.1612 * CHOOSE(CONTROL!$C$27, $C$14, 100%, $E$14)</f>
        <v>4.1612</v>
      </c>
      <c r="H141" s="59">
        <f>7.6212* CHOOSE(CONTROL!$C$27, $C$14, 100%, $E$14)</f>
        <v>7.6212</v>
      </c>
      <c r="I141" s="59">
        <f>7.6261 * CHOOSE(CONTROL!$C$27, $C$14, 100%, $E$14)</f>
        <v>7.6261000000000001</v>
      </c>
      <c r="J141" s="59">
        <f>7.6212 * CHOOSE(CONTROL!$C$27, $C$14, 100%, $E$14)</f>
        <v>7.6212</v>
      </c>
      <c r="K141" s="59">
        <f>7.6261 * CHOOSE(CONTROL!$C$27, $C$14, 100%, $E$14)</f>
        <v>7.6261000000000001</v>
      </c>
      <c r="L141" s="59">
        <f>4.1563 * CHOOSE(CONTROL!$C$27, $C$14, 100%, $E$14)</f>
        <v>4.1562999999999999</v>
      </c>
      <c r="M141" s="59">
        <f>4.1612 * CHOOSE(CONTROL!$C$27, $C$14, 100%, $E$14)</f>
        <v>4.1612</v>
      </c>
      <c r="N141" s="59">
        <f>4.1563 * CHOOSE(CONTROL!$C$27, $C$14, 100%, $E$14)</f>
        <v>4.1562999999999999</v>
      </c>
      <c r="O141" s="59">
        <f>4.1612 * CHOOSE(CONTROL!$C$27, $C$14, 100%, $E$14)</f>
        <v>4.1612</v>
      </c>
      <c r="P141" s="4"/>
      <c r="Q141" s="4"/>
      <c r="R141" s="4"/>
    </row>
    <row r="142" spans="1:18" ht="15">
      <c r="A142" s="11">
        <v>45413</v>
      </c>
      <c r="B142" s="58">
        <f>3.4562 * CHOOSE(CONTROL!$C$27, $C$14, 100%, $E$14)</f>
        <v>3.4561999999999999</v>
      </c>
      <c r="C142" s="58">
        <f>3.4562 * CHOOSE(CONTROL!$C$27, $C$14, 100%, $E$14)</f>
        <v>3.4561999999999999</v>
      </c>
      <c r="D142" s="58">
        <f>3.4618 * CHOOSE(CONTROL!$C$27, $C$14, 100%, $E$14)</f>
        <v>3.4618000000000002</v>
      </c>
      <c r="E142" s="59">
        <f>4.1772 * CHOOSE(CONTROL!$C$27, $C$14, 100%, $E$14)</f>
        <v>4.1772</v>
      </c>
      <c r="F142" s="59">
        <f>4.1772 * CHOOSE(CONTROL!$C$27, $C$14, 100%, $E$14)</f>
        <v>4.1772</v>
      </c>
      <c r="G142" s="59">
        <f>4.1841 * CHOOSE(CONTROL!$C$27, $C$14, 100%, $E$14)</f>
        <v>4.1840999999999999</v>
      </c>
      <c r="H142" s="59">
        <f>7.6371* CHOOSE(CONTROL!$C$27, $C$14, 100%, $E$14)</f>
        <v>7.6371000000000002</v>
      </c>
      <c r="I142" s="59">
        <f>7.644 * CHOOSE(CONTROL!$C$27, $C$14, 100%, $E$14)</f>
        <v>7.6440000000000001</v>
      </c>
      <c r="J142" s="59">
        <f>7.6371 * CHOOSE(CONTROL!$C$27, $C$14, 100%, $E$14)</f>
        <v>7.6371000000000002</v>
      </c>
      <c r="K142" s="59">
        <f>7.644 * CHOOSE(CONTROL!$C$27, $C$14, 100%, $E$14)</f>
        <v>7.6440000000000001</v>
      </c>
      <c r="L142" s="59">
        <f>4.1772 * CHOOSE(CONTROL!$C$27, $C$14, 100%, $E$14)</f>
        <v>4.1772</v>
      </c>
      <c r="M142" s="59">
        <f>4.1841 * CHOOSE(CONTROL!$C$27, $C$14, 100%, $E$14)</f>
        <v>4.1840999999999999</v>
      </c>
      <c r="N142" s="59">
        <f>4.1772 * CHOOSE(CONTROL!$C$27, $C$14, 100%, $E$14)</f>
        <v>4.1772</v>
      </c>
      <c r="O142" s="59">
        <f>4.1841 * CHOOSE(CONTROL!$C$27, $C$14, 100%, $E$14)</f>
        <v>4.1840999999999999</v>
      </c>
      <c r="P142" s="4"/>
      <c r="Q142" s="4"/>
      <c r="R142" s="4"/>
    </row>
    <row r="143" spans="1:18" ht="15">
      <c r="A143" s="11">
        <v>45444</v>
      </c>
      <c r="B143" s="58">
        <f>3.4623 * CHOOSE(CONTROL!$C$27, $C$14, 100%, $E$14)</f>
        <v>3.4622999999999999</v>
      </c>
      <c r="C143" s="58">
        <f>3.4623 * CHOOSE(CONTROL!$C$27, $C$14, 100%, $E$14)</f>
        <v>3.4622999999999999</v>
      </c>
      <c r="D143" s="58">
        <f>3.4679 * CHOOSE(CONTROL!$C$27, $C$14, 100%, $E$14)</f>
        <v>3.4679000000000002</v>
      </c>
      <c r="E143" s="59">
        <f>4.1605 * CHOOSE(CONTROL!$C$27, $C$14, 100%, $E$14)</f>
        <v>4.1604999999999999</v>
      </c>
      <c r="F143" s="59">
        <f>4.1605 * CHOOSE(CONTROL!$C$27, $C$14, 100%, $E$14)</f>
        <v>4.1604999999999999</v>
      </c>
      <c r="G143" s="59">
        <f>4.1674 * CHOOSE(CONTROL!$C$27, $C$14, 100%, $E$14)</f>
        <v>4.1673999999999998</v>
      </c>
      <c r="H143" s="59">
        <f>7.653* CHOOSE(CONTROL!$C$27, $C$14, 100%, $E$14)</f>
        <v>7.6529999999999996</v>
      </c>
      <c r="I143" s="59">
        <f>7.6599 * CHOOSE(CONTROL!$C$27, $C$14, 100%, $E$14)</f>
        <v>7.6599000000000004</v>
      </c>
      <c r="J143" s="59">
        <f>7.653 * CHOOSE(CONTROL!$C$27, $C$14, 100%, $E$14)</f>
        <v>7.6529999999999996</v>
      </c>
      <c r="K143" s="59">
        <f>7.6599 * CHOOSE(CONTROL!$C$27, $C$14, 100%, $E$14)</f>
        <v>7.6599000000000004</v>
      </c>
      <c r="L143" s="59">
        <f>4.1605 * CHOOSE(CONTROL!$C$27, $C$14, 100%, $E$14)</f>
        <v>4.1604999999999999</v>
      </c>
      <c r="M143" s="59">
        <f>4.1674 * CHOOSE(CONTROL!$C$27, $C$14, 100%, $E$14)</f>
        <v>4.1673999999999998</v>
      </c>
      <c r="N143" s="59">
        <f>4.1605 * CHOOSE(CONTROL!$C$27, $C$14, 100%, $E$14)</f>
        <v>4.1604999999999999</v>
      </c>
      <c r="O143" s="59">
        <f>4.1674 * CHOOSE(CONTROL!$C$27, $C$14, 100%, $E$14)</f>
        <v>4.1673999999999998</v>
      </c>
      <c r="P143" s="4"/>
      <c r="Q143" s="4"/>
      <c r="R143" s="4"/>
    </row>
    <row r="144" spans="1:18" ht="15">
      <c r="A144" s="11">
        <v>45474</v>
      </c>
      <c r="B144" s="58">
        <f>3.5185 * CHOOSE(CONTROL!$C$27, $C$14, 100%, $E$14)</f>
        <v>3.5185</v>
      </c>
      <c r="C144" s="58">
        <f>3.5185 * CHOOSE(CONTROL!$C$27, $C$14, 100%, $E$14)</f>
        <v>3.5185</v>
      </c>
      <c r="D144" s="58">
        <f>3.5241 * CHOOSE(CONTROL!$C$27, $C$14, 100%, $E$14)</f>
        <v>3.5240999999999998</v>
      </c>
      <c r="E144" s="59">
        <f>4.2301 * CHOOSE(CONTROL!$C$27, $C$14, 100%, $E$14)</f>
        <v>4.2301000000000002</v>
      </c>
      <c r="F144" s="59">
        <f>4.2301 * CHOOSE(CONTROL!$C$27, $C$14, 100%, $E$14)</f>
        <v>4.2301000000000002</v>
      </c>
      <c r="G144" s="59">
        <f>4.237 * CHOOSE(CONTROL!$C$27, $C$14, 100%, $E$14)</f>
        <v>4.2370000000000001</v>
      </c>
      <c r="H144" s="59">
        <f>7.6689* CHOOSE(CONTROL!$C$27, $C$14, 100%, $E$14)</f>
        <v>7.6688999999999998</v>
      </c>
      <c r="I144" s="59">
        <f>7.6758 * CHOOSE(CONTROL!$C$27, $C$14, 100%, $E$14)</f>
        <v>7.6757999999999997</v>
      </c>
      <c r="J144" s="59">
        <f>7.6689 * CHOOSE(CONTROL!$C$27, $C$14, 100%, $E$14)</f>
        <v>7.6688999999999998</v>
      </c>
      <c r="K144" s="59">
        <f>7.6758 * CHOOSE(CONTROL!$C$27, $C$14, 100%, $E$14)</f>
        <v>7.6757999999999997</v>
      </c>
      <c r="L144" s="59">
        <f>4.2301 * CHOOSE(CONTROL!$C$27, $C$14, 100%, $E$14)</f>
        <v>4.2301000000000002</v>
      </c>
      <c r="M144" s="59">
        <f>4.237 * CHOOSE(CONTROL!$C$27, $C$14, 100%, $E$14)</f>
        <v>4.2370000000000001</v>
      </c>
      <c r="N144" s="59">
        <f>4.2301 * CHOOSE(CONTROL!$C$27, $C$14, 100%, $E$14)</f>
        <v>4.2301000000000002</v>
      </c>
      <c r="O144" s="59">
        <f>4.237 * CHOOSE(CONTROL!$C$27, $C$14, 100%, $E$14)</f>
        <v>4.2370000000000001</v>
      </c>
      <c r="P144" s="4"/>
      <c r="Q144" s="4"/>
      <c r="R144" s="4"/>
    </row>
    <row r="145" spans="1:18" ht="15">
      <c r="A145" s="11">
        <v>45505</v>
      </c>
      <c r="B145" s="58">
        <f>3.5251 * CHOOSE(CONTROL!$C$27, $C$14, 100%, $E$14)</f>
        <v>3.5251000000000001</v>
      </c>
      <c r="C145" s="58">
        <f>3.5251 * CHOOSE(CONTROL!$C$27, $C$14, 100%, $E$14)</f>
        <v>3.5251000000000001</v>
      </c>
      <c r="D145" s="58">
        <f>3.5308 * CHOOSE(CONTROL!$C$27, $C$14, 100%, $E$14)</f>
        <v>3.5308000000000002</v>
      </c>
      <c r="E145" s="59">
        <f>4.1718 * CHOOSE(CONTROL!$C$27, $C$14, 100%, $E$14)</f>
        <v>4.1718000000000002</v>
      </c>
      <c r="F145" s="59">
        <f>4.1718 * CHOOSE(CONTROL!$C$27, $C$14, 100%, $E$14)</f>
        <v>4.1718000000000002</v>
      </c>
      <c r="G145" s="59">
        <f>4.1787 * CHOOSE(CONTROL!$C$27, $C$14, 100%, $E$14)</f>
        <v>4.1787000000000001</v>
      </c>
      <c r="H145" s="59">
        <f>7.6849* CHOOSE(CONTROL!$C$27, $C$14, 100%, $E$14)</f>
        <v>7.6848999999999998</v>
      </c>
      <c r="I145" s="59">
        <f>7.6918 * CHOOSE(CONTROL!$C$27, $C$14, 100%, $E$14)</f>
        <v>7.6917999999999997</v>
      </c>
      <c r="J145" s="59">
        <f>7.6849 * CHOOSE(CONTROL!$C$27, $C$14, 100%, $E$14)</f>
        <v>7.6848999999999998</v>
      </c>
      <c r="K145" s="59">
        <f>7.6918 * CHOOSE(CONTROL!$C$27, $C$14, 100%, $E$14)</f>
        <v>7.6917999999999997</v>
      </c>
      <c r="L145" s="59">
        <f>4.1718 * CHOOSE(CONTROL!$C$27, $C$14, 100%, $E$14)</f>
        <v>4.1718000000000002</v>
      </c>
      <c r="M145" s="59">
        <f>4.1787 * CHOOSE(CONTROL!$C$27, $C$14, 100%, $E$14)</f>
        <v>4.1787000000000001</v>
      </c>
      <c r="N145" s="59">
        <f>4.1718 * CHOOSE(CONTROL!$C$27, $C$14, 100%, $E$14)</f>
        <v>4.1718000000000002</v>
      </c>
      <c r="O145" s="59">
        <f>4.1787 * CHOOSE(CONTROL!$C$27, $C$14, 100%, $E$14)</f>
        <v>4.1787000000000001</v>
      </c>
      <c r="P145" s="4"/>
      <c r="Q145" s="4"/>
      <c r="R145" s="4"/>
    </row>
    <row r="146" spans="1:18" ht="15">
      <c r="A146" s="11">
        <v>45536</v>
      </c>
      <c r="B146" s="58">
        <f>3.5221 * CHOOSE(CONTROL!$C$27, $C$14, 100%, $E$14)</f>
        <v>3.5221</v>
      </c>
      <c r="C146" s="58">
        <f>3.5221 * CHOOSE(CONTROL!$C$27, $C$14, 100%, $E$14)</f>
        <v>3.5221</v>
      </c>
      <c r="D146" s="58">
        <f>3.5277 * CHOOSE(CONTROL!$C$27, $C$14, 100%, $E$14)</f>
        <v>3.5276999999999998</v>
      </c>
      <c r="E146" s="59">
        <f>4.1627 * CHOOSE(CONTROL!$C$27, $C$14, 100%, $E$14)</f>
        <v>4.1627000000000001</v>
      </c>
      <c r="F146" s="59">
        <f>4.1627 * CHOOSE(CONTROL!$C$27, $C$14, 100%, $E$14)</f>
        <v>4.1627000000000001</v>
      </c>
      <c r="G146" s="59">
        <f>4.1696 * CHOOSE(CONTROL!$C$27, $C$14, 100%, $E$14)</f>
        <v>4.1696</v>
      </c>
      <c r="H146" s="59">
        <f>7.7009* CHOOSE(CONTROL!$C$27, $C$14, 100%, $E$14)</f>
        <v>7.7008999999999999</v>
      </c>
      <c r="I146" s="59">
        <f>7.7078 * CHOOSE(CONTROL!$C$27, $C$14, 100%, $E$14)</f>
        <v>7.7077999999999998</v>
      </c>
      <c r="J146" s="59">
        <f>7.7009 * CHOOSE(CONTROL!$C$27, $C$14, 100%, $E$14)</f>
        <v>7.7008999999999999</v>
      </c>
      <c r="K146" s="59">
        <f>7.7078 * CHOOSE(CONTROL!$C$27, $C$14, 100%, $E$14)</f>
        <v>7.7077999999999998</v>
      </c>
      <c r="L146" s="59">
        <f>4.1627 * CHOOSE(CONTROL!$C$27, $C$14, 100%, $E$14)</f>
        <v>4.1627000000000001</v>
      </c>
      <c r="M146" s="59">
        <f>4.1696 * CHOOSE(CONTROL!$C$27, $C$14, 100%, $E$14)</f>
        <v>4.1696</v>
      </c>
      <c r="N146" s="59">
        <f>4.1627 * CHOOSE(CONTROL!$C$27, $C$14, 100%, $E$14)</f>
        <v>4.1627000000000001</v>
      </c>
      <c r="O146" s="59">
        <f>4.1696 * CHOOSE(CONTROL!$C$27, $C$14, 100%, $E$14)</f>
        <v>4.1696</v>
      </c>
      <c r="P146" s="4"/>
      <c r="Q146" s="4"/>
      <c r="R146" s="4"/>
    </row>
    <row r="147" spans="1:18" ht="15">
      <c r="A147" s="11">
        <v>45566</v>
      </c>
      <c r="B147" s="58">
        <f>3.5152 * CHOOSE(CONTROL!$C$27, $C$14, 100%, $E$14)</f>
        <v>3.5152000000000001</v>
      </c>
      <c r="C147" s="58">
        <f>3.5152 * CHOOSE(CONTROL!$C$27, $C$14, 100%, $E$14)</f>
        <v>3.5152000000000001</v>
      </c>
      <c r="D147" s="58">
        <f>3.5192 * CHOOSE(CONTROL!$C$27, $C$14, 100%, $E$14)</f>
        <v>3.5192000000000001</v>
      </c>
      <c r="E147" s="59">
        <f>4.1773 * CHOOSE(CONTROL!$C$27, $C$14, 100%, $E$14)</f>
        <v>4.1772999999999998</v>
      </c>
      <c r="F147" s="59">
        <f>4.1773 * CHOOSE(CONTROL!$C$27, $C$14, 100%, $E$14)</f>
        <v>4.1772999999999998</v>
      </c>
      <c r="G147" s="59">
        <f>4.1822 * CHOOSE(CONTROL!$C$27, $C$14, 100%, $E$14)</f>
        <v>4.1821999999999999</v>
      </c>
      <c r="H147" s="59">
        <f>7.717* CHOOSE(CONTROL!$C$27, $C$14, 100%, $E$14)</f>
        <v>7.7169999999999996</v>
      </c>
      <c r="I147" s="59">
        <f>7.7219 * CHOOSE(CONTROL!$C$27, $C$14, 100%, $E$14)</f>
        <v>7.7218999999999998</v>
      </c>
      <c r="J147" s="59">
        <f>7.717 * CHOOSE(CONTROL!$C$27, $C$14, 100%, $E$14)</f>
        <v>7.7169999999999996</v>
      </c>
      <c r="K147" s="59">
        <f>7.7219 * CHOOSE(CONTROL!$C$27, $C$14, 100%, $E$14)</f>
        <v>7.7218999999999998</v>
      </c>
      <c r="L147" s="59">
        <f>4.1773 * CHOOSE(CONTROL!$C$27, $C$14, 100%, $E$14)</f>
        <v>4.1772999999999998</v>
      </c>
      <c r="M147" s="59">
        <f>4.1822 * CHOOSE(CONTROL!$C$27, $C$14, 100%, $E$14)</f>
        <v>4.1821999999999999</v>
      </c>
      <c r="N147" s="59">
        <f>4.1773 * CHOOSE(CONTROL!$C$27, $C$14, 100%, $E$14)</f>
        <v>4.1772999999999998</v>
      </c>
      <c r="O147" s="59">
        <f>4.1822 * CHOOSE(CONTROL!$C$27, $C$14, 100%, $E$14)</f>
        <v>4.1821999999999999</v>
      </c>
      <c r="P147" s="4"/>
      <c r="Q147" s="4"/>
      <c r="R147" s="4"/>
    </row>
    <row r="148" spans="1:18" ht="15">
      <c r="A148" s="11">
        <v>45597</v>
      </c>
      <c r="B148" s="58">
        <f>3.5183 * CHOOSE(CONTROL!$C$27, $C$14, 100%, $E$14)</f>
        <v>3.5183</v>
      </c>
      <c r="C148" s="58">
        <f>3.5183 * CHOOSE(CONTROL!$C$27, $C$14, 100%, $E$14)</f>
        <v>3.5183</v>
      </c>
      <c r="D148" s="58">
        <f>3.5223 * CHOOSE(CONTROL!$C$27, $C$14, 100%, $E$14)</f>
        <v>3.5223</v>
      </c>
      <c r="E148" s="59">
        <f>4.1934 * CHOOSE(CONTROL!$C$27, $C$14, 100%, $E$14)</f>
        <v>4.1933999999999996</v>
      </c>
      <c r="F148" s="59">
        <f>4.1934 * CHOOSE(CONTROL!$C$27, $C$14, 100%, $E$14)</f>
        <v>4.1933999999999996</v>
      </c>
      <c r="G148" s="59">
        <f>4.1983 * CHOOSE(CONTROL!$C$27, $C$14, 100%, $E$14)</f>
        <v>4.1982999999999997</v>
      </c>
      <c r="H148" s="59">
        <f>7.7331* CHOOSE(CONTROL!$C$27, $C$14, 100%, $E$14)</f>
        <v>7.7331000000000003</v>
      </c>
      <c r="I148" s="59">
        <f>7.738 * CHOOSE(CONTROL!$C$27, $C$14, 100%, $E$14)</f>
        <v>7.7380000000000004</v>
      </c>
      <c r="J148" s="59">
        <f>7.7331 * CHOOSE(CONTROL!$C$27, $C$14, 100%, $E$14)</f>
        <v>7.7331000000000003</v>
      </c>
      <c r="K148" s="59">
        <f>7.738 * CHOOSE(CONTROL!$C$27, $C$14, 100%, $E$14)</f>
        <v>7.7380000000000004</v>
      </c>
      <c r="L148" s="59">
        <f>4.1934 * CHOOSE(CONTROL!$C$27, $C$14, 100%, $E$14)</f>
        <v>4.1933999999999996</v>
      </c>
      <c r="M148" s="59">
        <f>4.1983 * CHOOSE(CONTROL!$C$27, $C$14, 100%, $E$14)</f>
        <v>4.1982999999999997</v>
      </c>
      <c r="N148" s="59">
        <f>4.1934 * CHOOSE(CONTROL!$C$27, $C$14, 100%, $E$14)</f>
        <v>4.1933999999999996</v>
      </c>
      <c r="O148" s="59">
        <f>4.1983 * CHOOSE(CONTROL!$C$27, $C$14, 100%, $E$14)</f>
        <v>4.1982999999999997</v>
      </c>
      <c r="P148" s="4"/>
      <c r="Q148" s="4"/>
      <c r="R148" s="4"/>
    </row>
    <row r="149" spans="1:18" ht="15">
      <c r="A149" s="11">
        <v>45627</v>
      </c>
      <c r="B149" s="58">
        <f>3.5183 * CHOOSE(CONTROL!$C$27, $C$14, 100%, $E$14)</f>
        <v>3.5183</v>
      </c>
      <c r="C149" s="58">
        <f>3.5183 * CHOOSE(CONTROL!$C$27, $C$14, 100%, $E$14)</f>
        <v>3.5183</v>
      </c>
      <c r="D149" s="58">
        <f>3.5223 * CHOOSE(CONTROL!$C$27, $C$14, 100%, $E$14)</f>
        <v>3.5223</v>
      </c>
      <c r="E149" s="59">
        <f>4.1584 * CHOOSE(CONTROL!$C$27, $C$14, 100%, $E$14)</f>
        <v>4.1584000000000003</v>
      </c>
      <c r="F149" s="59">
        <f>4.1584 * CHOOSE(CONTROL!$C$27, $C$14, 100%, $E$14)</f>
        <v>4.1584000000000003</v>
      </c>
      <c r="G149" s="59">
        <f>4.1633 * CHOOSE(CONTROL!$C$27, $C$14, 100%, $E$14)</f>
        <v>4.1632999999999996</v>
      </c>
      <c r="H149" s="59">
        <f>7.7492* CHOOSE(CONTROL!$C$27, $C$14, 100%, $E$14)</f>
        <v>7.7492000000000001</v>
      </c>
      <c r="I149" s="59">
        <f>7.7541 * CHOOSE(CONTROL!$C$27, $C$14, 100%, $E$14)</f>
        <v>7.7541000000000002</v>
      </c>
      <c r="J149" s="59">
        <f>7.7492 * CHOOSE(CONTROL!$C$27, $C$14, 100%, $E$14)</f>
        <v>7.7492000000000001</v>
      </c>
      <c r="K149" s="59">
        <f>7.7541 * CHOOSE(CONTROL!$C$27, $C$14, 100%, $E$14)</f>
        <v>7.7541000000000002</v>
      </c>
      <c r="L149" s="59">
        <f>4.1584 * CHOOSE(CONTROL!$C$27, $C$14, 100%, $E$14)</f>
        <v>4.1584000000000003</v>
      </c>
      <c r="M149" s="59">
        <f>4.1633 * CHOOSE(CONTROL!$C$27, $C$14, 100%, $E$14)</f>
        <v>4.1632999999999996</v>
      </c>
      <c r="N149" s="59">
        <f>4.1584 * CHOOSE(CONTROL!$C$27, $C$14, 100%, $E$14)</f>
        <v>4.1584000000000003</v>
      </c>
      <c r="O149" s="59">
        <f>4.1633 * CHOOSE(CONTROL!$C$27, $C$14, 100%, $E$14)</f>
        <v>4.1632999999999996</v>
      </c>
      <c r="P149" s="4"/>
      <c r="Q149" s="4"/>
      <c r="R149" s="4"/>
    </row>
    <row r="150" spans="1:18" ht="15">
      <c r="A150" s="11">
        <v>45658</v>
      </c>
      <c r="B150" s="58">
        <f>3.5476 * CHOOSE(CONTROL!$C$27, $C$14, 100%, $E$14)</f>
        <v>3.5476000000000001</v>
      </c>
      <c r="C150" s="58">
        <f>3.5476 * CHOOSE(CONTROL!$C$27, $C$14, 100%, $E$14)</f>
        <v>3.5476000000000001</v>
      </c>
      <c r="D150" s="58">
        <f>3.5515 * CHOOSE(CONTROL!$C$27, $C$14, 100%, $E$14)</f>
        <v>3.5514999999999999</v>
      </c>
      <c r="E150" s="59">
        <f>4.2052 * CHOOSE(CONTROL!$C$27, $C$14, 100%, $E$14)</f>
        <v>4.2051999999999996</v>
      </c>
      <c r="F150" s="59">
        <f>4.2052 * CHOOSE(CONTROL!$C$27, $C$14, 100%, $E$14)</f>
        <v>4.2051999999999996</v>
      </c>
      <c r="G150" s="59">
        <f>4.2102 * CHOOSE(CONTROL!$C$27, $C$14, 100%, $E$14)</f>
        <v>4.2102000000000004</v>
      </c>
      <c r="H150" s="59">
        <f>7.7653* CHOOSE(CONTROL!$C$27, $C$14, 100%, $E$14)</f>
        <v>7.7652999999999999</v>
      </c>
      <c r="I150" s="59">
        <f>7.7702 * CHOOSE(CONTROL!$C$27, $C$14, 100%, $E$14)</f>
        <v>7.7702</v>
      </c>
      <c r="J150" s="59">
        <f>7.7653 * CHOOSE(CONTROL!$C$27, $C$14, 100%, $E$14)</f>
        <v>7.7652999999999999</v>
      </c>
      <c r="K150" s="59">
        <f>7.7702 * CHOOSE(CONTROL!$C$27, $C$14, 100%, $E$14)</f>
        <v>7.7702</v>
      </c>
      <c r="L150" s="59">
        <f>4.2052 * CHOOSE(CONTROL!$C$27, $C$14, 100%, $E$14)</f>
        <v>4.2051999999999996</v>
      </c>
      <c r="M150" s="59">
        <f>4.2102 * CHOOSE(CONTROL!$C$27, $C$14, 100%, $E$14)</f>
        <v>4.2102000000000004</v>
      </c>
      <c r="N150" s="59">
        <f>4.2052 * CHOOSE(CONTROL!$C$27, $C$14, 100%, $E$14)</f>
        <v>4.2051999999999996</v>
      </c>
      <c r="O150" s="59">
        <f>4.2102 * CHOOSE(CONTROL!$C$27, $C$14, 100%, $E$14)</f>
        <v>4.2102000000000004</v>
      </c>
      <c r="P150" s="4"/>
      <c r="Q150" s="4"/>
      <c r="R150" s="4"/>
    </row>
    <row r="151" spans="1:18" ht="15">
      <c r="A151" s="11">
        <v>45689</v>
      </c>
      <c r="B151" s="58">
        <f>3.5445 * CHOOSE(CONTROL!$C$27, $C$14, 100%, $E$14)</f>
        <v>3.5445000000000002</v>
      </c>
      <c r="C151" s="58">
        <f>3.5445 * CHOOSE(CONTROL!$C$27, $C$14, 100%, $E$14)</f>
        <v>3.5445000000000002</v>
      </c>
      <c r="D151" s="58">
        <f>3.5485 * CHOOSE(CONTROL!$C$27, $C$14, 100%, $E$14)</f>
        <v>3.5485000000000002</v>
      </c>
      <c r="E151" s="59">
        <f>4.1366 * CHOOSE(CONTROL!$C$27, $C$14, 100%, $E$14)</f>
        <v>4.1365999999999996</v>
      </c>
      <c r="F151" s="59">
        <f>4.1366 * CHOOSE(CONTROL!$C$27, $C$14, 100%, $E$14)</f>
        <v>4.1365999999999996</v>
      </c>
      <c r="G151" s="59">
        <f>4.1415 * CHOOSE(CONTROL!$C$27, $C$14, 100%, $E$14)</f>
        <v>4.1414999999999997</v>
      </c>
      <c r="H151" s="59">
        <f>7.7815* CHOOSE(CONTROL!$C$27, $C$14, 100%, $E$14)</f>
        <v>7.7815000000000003</v>
      </c>
      <c r="I151" s="59">
        <f>7.7864 * CHOOSE(CONTROL!$C$27, $C$14, 100%, $E$14)</f>
        <v>7.7864000000000004</v>
      </c>
      <c r="J151" s="59">
        <f>7.7815 * CHOOSE(CONTROL!$C$27, $C$14, 100%, $E$14)</f>
        <v>7.7815000000000003</v>
      </c>
      <c r="K151" s="59">
        <f>7.7864 * CHOOSE(CONTROL!$C$27, $C$14, 100%, $E$14)</f>
        <v>7.7864000000000004</v>
      </c>
      <c r="L151" s="59">
        <f>4.1366 * CHOOSE(CONTROL!$C$27, $C$14, 100%, $E$14)</f>
        <v>4.1365999999999996</v>
      </c>
      <c r="M151" s="59">
        <f>4.1415 * CHOOSE(CONTROL!$C$27, $C$14, 100%, $E$14)</f>
        <v>4.1414999999999997</v>
      </c>
      <c r="N151" s="59">
        <f>4.1366 * CHOOSE(CONTROL!$C$27, $C$14, 100%, $E$14)</f>
        <v>4.1365999999999996</v>
      </c>
      <c r="O151" s="59">
        <f>4.1415 * CHOOSE(CONTROL!$C$27, $C$14, 100%, $E$14)</f>
        <v>4.1414999999999997</v>
      </c>
      <c r="P151" s="4"/>
      <c r="Q151" s="4"/>
      <c r="R151" s="4"/>
    </row>
    <row r="152" spans="1:18" ht="15">
      <c r="A152" s="11">
        <v>45717</v>
      </c>
      <c r="B152" s="58">
        <f>3.5415 * CHOOSE(CONTROL!$C$27, $C$14, 100%, $E$14)</f>
        <v>3.5415000000000001</v>
      </c>
      <c r="C152" s="58">
        <f>3.5415 * CHOOSE(CONTROL!$C$27, $C$14, 100%, $E$14)</f>
        <v>3.5415000000000001</v>
      </c>
      <c r="D152" s="58">
        <f>3.5455 * CHOOSE(CONTROL!$C$27, $C$14, 100%, $E$14)</f>
        <v>3.5455000000000001</v>
      </c>
      <c r="E152" s="59">
        <f>4.1869 * CHOOSE(CONTROL!$C$27, $C$14, 100%, $E$14)</f>
        <v>4.1868999999999996</v>
      </c>
      <c r="F152" s="59">
        <f>4.1869 * CHOOSE(CONTROL!$C$27, $C$14, 100%, $E$14)</f>
        <v>4.1868999999999996</v>
      </c>
      <c r="G152" s="59">
        <f>4.1918 * CHOOSE(CONTROL!$C$27, $C$14, 100%, $E$14)</f>
        <v>4.1917999999999997</v>
      </c>
      <c r="H152" s="59">
        <f>7.7977* CHOOSE(CONTROL!$C$27, $C$14, 100%, $E$14)</f>
        <v>7.7976999999999999</v>
      </c>
      <c r="I152" s="59">
        <f>7.8026 * CHOOSE(CONTROL!$C$27, $C$14, 100%, $E$14)</f>
        <v>7.8026</v>
      </c>
      <c r="J152" s="59">
        <f>7.7977 * CHOOSE(CONTROL!$C$27, $C$14, 100%, $E$14)</f>
        <v>7.7976999999999999</v>
      </c>
      <c r="K152" s="59">
        <f>7.8026 * CHOOSE(CONTROL!$C$27, $C$14, 100%, $E$14)</f>
        <v>7.8026</v>
      </c>
      <c r="L152" s="59">
        <f>4.1869 * CHOOSE(CONTROL!$C$27, $C$14, 100%, $E$14)</f>
        <v>4.1868999999999996</v>
      </c>
      <c r="M152" s="59">
        <f>4.1918 * CHOOSE(CONTROL!$C$27, $C$14, 100%, $E$14)</f>
        <v>4.1917999999999997</v>
      </c>
      <c r="N152" s="59">
        <f>4.1869 * CHOOSE(CONTROL!$C$27, $C$14, 100%, $E$14)</f>
        <v>4.1868999999999996</v>
      </c>
      <c r="O152" s="59">
        <f>4.1918 * CHOOSE(CONTROL!$C$27, $C$14, 100%, $E$14)</f>
        <v>4.1917999999999997</v>
      </c>
      <c r="P152" s="4"/>
      <c r="Q152" s="4"/>
      <c r="R152" s="4"/>
    </row>
    <row r="153" spans="1:18" ht="15">
      <c r="A153" s="11">
        <v>45748</v>
      </c>
      <c r="B153" s="58">
        <f>3.5386 * CHOOSE(CONTROL!$C$27, $C$14, 100%, $E$14)</f>
        <v>3.5386000000000002</v>
      </c>
      <c r="C153" s="58">
        <f>3.5386 * CHOOSE(CONTROL!$C$27, $C$14, 100%, $E$14)</f>
        <v>3.5386000000000002</v>
      </c>
      <c r="D153" s="58">
        <f>3.5426 * CHOOSE(CONTROL!$C$27, $C$14, 100%, $E$14)</f>
        <v>3.5426000000000002</v>
      </c>
      <c r="E153" s="59">
        <f>4.239 * CHOOSE(CONTROL!$C$27, $C$14, 100%, $E$14)</f>
        <v>4.2389999999999999</v>
      </c>
      <c r="F153" s="59">
        <f>4.239 * CHOOSE(CONTROL!$C$27, $C$14, 100%, $E$14)</f>
        <v>4.2389999999999999</v>
      </c>
      <c r="G153" s="59">
        <f>4.244 * CHOOSE(CONTROL!$C$27, $C$14, 100%, $E$14)</f>
        <v>4.2439999999999998</v>
      </c>
      <c r="H153" s="59">
        <f>7.8139* CHOOSE(CONTROL!$C$27, $C$14, 100%, $E$14)</f>
        <v>7.8139000000000003</v>
      </c>
      <c r="I153" s="59">
        <f>7.8189 * CHOOSE(CONTROL!$C$27, $C$14, 100%, $E$14)</f>
        <v>7.8189000000000002</v>
      </c>
      <c r="J153" s="59">
        <f>7.8139 * CHOOSE(CONTROL!$C$27, $C$14, 100%, $E$14)</f>
        <v>7.8139000000000003</v>
      </c>
      <c r="K153" s="59">
        <f>7.8189 * CHOOSE(CONTROL!$C$27, $C$14, 100%, $E$14)</f>
        <v>7.8189000000000002</v>
      </c>
      <c r="L153" s="59">
        <f>4.239 * CHOOSE(CONTROL!$C$27, $C$14, 100%, $E$14)</f>
        <v>4.2389999999999999</v>
      </c>
      <c r="M153" s="59">
        <f>4.244 * CHOOSE(CONTROL!$C$27, $C$14, 100%, $E$14)</f>
        <v>4.2439999999999998</v>
      </c>
      <c r="N153" s="59">
        <f>4.239 * CHOOSE(CONTROL!$C$27, $C$14, 100%, $E$14)</f>
        <v>4.2389999999999999</v>
      </c>
      <c r="O153" s="59">
        <f>4.244 * CHOOSE(CONTROL!$C$27, $C$14, 100%, $E$14)</f>
        <v>4.2439999999999998</v>
      </c>
      <c r="P153" s="4"/>
      <c r="Q153" s="4"/>
      <c r="R153" s="4"/>
    </row>
    <row r="154" spans="1:18" ht="15">
      <c r="A154" s="11">
        <v>45778</v>
      </c>
      <c r="B154" s="58">
        <f>3.5386 * CHOOSE(CONTROL!$C$27, $C$14, 100%, $E$14)</f>
        <v>3.5386000000000002</v>
      </c>
      <c r="C154" s="58">
        <f>3.5386 * CHOOSE(CONTROL!$C$27, $C$14, 100%, $E$14)</f>
        <v>3.5386000000000002</v>
      </c>
      <c r="D154" s="58">
        <f>3.5443 * CHOOSE(CONTROL!$C$27, $C$14, 100%, $E$14)</f>
        <v>3.5442999999999998</v>
      </c>
      <c r="E154" s="59">
        <f>4.2602 * CHOOSE(CONTROL!$C$27, $C$14, 100%, $E$14)</f>
        <v>4.2602000000000002</v>
      </c>
      <c r="F154" s="59">
        <f>4.2602 * CHOOSE(CONTROL!$C$27, $C$14, 100%, $E$14)</f>
        <v>4.2602000000000002</v>
      </c>
      <c r="G154" s="59">
        <f>4.2671 * CHOOSE(CONTROL!$C$27, $C$14, 100%, $E$14)</f>
        <v>4.2671000000000001</v>
      </c>
      <c r="H154" s="59">
        <f>7.8302* CHOOSE(CONTROL!$C$27, $C$14, 100%, $E$14)</f>
        <v>7.8301999999999996</v>
      </c>
      <c r="I154" s="59">
        <f>7.8371 * CHOOSE(CONTROL!$C$27, $C$14, 100%, $E$14)</f>
        <v>7.8371000000000004</v>
      </c>
      <c r="J154" s="59">
        <f>7.8302 * CHOOSE(CONTROL!$C$27, $C$14, 100%, $E$14)</f>
        <v>7.8301999999999996</v>
      </c>
      <c r="K154" s="59">
        <f>7.8371 * CHOOSE(CONTROL!$C$27, $C$14, 100%, $E$14)</f>
        <v>7.8371000000000004</v>
      </c>
      <c r="L154" s="59">
        <f>4.2602 * CHOOSE(CONTROL!$C$27, $C$14, 100%, $E$14)</f>
        <v>4.2602000000000002</v>
      </c>
      <c r="M154" s="59">
        <f>4.2671 * CHOOSE(CONTROL!$C$27, $C$14, 100%, $E$14)</f>
        <v>4.2671000000000001</v>
      </c>
      <c r="N154" s="59">
        <f>4.2602 * CHOOSE(CONTROL!$C$27, $C$14, 100%, $E$14)</f>
        <v>4.2602000000000002</v>
      </c>
      <c r="O154" s="59">
        <f>4.2671 * CHOOSE(CONTROL!$C$27, $C$14, 100%, $E$14)</f>
        <v>4.2671000000000001</v>
      </c>
      <c r="P154" s="4"/>
      <c r="Q154" s="4"/>
      <c r="R154" s="4"/>
    </row>
    <row r="155" spans="1:18" ht="15">
      <c r="A155" s="11">
        <v>45809</v>
      </c>
      <c r="B155" s="58">
        <f>3.5447 * CHOOSE(CONTROL!$C$27, $C$14, 100%, $E$14)</f>
        <v>3.5447000000000002</v>
      </c>
      <c r="C155" s="58">
        <f>3.5447 * CHOOSE(CONTROL!$C$27, $C$14, 100%, $E$14)</f>
        <v>3.5447000000000002</v>
      </c>
      <c r="D155" s="58">
        <f>3.5504 * CHOOSE(CONTROL!$C$27, $C$14, 100%, $E$14)</f>
        <v>3.5503999999999998</v>
      </c>
      <c r="E155" s="59">
        <f>4.2433 * CHOOSE(CONTROL!$C$27, $C$14, 100%, $E$14)</f>
        <v>4.2432999999999996</v>
      </c>
      <c r="F155" s="59">
        <f>4.2433 * CHOOSE(CONTROL!$C$27, $C$14, 100%, $E$14)</f>
        <v>4.2432999999999996</v>
      </c>
      <c r="G155" s="59">
        <f>4.2502 * CHOOSE(CONTROL!$C$27, $C$14, 100%, $E$14)</f>
        <v>4.2502000000000004</v>
      </c>
      <c r="H155" s="59">
        <f>7.8465* CHOOSE(CONTROL!$C$27, $C$14, 100%, $E$14)</f>
        <v>7.8464999999999998</v>
      </c>
      <c r="I155" s="59">
        <f>7.8534 * CHOOSE(CONTROL!$C$27, $C$14, 100%, $E$14)</f>
        <v>7.8533999999999997</v>
      </c>
      <c r="J155" s="59">
        <f>7.8465 * CHOOSE(CONTROL!$C$27, $C$14, 100%, $E$14)</f>
        <v>7.8464999999999998</v>
      </c>
      <c r="K155" s="59">
        <f>7.8534 * CHOOSE(CONTROL!$C$27, $C$14, 100%, $E$14)</f>
        <v>7.8533999999999997</v>
      </c>
      <c r="L155" s="59">
        <f>4.2433 * CHOOSE(CONTROL!$C$27, $C$14, 100%, $E$14)</f>
        <v>4.2432999999999996</v>
      </c>
      <c r="M155" s="59">
        <f>4.2502 * CHOOSE(CONTROL!$C$27, $C$14, 100%, $E$14)</f>
        <v>4.2502000000000004</v>
      </c>
      <c r="N155" s="59">
        <f>4.2433 * CHOOSE(CONTROL!$C$27, $C$14, 100%, $E$14)</f>
        <v>4.2432999999999996</v>
      </c>
      <c r="O155" s="59">
        <f>4.2502 * CHOOSE(CONTROL!$C$27, $C$14, 100%, $E$14)</f>
        <v>4.2502000000000004</v>
      </c>
      <c r="P155" s="4"/>
      <c r="Q155" s="4"/>
      <c r="R155" s="4"/>
    </row>
    <row r="156" spans="1:18" ht="15">
      <c r="A156" s="11">
        <v>45839</v>
      </c>
      <c r="B156" s="58">
        <f>3.5989 * CHOOSE(CONTROL!$C$27, $C$14, 100%, $E$14)</f>
        <v>3.5989</v>
      </c>
      <c r="C156" s="58">
        <f>3.5989 * CHOOSE(CONTROL!$C$27, $C$14, 100%, $E$14)</f>
        <v>3.5989</v>
      </c>
      <c r="D156" s="58">
        <f>3.6045 * CHOOSE(CONTROL!$C$27, $C$14, 100%, $E$14)</f>
        <v>3.6044999999999998</v>
      </c>
      <c r="E156" s="59">
        <f>4.3194 * CHOOSE(CONTROL!$C$27, $C$14, 100%, $E$14)</f>
        <v>4.3193999999999999</v>
      </c>
      <c r="F156" s="59">
        <f>4.3194 * CHOOSE(CONTROL!$C$27, $C$14, 100%, $E$14)</f>
        <v>4.3193999999999999</v>
      </c>
      <c r="G156" s="59">
        <f>4.3263 * CHOOSE(CONTROL!$C$27, $C$14, 100%, $E$14)</f>
        <v>4.3262999999999998</v>
      </c>
      <c r="H156" s="59">
        <f>7.8629* CHOOSE(CONTROL!$C$27, $C$14, 100%, $E$14)</f>
        <v>7.8628999999999998</v>
      </c>
      <c r="I156" s="59">
        <f>7.8698 * CHOOSE(CONTROL!$C$27, $C$14, 100%, $E$14)</f>
        <v>7.8697999999999997</v>
      </c>
      <c r="J156" s="59">
        <f>7.8629 * CHOOSE(CONTROL!$C$27, $C$14, 100%, $E$14)</f>
        <v>7.8628999999999998</v>
      </c>
      <c r="K156" s="59">
        <f>7.8698 * CHOOSE(CONTROL!$C$27, $C$14, 100%, $E$14)</f>
        <v>7.8697999999999997</v>
      </c>
      <c r="L156" s="59">
        <f>4.3194 * CHOOSE(CONTROL!$C$27, $C$14, 100%, $E$14)</f>
        <v>4.3193999999999999</v>
      </c>
      <c r="M156" s="59">
        <f>4.3263 * CHOOSE(CONTROL!$C$27, $C$14, 100%, $E$14)</f>
        <v>4.3262999999999998</v>
      </c>
      <c r="N156" s="59">
        <f>4.3194 * CHOOSE(CONTROL!$C$27, $C$14, 100%, $E$14)</f>
        <v>4.3193999999999999</v>
      </c>
      <c r="O156" s="59">
        <f>4.3263 * CHOOSE(CONTROL!$C$27, $C$14, 100%, $E$14)</f>
        <v>4.3262999999999998</v>
      </c>
      <c r="P156" s="4"/>
      <c r="Q156" s="4"/>
      <c r="R156" s="4"/>
    </row>
    <row r="157" spans="1:18" ht="15">
      <c r="A157" s="11">
        <v>45870</v>
      </c>
      <c r="B157" s="58">
        <f>3.6055 * CHOOSE(CONTROL!$C$27, $C$14, 100%, $E$14)</f>
        <v>3.6055000000000001</v>
      </c>
      <c r="C157" s="58">
        <f>3.6055 * CHOOSE(CONTROL!$C$27, $C$14, 100%, $E$14)</f>
        <v>3.6055000000000001</v>
      </c>
      <c r="D157" s="58">
        <f>3.6112 * CHOOSE(CONTROL!$C$27, $C$14, 100%, $E$14)</f>
        <v>3.6112000000000002</v>
      </c>
      <c r="E157" s="59">
        <f>4.2607 * CHOOSE(CONTROL!$C$27, $C$14, 100%, $E$14)</f>
        <v>4.2606999999999999</v>
      </c>
      <c r="F157" s="59">
        <f>4.2607 * CHOOSE(CONTROL!$C$27, $C$14, 100%, $E$14)</f>
        <v>4.2606999999999999</v>
      </c>
      <c r="G157" s="59">
        <f>4.2676 * CHOOSE(CONTROL!$C$27, $C$14, 100%, $E$14)</f>
        <v>4.2675999999999998</v>
      </c>
      <c r="H157" s="59">
        <f>7.8793* CHOOSE(CONTROL!$C$27, $C$14, 100%, $E$14)</f>
        <v>7.8792999999999997</v>
      </c>
      <c r="I157" s="59">
        <f>7.8862 * CHOOSE(CONTROL!$C$27, $C$14, 100%, $E$14)</f>
        <v>7.8861999999999997</v>
      </c>
      <c r="J157" s="59">
        <f>7.8793 * CHOOSE(CONTROL!$C$27, $C$14, 100%, $E$14)</f>
        <v>7.8792999999999997</v>
      </c>
      <c r="K157" s="59">
        <f>7.8862 * CHOOSE(CONTROL!$C$27, $C$14, 100%, $E$14)</f>
        <v>7.8861999999999997</v>
      </c>
      <c r="L157" s="59">
        <f>4.2607 * CHOOSE(CONTROL!$C$27, $C$14, 100%, $E$14)</f>
        <v>4.2606999999999999</v>
      </c>
      <c r="M157" s="59">
        <f>4.2676 * CHOOSE(CONTROL!$C$27, $C$14, 100%, $E$14)</f>
        <v>4.2675999999999998</v>
      </c>
      <c r="N157" s="59">
        <f>4.2607 * CHOOSE(CONTROL!$C$27, $C$14, 100%, $E$14)</f>
        <v>4.2606999999999999</v>
      </c>
      <c r="O157" s="59">
        <f>4.2676 * CHOOSE(CONTROL!$C$27, $C$14, 100%, $E$14)</f>
        <v>4.2675999999999998</v>
      </c>
      <c r="P157" s="4"/>
      <c r="Q157" s="4"/>
      <c r="R157" s="4"/>
    </row>
    <row r="158" spans="1:18" ht="15">
      <c r="A158" s="11">
        <v>45901</v>
      </c>
      <c r="B158" s="58">
        <f>3.6025 * CHOOSE(CONTROL!$C$27, $C$14, 100%, $E$14)</f>
        <v>3.6025</v>
      </c>
      <c r="C158" s="58">
        <f>3.6025 * CHOOSE(CONTROL!$C$27, $C$14, 100%, $E$14)</f>
        <v>3.6025</v>
      </c>
      <c r="D158" s="58">
        <f>3.6081 * CHOOSE(CONTROL!$C$27, $C$14, 100%, $E$14)</f>
        <v>3.6080999999999999</v>
      </c>
      <c r="E158" s="59">
        <f>4.2515 * CHOOSE(CONTROL!$C$27, $C$14, 100%, $E$14)</f>
        <v>4.2515000000000001</v>
      </c>
      <c r="F158" s="59">
        <f>4.2515 * CHOOSE(CONTROL!$C$27, $C$14, 100%, $E$14)</f>
        <v>4.2515000000000001</v>
      </c>
      <c r="G158" s="59">
        <f>4.2584 * CHOOSE(CONTROL!$C$27, $C$14, 100%, $E$14)</f>
        <v>4.2584</v>
      </c>
      <c r="H158" s="59">
        <f>7.8957* CHOOSE(CONTROL!$C$27, $C$14, 100%, $E$14)</f>
        <v>7.8956999999999997</v>
      </c>
      <c r="I158" s="59">
        <f>7.9026 * CHOOSE(CONTROL!$C$27, $C$14, 100%, $E$14)</f>
        <v>7.9025999999999996</v>
      </c>
      <c r="J158" s="59">
        <f>7.8957 * CHOOSE(CONTROL!$C$27, $C$14, 100%, $E$14)</f>
        <v>7.8956999999999997</v>
      </c>
      <c r="K158" s="59">
        <f>7.9026 * CHOOSE(CONTROL!$C$27, $C$14, 100%, $E$14)</f>
        <v>7.9025999999999996</v>
      </c>
      <c r="L158" s="59">
        <f>4.2515 * CHOOSE(CONTROL!$C$27, $C$14, 100%, $E$14)</f>
        <v>4.2515000000000001</v>
      </c>
      <c r="M158" s="59">
        <f>4.2584 * CHOOSE(CONTROL!$C$27, $C$14, 100%, $E$14)</f>
        <v>4.2584</v>
      </c>
      <c r="N158" s="59">
        <f>4.2515 * CHOOSE(CONTROL!$C$27, $C$14, 100%, $E$14)</f>
        <v>4.2515000000000001</v>
      </c>
      <c r="O158" s="59">
        <f>4.2584 * CHOOSE(CONTROL!$C$27, $C$14, 100%, $E$14)</f>
        <v>4.2584</v>
      </c>
      <c r="P158" s="4"/>
      <c r="Q158" s="4"/>
      <c r="R158" s="4"/>
    </row>
    <row r="159" spans="1:18" ht="15">
      <c r="A159" s="11">
        <v>45931</v>
      </c>
      <c r="B159" s="58">
        <f>3.596 * CHOOSE(CONTROL!$C$27, $C$14, 100%, $E$14)</f>
        <v>3.5960000000000001</v>
      </c>
      <c r="C159" s="58">
        <f>3.596 * CHOOSE(CONTROL!$C$27, $C$14, 100%, $E$14)</f>
        <v>3.5960000000000001</v>
      </c>
      <c r="D159" s="58">
        <f>3.5999 * CHOOSE(CONTROL!$C$27, $C$14, 100%, $E$14)</f>
        <v>3.5998999999999999</v>
      </c>
      <c r="E159" s="59">
        <f>4.2663 * CHOOSE(CONTROL!$C$27, $C$14, 100%, $E$14)</f>
        <v>4.2663000000000002</v>
      </c>
      <c r="F159" s="59">
        <f>4.2663 * CHOOSE(CONTROL!$C$27, $C$14, 100%, $E$14)</f>
        <v>4.2663000000000002</v>
      </c>
      <c r="G159" s="59">
        <f>4.2712 * CHOOSE(CONTROL!$C$27, $C$14, 100%, $E$14)</f>
        <v>4.2712000000000003</v>
      </c>
      <c r="H159" s="59">
        <f>7.9121* CHOOSE(CONTROL!$C$27, $C$14, 100%, $E$14)</f>
        <v>7.9120999999999997</v>
      </c>
      <c r="I159" s="59">
        <f>7.917 * CHOOSE(CONTROL!$C$27, $C$14, 100%, $E$14)</f>
        <v>7.9169999999999998</v>
      </c>
      <c r="J159" s="59">
        <f>7.9121 * CHOOSE(CONTROL!$C$27, $C$14, 100%, $E$14)</f>
        <v>7.9120999999999997</v>
      </c>
      <c r="K159" s="59">
        <f>7.917 * CHOOSE(CONTROL!$C$27, $C$14, 100%, $E$14)</f>
        <v>7.9169999999999998</v>
      </c>
      <c r="L159" s="59">
        <f>4.2663 * CHOOSE(CONTROL!$C$27, $C$14, 100%, $E$14)</f>
        <v>4.2663000000000002</v>
      </c>
      <c r="M159" s="59">
        <f>4.2712 * CHOOSE(CONTROL!$C$27, $C$14, 100%, $E$14)</f>
        <v>4.2712000000000003</v>
      </c>
      <c r="N159" s="59">
        <f>4.2663 * CHOOSE(CONTROL!$C$27, $C$14, 100%, $E$14)</f>
        <v>4.2663000000000002</v>
      </c>
      <c r="O159" s="59">
        <f>4.2712 * CHOOSE(CONTROL!$C$27, $C$14, 100%, $E$14)</f>
        <v>4.2712000000000003</v>
      </c>
      <c r="P159" s="4"/>
      <c r="Q159" s="4"/>
      <c r="R159" s="4"/>
    </row>
    <row r="160" spans="1:18" ht="15">
      <c r="A160" s="11">
        <v>45962</v>
      </c>
      <c r="B160" s="58">
        <f>3.599 * CHOOSE(CONTROL!$C$27, $C$14, 100%, $E$14)</f>
        <v>3.5990000000000002</v>
      </c>
      <c r="C160" s="58">
        <f>3.599 * CHOOSE(CONTROL!$C$27, $C$14, 100%, $E$14)</f>
        <v>3.5990000000000002</v>
      </c>
      <c r="D160" s="58">
        <f>3.603 * CHOOSE(CONTROL!$C$27, $C$14, 100%, $E$14)</f>
        <v>3.6030000000000002</v>
      </c>
      <c r="E160" s="59">
        <f>4.2825 * CHOOSE(CONTROL!$C$27, $C$14, 100%, $E$14)</f>
        <v>4.2824999999999998</v>
      </c>
      <c r="F160" s="59">
        <f>4.2825 * CHOOSE(CONTROL!$C$27, $C$14, 100%, $E$14)</f>
        <v>4.2824999999999998</v>
      </c>
      <c r="G160" s="59">
        <f>4.2874 * CHOOSE(CONTROL!$C$27, $C$14, 100%, $E$14)</f>
        <v>4.2873999999999999</v>
      </c>
      <c r="H160" s="59">
        <f>7.9286* CHOOSE(CONTROL!$C$27, $C$14, 100%, $E$14)</f>
        <v>7.9286000000000003</v>
      </c>
      <c r="I160" s="59">
        <f>7.9335 * CHOOSE(CONTROL!$C$27, $C$14, 100%, $E$14)</f>
        <v>7.9335000000000004</v>
      </c>
      <c r="J160" s="59">
        <f>7.9286 * CHOOSE(CONTROL!$C$27, $C$14, 100%, $E$14)</f>
        <v>7.9286000000000003</v>
      </c>
      <c r="K160" s="59">
        <f>7.9335 * CHOOSE(CONTROL!$C$27, $C$14, 100%, $E$14)</f>
        <v>7.9335000000000004</v>
      </c>
      <c r="L160" s="59">
        <f>4.2825 * CHOOSE(CONTROL!$C$27, $C$14, 100%, $E$14)</f>
        <v>4.2824999999999998</v>
      </c>
      <c r="M160" s="59">
        <f>4.2874 * CHOOSE(CONTROL!$C$27, $C$14, 100%, $E$14)</f>
        <v>4.2873999999999999</v>
      </c>
      <c r="N160" s="59">
        <f>4.2825 * CHOOSE(CONTROL!$C$27, $C$14, 100%, $E$14)</f>
        <v>4.2824999999999998</v>
      </c>
      <c r="O160" s="59">
        <f>4.2874 * CHOOSE(CONTROL!$C$27, $C$14, 100%, $E$14)</f>
        <v>4.2873999999999999</v>
      </c>
    </row>
    <row r="161" spans="1:15" ht="15">
      <c r="A161" s="11">
        <v>45992</v>
      </c>
      <c r="B161" s="58">
        <f>3.599 * CHOOSE(CONTROL!$C$27, $C$14, 100%, $E$14)</f>
        <v>3.5990000000000002</v>
      </c>
      <c r="C161" s="58">
        <f>3.599 * CHOOSE(CONTROL!$C$27, $C$14, 100%, $E$14)</f>
        <v>3.5990000000000002</v>
      </c>
      <c r="D161" s="58">
        <f>3.603 * CHOOSE(CONTROL!$C$27, $C$14, 100%, $E$14)</f>
        <v>3.6030000000000002</v>
      </c>
      <c r="E161" s="59">
        <f>4.2473 * CHOOSE(CONTROL!$C$27, $C$14, 100%, $E$14)</f>
        <v>4.2473000000000001</v>
      </c>
      <c r="F161" s="59">
        <f>4.2473 * CHOOSE(CONTROL!$C$27, $C$14, 100%, $E$14)</f>
        <v>4.2473000000000001</v>
      </c>
      <c r="G161" s="59">
        <f>4.2522 * CHOOSE(CONTROL!$C$27, $C$14, 100%, $E$14)</f>
        <v>4.2522000000000002</v>
      </c>
      <c r="H161" s="59">
        <f>7.9451* CHOOSE(CONTROL!$C$27, $C$14, 100%, $E$14)</f>
        <v>7.9451000000000001</v>
      </c>
      <c r="I161" s="59">
        <f>7.9501 * CHOOSE(CONTROL!$C$27, $C$14, 100%, $E$14)</f>
        <v>7.9500999999999999</v>
      </c>
      <c r="J161" s="59">
        <f>7.9451 * CHOOSE(CONTROL!$C$27, $C$14, 100%, $E$14)</f>
        <v>7.9451000000000001</v>
      </c>
      <c r="K161" s="59">
        <f>7.9501 * CHOOSE(CONTROL!$C$27, $C$14, 100%, $E$14)</f>
        <v>7.9500999999999999</v>
      </c>
      <c r="L161" s="59">
        <f>4.2473 * CHOOSE(CONTROL!$C$27, $C$14, 100%, $E$14)</f>
        <v>4.2473000000000001</v>
      </c>
      <c r="M161" s="59">
        <f>4.2522 * CHOOSE(CONTROL!$C$27, $C$14, 100%, $E$14)</f>
        <v>4.2522000000000002</v>
      </c>
      <c r="N161" s="59">
        <f>4.2473 * CHOOSE(CONTROL!$C$27, $C$14, 100%, $E$14)</f>
        <v>4.2473000000000001</v>
      </c>
      <c r="O161" s="59">
        <f>4.2522 * CHOOSE(CONTROL!$C$27, $C$14, 100%, $E$14)</f>
        <v>4.2522000000000002</v>
      </c>
    </row>
    <row r="162" spans="1:15" ht="15">
      <c r="A162" s="11">
        <v>46023</v>
      </c>
      <c r="B162" s="58">
        <f>3.6288 * CHOOSE(CONTROL!$C$27, $C$14, 100%, $E$14)</f>
        <v>3.6288</v>
      </c>
      <c r="C162" s="58">
        <f>3.6288 * CHOOSE(CONTROL!$C$27, $C$14, 100%, $E$14)</f>
        <v>3.6288</v>
      </c>
      <c r="D162" s="58">
        <f>3.6328 * CHOOSE(CONTROL!$C$27, $C$14, 100%, $E$14)</f>
        <v>3.6328</v>
      </c>
      <c r="E162" s="59">
        <f>4.3063 * CHOOSE(CONTROL!$C$27, $C$14, 100%, $E$14)</f>
        <v>4.3063000000000002</v>
      </c>
      <c r="F162" s="59">
        <f>4.3063 * CHOOSE(CONTROL!$C$27, $C$14, 100%, $E$14)</f>
        <v>4.3063000000000002</v>
      </c>
      <c r="G162" s="59">
        <f>4.3112 * CHOOSE(CONTROL!$C$27, $C$14, 100%, $E$14)</f>
        <v>4.3112000000000004</v>
      </c>
      <c r="H162" s="59">
        <f>7.9617* CHOOSE(CONTROL!$C$27, $C$14, 100%, $E$14)</f>
        <v>7.9617000000000004</v>
      </c>
      <c r="I162" s="59">
        <f>7.9666 * CHOOSE(CONTROL!$C$27, $C$14, 100%, $E$14)</f>
        <v>7.9665999999999997</v>
      </c>
      <c r="J162" s="59">
        <f>7.9617 * CHOOSE(CONTROL!$C$27, $C$14, 100%, $E$14)</f>
        <v>7.9617000000000004</v>
      </c>
      <c r="K162" s="59">
        <f>7.9666 * CHOOSE(CONTROL!$C$27, $C$14, 100%, $E$14)</f>
        <v>7.9665999999999997</v>
      </c>
      <c r="L162" s="59">
        <f>4.3063 * CHOOSE(CONTROL!$C$27, $C$14, 100%, $E$14)</f>
        <v>4.3063000000000002</v>
      </c>
      <c r="M162" s="59">
        <f>4.3112 * CHOOSE(CONTROL!$C$27, $C$14, 100%, $E$14)</f>
        <v>4.3112000000000004</v>
      </c>
      <c r="N162" s="59">
        <f>4.3063 * CHOOSE(CONTROL!$C$27, $C$14, 100%, $E$14)</f>
        <v>4.3063000000000002</v>
      </c>
      <c r="O162" s="59">
        <f>4.3112 * CHOOSE(CONTROL!$C$27, $C$14, 100%, $E$14)</f>
        <v>4.3112000000000004</v>
      </c>
    </row>
    <row r="163" spans="1:15" ht="15">
      <c r="A163" s="11">
        <v>46054</v>
      </c>
      <c r="B163" s="58">
        <f>3.6257 * CHOOSE(CONTROL!$C$27, $C$14, 100%, $E$14)</f>
        <v>3.6257000000000001</v>
      </c>
      <c r="C163" s="58">
        <f>3.6257 * CHOOSE(CONTROL!$C$27, $C$14, 100%, $E$14)</f>
        <v>3.6257000000000001</v>
      </c>
      <c r="D163" s="58">
        <f>3.6297 * CHOOSE(CONTROL!$C$27, $C$14, 100%, $E$14)</f>
        <v>3.6297000000000001</v>
      </c>
      <c r="E163" s="59">
        <f>4.236 * CHOOSE(CONTROL!$C$27, $C$14, 100%, $E$14)</f>
        <v>4.2359999999999998</v>
      </c>
      <c r="F163" s="59">
        <f>4.236 * CHOOSE(CONTROL!$C$27, $C$14, 100%, $E$14)</f>
        <v>4.2359999999999998</v>
      </c>
      <c r="G163" s="59">
        <f>4.2409 * CHOOSE(CONTROL!$C$27, $C$14, 100%, $E$14)</f>
        <v>4.2408999999999999</v>
      </c>
      <c r="H163" s="59">
        <f>7.9783* CHOOSE(CONTROL!$C$27, $C$14, 100%, $E$14)</f>
        <v>7.9782999999999999</v>
      </c>
      <c r="I163" s="59">
        <f>7.9832 * CHOOSE(CONTROL!$C$27, $C$14, 100%, $E$14)</f>
        <v>7.9832000000000001</v>
      </c>
      <c r="J163" s="59">
        <f>7.9783 * CHOOSE(CONTROL!$C$27, $C$14, 100%, $E$14)</f>
        <v>7.9782999999999999</v>
      </c>
      <c r="K163" s="59">
        <f>7.9832 * CHOOSE(CONTROL!$C$27, $C$14, 100%, $E$14)</f>
        <v>7.9832000000000001</v>
      </c>
      <c r="L163" s="59">
        <f>4.236 * CHOOSE(CONTROL!$C$27, $C$14, 100%, $E$14)</f>
        <v>4.2359999999999998</v>
      </c>
      <c r="M163" s="59">
        <f>4.2409 * CHOOSE(CONTROL!$C$27, $C$14, 100%, $E$14)</f>
        <v>4.2408999999999999</v>
      </c>
      <c r="N163" s="59">
        <f>4.236 * CHOOSE(CONTROL!$C$27, $C$14, 100%, $E$14)</f>
        <v>4.2359999999999998</v>
      </c>
      <c r="O163" s="59">
        <f>4.2409 * CHOOSE(CONTROL!$C$27, $C$14, 100%, $E$14)</f>
        <v>4.2408999999999999</v>
      </c>
    </row>
    <row r="164" spans="1:15" ht="15">
      <c r="A164" s="11">
        <v>46082</v>
      </c>
      <c r="B164" s="58">
        <f>3.6227 * CHOOSE(CONTROL!$C$27, $C$14, 100%, $E$14)</f>
        <v>3.6227</v>
      </c>
      <c r="C164" s="58">
        <f>3.6227 * CHOOSE(CONTROL!$C$27, $C$14, 100%, $E$14)</f>
        <v>3.6227</v>
      </c>
      <c r="D164" s="58">
        <f>3.6267 * CHOOSE(CONTROL!$C$27, $C$14, 100%, $E$14)</f>
        <v>3.6267</v>
      </c>
      <c r="E164" s="59">
        <f>4.2876 * CHOOSE(CONTROL!$C$27, $C$14, 100%, $E$14)</f>
        <v>4.2876000000000003</v>
      </c>
      <c r="F164" s="59">
        <f>4.2876 * CHOOSE(CONTROL!$C$27, $C$14, 100%, $E$14)</f>
        <v>4.2876000000000003</v>
      </c>
      <c r="G164" s="59">
        <f>4.2926 * CHOOSE(CONTROL!$C$27, $C$14, 100%, $E$14)</f>
        <v>4.2926000000000002</v>
      </c>
      <c r="H164" s="59">
        <f>7.9949* CHOOSE(CONTROL!$C$27, $C$14, 100%, $E$14)</f>
        <v>7.9949000000000003</v>
      </c>
      <c r="I164" s="59">
        <f>7.9998 * CHOOSE(CONTROL!$C$27, $C$14, 100%, $E$14)</f>
        <v>7.9997999999999996</v>
      </c>
      <c r="J164" s="59">
        <f>7.9949 * CHOOSE(CONTROL!$C$27, $C$14, 100%, $E$14)</f>
        <v>7.9949000000000003</v>
      </c>
      <c r="K164" s="59">
        <f>7.9998 * CHOOSE(CONTROL!$C$27, $C$14, 100%, $E$14)</f>
        <v>7.9997999999999996</v>
      </c>
      <c r="L164" s="59">
        <f>4.2876 * CHOOSE(CONTROL!$C$27, $C$14, 100%, $E$14)</f>
        <v>4.2876000000000003</v>
      </c>
      <c r="M164" s="59">
        <f>4.2926 * CHOOSE(CONTROL!$C$27, $C$14, 100%, $E$14)</f>
        <v>4.2926000000000002</v>
      </c>
      <c r="N164" s="59">
        <f>4.2876 * CHOOSE(CONTROL!$C$27, $C$14, 100%, $E$14)</f>
        <v>4.2876000000000003</v>
      </c>
      <c r="O164" s="59">
        <f>4.2926 * CHOOSE(CONTROL!$C$27, $C$14, 100%, $E$14)</f>
        <v>4.2926000000000002</v>
      </c>
    </row>
    <row r="165" spans="1:15" ht="15">
      <c r="A165" s="11">
        <v>46113</v>
      </c>
      <c r="B165" s="58">
        <f>3.62 * CHOOSE(CONTROL!$C$27, $C$14, 100%, $E$14)</f>
        <v>3.62</v>
      </c>
      <c r="C165" s="58">
        <f>3.62 * CHOOSE(CONTROL!$C$27, $C$14, 100%, $E$14)</f>
        <v>3.62</v>
      </c>
      <c r="D165" s="58">
        <f>3.624 * CHOOSE(CONTROL!$C$27, $C$14, 100%, $E$14)</f>
        <v>3.6240000000000001</v>
      </c>
      <c r="E165" s="59">
        <f>4.3412 * CHOOSE(CONTROL!$C$27, $C$14, 100%, $E$14)</f>
        <v>4.3411999999999997</v>
      </c>
      <c r="F165" s="59">
        <f>4.3412 * CHOOSE(CONTROL!$C$27, $C$14, 100%, $E$14)</f>
        <v>4.3411999999999997</v>
      </c>
      <c r="G165" s="59">
        <f>4.3461 * CHOOSE(CONTROL!$C$27, $C$14, 100%, $E$14)</f>
        <v>4.3460999999999999</v>
      </c>
      <c r="H165" s="59">
        <f>8.0115* CHOOSE(CONTROL!$C$27, $C$14, 100%, $E$14)</f>
        <v>8.0114999999999998</v>
      </c>
      <c r="I165" s="59">
        <f>8.0165 * CHOOSE(CONTROL!$C$27, $C$14, 100%, $E$14)</f>
        <v>8.0165000000000006</v>
      </c>
      <c r="J165" s="59">
        <f>8.0115 * CHOOSE(CONTROL!$C$27, $C$14, 100%, $E$14)</f>
        <v>8.0114999999999998</v>
      </c>
      <c r="K165" s="59">
        <f>8.0165 * CHOOSE(CONTROL!$C$27, $C$14, 100%, $E$14)</f>
        <v>8.0165000000000006</v>
      </c>
      <c r="L165" s="59">
        <f>4.3412 * CHOOSE(CONTROL!$C$27, $C$14, 100%, $E$14)</f>
        <v>4.3411999999999997</v>
      </c>
      <c r="M165" s="59">
        <f>4.3461 * CHOOSE(CONTROL!$C$27, $C$14, 100%, $E$14)</f>
        <v>4.3460999999999999</v>
      </c>
      <c r="N165" s="59">
        <f>4.3412 * CHOOSE(CONTROL!$C$27, $C$14, 100%, $E$14)</f>
        <v>4.3411999999999997</v>
      </c>
      <c r="O165" s="59">
        <f>4.3461 * CHOOSE(CONTROL!$C$27, $C$14, 100%, $E$14)</f>
        <v>4.3460999999999999</v>
      </c>
    </row>
    <row r="166" spans="1:15" ht="15">
      <c r="A166" s="11">
        <v>46143</v>
      </c>
      <c r="B166" s="58">
        <f>3.62 * CHOOSE(CONTROL!$C$27, $C$14, 100%, $E$14)</f>
        <v>3.62</v>
      </c>
      <c r="C166" s="58">
        <f>3.62 * CHOOSE(CONTROL!$C$27, $C$14, 100%, $E$14)</f>
        <v>3.62</v>
      </c>
      <c r="D166" s="58">
        <f>3.6256 * CHOOSE(CONTROL!$C$27, $C$14, 100%, $E$14)</f>
        <v>3.6255999999999999</v>
      </c>
      <c r="E166" s="59">
        <f>4.3628 * CHOOSE(CONTROL!$C$27, $C$14, 100%, $E$14)</f>
        <v>4.3628</v>
      </c>
      <c r="F166" s="59">
        <f>4.3628 * CHOOSE(CONTROL!$C$27, $C$14, 100%, $E$14)</f>
        <v>4.3628</v>
      </c>
      <c r="G166" s="59">
        <f>4.3697 * CHOOSE(CONTROL!$C$27, $C$14, 100%, $E$14)</f>
        <v>4.3696999999999999</v>
      </c>
      <c r="H166" s="59">
        <f>8.0282* CHOOSE(CONTROL!$C$27, $C$14, 100%, $E$14)</f>
        <v>8.0282</v>
      </c>
      <c r="I166" s="59">
        <f>8.0351 * CHOOSE(CONTROL!$C$27, $C$14, 100%, $E$14)</f>
        <v>8.0350999999999999</v>
      </c>
      <c r="J166" s="59">
        <f>8.0282 * CHOOSE(CONTROL!$C$27, $C$14, 100%, $E$14)</f>
        <v>8.0282</v>
      </c>
      <c r="K166" s="59">
        <f>8.0351 * CHOOSE(CONTROL!$C$27, $C$14, 100%, $E$14)</f>
        <v>8.0350999999999999</v>
      </c>
      <c r="L166" s="59">
        <f>4.3628 * CHOOSE(CONTROL!$C$27, $C$14, 100%, $E$14)</f>
        <v>4.3628</v>
      </c>
      <c r="M166" s="59">
        <f>4.3697 * CHOOSE(CONTROL!$C$27, $C$14, 100%, $E$14)</f>
        <v>4.3696999999999999</v>
      </c>
      <c r="N166" s="59">
        <f>4.3628 * CHOOSE(CONTROL!$C$27, $C$14, 100%, $E$14)</f>
        <v>4.3628</v>
      </c>
      <c r="O166" s="59">
        <f>4.3697 * CHOOSE(CONTROL!$C$27, $C$14, 100%, $E$14)</f>
        <v>4.3696999999999999</v>
      </c>
    </row>
    <row r="167" spans="1:15" ht="15">
      <c r="A167" s="11">
        <v>46174</v>
      </c>
      <c r="B167" s="58">
        <f>3.626 * CHOOSE(CONTROL!$C$27, $C$14, 100%, $E$14)</f>
        <v>3.6259999999999999</v>
      </c>
      <c r="C167" s="58">
        <f>3.626 * CHOOSE(CONTROL!$C$27, $C$14, 100%, $E$14)</f>
        <v>3.6259999999999999</v>
      </c>
      <c r="D167" s="58">
        <f>3.6317 * CHOOSE(CONTROL!$C$27, $C$14, 100%, $E$14)</f>
        <v>3.6316999999999999</v>
      </c>
      <c r="E167" s="59">
        <f>4.3454 * CHOOSE(CONTROL!$C$27, $C$14, 100%, $E$14)</f>
        <v>4.3453999999999997</v>
      </c>
      <c r="F167" s="59">
        <f>4.3454 * CHOOSE(CONTROL!$C$27, $C$14, 100%, $E$14)</f>
        <v>4.3453999999999997</v>
      </c>
      <c r="G167" s="59">
        <f>4.3523 * CHOOSE(CONTROL!$C$27, $C$14, 100%, $E$14)</f>
        <v>4.3522999999999996</v>
      </c>
      <c r="H167" s="59">
        <f>8.045* CHOOSE(CONTROL!$C$27, $C$14, 100%, $E$14)</f>
        <v>8.0449999999999999</v>
      </c>
      <c r="I167" s="59">
        <f>8.0519 * CHOOSE(CONTROL!$C$27, $C$14, 100%, $E$14)</f>
        <v>8.0518999999999998</v>
      </c>
      <c r="J167" s="59">
        <f>8.045 * CHOOSE(CONTROL!$C$27, $C$14, 100%, $E$14)</f>
        <v>8.0449999999999999</v>
      </c>
      <c r="K167" s="59">
        <f>8.0519 * CHOOSE(CONTROL!$C$27, $C$14, 100%, $E$14)</f>
        <v>8.0518999999999998</v>
      </c>
      <c r="L167" s="59">
        <f>4.3454 * CHOOSE(CONTROL!$C$27, $C$14, 100%, $E$14)</f>
        <v>4.3453999999999997</v>
      </c>
      <c r="M167" s="59">
        <f>4.3523 * CHOOSE(CONTROL!$C$27, $C$14, 100%, $E$14)</f>
        <v>4.3522999999999996</v>
      </c>
      <c r="N167" s="59">
        <f>4.3454 * CHOOSE(CONTROL!$C$27, $C$14, 100%, $E$14)</f>
        <v>4.3453999999999997</v>
      </c>
      <c r="O167" s="59">
        <f>4.3523 * CHOOSE(CONTROL!$C$27, $C$14, 100%, $E$14)</f>
        <v>4.3522999999999996</v>
      </c>
    </row>
    <row r="168" spans="1:15" ht="15">
      <c r="A168" s="11">
        <v>46204</v>
      </c>
      <c r="B168" s="58">
        <f>3.6807 * CHOOSE(CONTROL!$C$27, $C$14, 100%, $E$14)</f>
        <v>3.6806999999999999</v>
      </c>
      <c r="C168" s="58">
        <f>3.6807 * CHOOSE(CONTROL!$C$27, $C$14, 100%, $E$14)</f>
        <v>3.6806999999999999</v>
      </c>
      <c r="D168" s="58">
        <f>3.6863 * CHOOSE(CONTROL!$C$27, $C$14, 100%, $E$14)</f>
        <v>3.6863000000000001</v>
      </c>
      <c r="E168" s="59">
        <f>4.4213 * CHOOSE(CONTROL!$C$27, $C$14, 100%, $E$14)</f>
        <v>4.4212999999999996</v>
      </c>
      <c r="F168" s="59">
        <f>4.4213 * CHOOSE(CONTROL!$C$27, $C$14, 100%, $E$14)</f>
        <v>4.4212999999999996</v>
      </c>
      <c r="G168" s="59">
        <f>4.4282 * CHOOSE(CONTROL!$C$27, $C$14, 100%, $E$14)</f>
        <v>4.4282000000000004</v>
      </c>
      <c r="H168" s="59">
        <f>8.0617* CHOOSE(CONTROL!$C$27, $C$14, 100%, $E$14)</f>
        <v>8.0617000000000001</v>
      </c>
      <c r="I168" s="59">
        <f>8.0686 * CHOOSE(CONTROL!$C$27, $C$14, 100%, $E$14)</f>
        <v>8.0686</v>
      </c>
      <c r="J168" s="59">
        <f>8.0617 * CHOOSE(CONTROL!$C$27, $C$14, 100%, $E$14)</f>
        <v>8.0617000000000001</v>
      </c>
      <c r="K168" s="59">
        <f>8.0686 * CHOOSE(CONTROL!$C$27, $C$14, 100%, $E$14)</f>
        <v>8.0686</v>
      </c>
      <c r="L168" s="59">
        <f>4.4213 * CHOOSE(CONTROL!$C$27, $C$14, 100%, $E$14)</f>
        <v>4.4212999999999996</v>
      </c>
      <c r="M168" s="59">
        <f>4.4282 * CHOOSE(CONTROL!$C$27, $C$14, 100%, $E$14)</f>
        <v>4.4282000000000004</v>
      </c>
      <c r="N168" s="59">
        <f>4.4213 * CHOOSE(CONTROL!$C$27, $C$14, 100%, $E$14)</f>
        <v>4.4212999999999996</v>
      </c>
      <c r="O168" s="59">
        <f>4.4282 * CHOOSE(CONTROL!$C$27, $C$14, 100%, $E$14)</f>
        <v>4.4282000000000004</v>
      </c>
    </row>
    <row r="169" spans="1:15" ht="15">
      <c r="A169" s="11">
        <v>46235</v>
      </c>
      <c r="B169" s="58">
        <f>3.6874 * CHOOSE(CONTROL!$C$27, $C$14, 100%, $E$14)</f>
        <v>3.6873999999999998</v>
      </c>
      <c r="C169" s="58">
        <f>3.6874 * CHOOSE(CONTROL!$C$27, $C$14, 100%, $E$14)</f>
        <v>3.6873999999999998</v>
      </c>
      <c r="D169" s="58">
        <f>3.693 * CHOOSE(CONTROL!$C$27, $C$14, 100%, $E$14)</f>
        <v>3.6930000000000001</v>
      </c>
      <c r="E169" s="59">
        <f>4.3609 * CHOOSE(CONTROL!$C$27, $C$14, 100%, $E$14)</f>
        <v>4.3609</v>
      </c>
      <c r="F169" s="59">
        <f>4.3609 * CHOOSE(CONTROL!$C$27, $C$14, 100%, $E$14)</f>
        <v>4.3609</v>
      </c>
      <c r="G169" s="59">
        <f>4.3678 * CHOOSE(CONTROL!$C$27, $C$14, 100%, $E$14)</f>
        <v>4.3677999999999999</v>
      </c>
      <c r="H169" s="59">
        <f>8.0785* CHOOSE(CONTROL!$C$27, $C$14, 100%, $E$14)</f>
        <v>8.0785</v>
      </c>
      <c r="I169" s="59">
        <f>8.0854 * CHOOSE(CONTROL!$C$27, $C$14, 100%, $E$14)</f>
        <v>8.0853999999999999</v>
      </c>
      <c r="J169" s="59">
        <f>8.0785 * CHOOSE(CONTROL!$C$27, $C$14, 100%, $E$14)</f>
        <v>8.0785</v>
      </c>
      <c r="K169" s="59">
        <f>8.0854 * CHOOSE(CONTROL!$C$27, $C$14, 100%, $E$14)</f>
        <v>8.0853999999999999</v>
      </c>
      <c r="L169" s="59">
        <f>4.3609 * CHOOSE(CONTROL!$C$27, $C$14, 100%, $E$14)</f>
        <v>4.3609</v>
      </c>
      <c r="M169" s="59">
        <f>4.3678 * CHOOSE(CONTROL!$C$27, $C$14, 100%, $E$14)</f>
        <v>4.3677999999999999</v>
      </c>
      <c r="N169" s="59">
        <f>4.3609 * CHOOSE(CONTROL!$C$27, $C$14, 100%, $E$14)</f>
        <v>4.3609</v>
      </c>
      <c r="O169" s="59">
        <f>4.3678 * CHOOSE(CONTROL!$C$27, $C$14, 100%, $E$14)</f>
        <v>4.3677999999999999</v>
      </c>
    </row>
    <row r="170" spans="1:15" ht="15">
      <c r="A170" s="11">
        <v>46266</v>
      </c>
      <c r="B170" s="58">
        <f>3.6843 * CHOOSE(CONTROL!$C$27, $C$14, 100%, $E$14)</f>
        <v>3.6842999999999999</v>
      </c>
      <c r="C170" s="58">
        <f>3.6843 * CHOOSE(CONTROL!$C$27, $C$14, 100%, $E$14)</f>
        <v>3.6842999999999999</v>
      </c>
      <c r="D170" s="58">
        <f>3.69 * CHOOSE(CONTROL!$C$27, $C$14, 100%, $E$14)</f>
        <v>3.69</v>
      </c>
      <c r="E170" s="59">
        <f>4.3516 * CHOOSE(CONTROL!$C$27, $C$14, 100%, $E$14)</f>
        <v>4.3516000000000004</v>
      </c>
      <c r="F170" s="59">
        <f>4.3516 * CHOOSE(CONTROL!$C$27, $C$14, 100%, $E$14)</f>
        <v>4.3516000000000004</v>
      </c>
      <c r="G170" s="59">
        <f>4.3585 * CHOOSE(CONTROL!$C$27, $C$14, 100%, $E$14)</f>
        <v>4.3585000000000003</v>
      </c>
      <c r="H170" s="59">
        <f>8.0953* CHOOSE(CONTROL!$C$27, $C$14, 100%, $E$14)</f>
        <v>8.0952999999999999</v>
      </c>
      <c r="I170" s="59">
        <f>8.1022 * CHOOSE(CONTROL!$C$27, $C$14, 100%, $E$14)</f>
        <v>8.1021999999999998</v>
      </c>
      <c r="J170" s="59">
        <f>8.0953 * CHOOSE(CONTROL!$C$27, $C$14, 100%, $E$14)</f>
        <v>8.0952999999999999</v>
      </c>
      <c r="K170" s="59">
        <f>8.1022 * CHOOSE(CONTROL!$C$27, $C$14, 100%, $E$14)</f>
        <v>8.1021999999999998</v>
      </c>
      <c r="L170" s="59">
        <f>4.3516 * CHOOSE(CONTROL!$C$27, $C$14, 100%, $E$14)</f>
        <v>4.3516000000000004</v>
      </c>
      <c r="M170" s="59">
        <f>4.3585 * CHOOSE(CONTROL!$C$27, $C$14, 100%, $E$14)</f>
        <v>4.3585000000000003</v>
      </c>
      <c r="N170" s="59">
        <f>4.3516 * CHOOSE(CONTROL!$C$27, $C$14, 100%, $E$14)</f>
        <v>4.3516000000000004</v>
      </c>
      <c r="O170" s="59">
        <f>4.3585 * CHOOSE(CONTROL!$C$27, $C$14, 100%, $E$14)</f>
        <v>4.3585000000000003</v>
      </c>
    </row>
    <row r="171" spans="1:15" ht="15">
      <c r="A171" s="11">
        <v>46296</v>
      </c>
      <c r="B171" s="58">
        <f>3.6781 * CHOOSE(CONTROL!$C$27, $C$14, 100%, $E$14)</f>
        <v>3.6781000000000001</v>
      </c>
      <c r="C171" s="58">
        <f>3.6781 * CHOOSE(CONTROL!$C$27, $C$14, 100%, $E$14)</f>
        <v>3.6781000000000001</v>
      </c>
      <c r="D171" s="58">
        <f>3.6821 * CHOOSE(CONTROL!$C$27, $C$14, 100%, $E$14)</f>
        <v>3.6821000000000002</v>
      </c>
      <c r="E171" s="59">
        <f>4.3671 * CHOOSE(CONTROL!$C$27, $C$14, 100%, $E$14)</f>
        <v>4.3670999999999998</v>
      </c>
      <c r="F171" s="59">
        <f>4.3671 * CHOOSE(CONTROL!$C$27, $C$14, 100%, $E$14)</f>
        <v>4.3670999999999998</v>
      </c>
      <c r="G171" s="59">
        <f>4.372 * CHOOSE(CONTROL!$C$27, $C$14, 100%, $E$14)</f>
        <v>4.3719999999999999</v>
      </c>
      <c r="H171" s="59">
        <f>8.1122* CHOOSE(CONTROL!$C$27, $C$14, 100%, $E$14)</f>
        <v>8.1121999999999996</v>
      </c>
      <c r="I171" s="59">
        <f>8.1171 * CHOOSE(CONTROL!$C$27, $C$14, 100%, $E$14)</f>
        <v>8.1171000000000006</v>
      </c>
      <c r="J171" s="59">
        <f>8.1122 * CHOOSE(CONTROL!$C$27, $C$14, 100%, $E$14)</f>
        <v>8.1121999999999996</v>
      </c>
      <c r="K171" s="59">
        <f>8.1171 * CHOOSE(CONTROL!$C$27, $C$14, 100%, $E$14)</f>
        <v>8.1171000000000006</v>
      </c>
      <c r="L171" s="59">
        <f>4.3671 * CHOOSE(CONTROL!$C$27, $C$14, 100%, $E$14)</f>
        <v>4.3670999999999998</v>
      </c>
      <c r="M171" s="59">
        <f>4.372 * CHOOSE(CONTROL!$C$27, $C$14, 100%, $E$14)</f>
        <v>4.3719999999999999</v>
      </c>
      <c r="N171" s="59">
        <f>4.3671 * CHOOSE(CONTROL!$C$27, $C$14, 100%, $E$14)</f>
        <v>4.3670999999999998</v>
      </c>
      <c r="O171" s="59">
        <f>4.372 * CHOOSE(CONTROL!$C$27, $C$14, 100%, $E$14)</f>
        <v>4.3719999999999999</v>
      </c>
    </row>
    <row r="172" spans="1:15" ht="15">
      <c r="A172" s="11">
        <v>46327</v>
      </c>
      <c r="B172" s="58">
        <f>3.6811 * CHOOSE(CONTROL!$C$27, $C$14, 100%, $E$14)</f>
        <v>3.6810999999999998</v>
      </c>
      <c r="C172" s="58">
        <f>3.6811 * CHOOSE(CONTROL!$C$27, $C$14, 100%, $E$14)</f>
        <v>3.6810999999999998</v>
      </c>
      <c r="D172" s="58">
        <f>3.6851 * CHOOSE(CONTROL!$C$27, $C$14, 100%, $E$14)</f>
        <v>3.6850999999999998</v>
      </c>
      <c r="E172" s="59">
        <f>4.3836 * CHOOSE(CONTROL!$C$27, $C$14, 100%, $E$14)</f>
        <v>4.3836000000000004</v>
      </c>
      <c r="F172" s="59">
        <f>4.3836 * CHOOSE(CONTROL!$C$27, $C$14, 100%, $E$14)</f>
        <v>4.3836000000000004</v>
      </c>
      <c r="G172" s="59">
        <f>4.3886 * CHOOSE(CONTROL!$C$27, $C$14, 100%, $E$14)</f>
        <v>4.3886000000000003</v>
      </c>
      <c r="H172" s="59">
        <f>8.1291* CHOOSE(CONTROL!$C$27, $C$14, 100%, $E$14)</f>
        <v>8.1290999999999993</v>
      </c>
      <c r="I172" s="59">
        <f>8.134 * CHOOSE(CONTROL!$C$27, $C$14, 100%, $E$14)</f>
        <v>8.1340000000000003</v>
      </c>
      <c r="J172" s="59">
        <f>8.1291 * CHOOSE(CONTROL!$C$27, $C$14, 100%, $E$14)</f>
        <v>8.1290999999999993</v>
      </c>
      <c r="K172" s="59">
        <f>8.134 * CHOOSE(CONTROL!$C$27, $C$14, 100%, $E$14)</f>
        <v>8.1340000000000003</v>
      </c>
      <c r="L172" s="59">
        <f>4.3836 * CHOOSE(CONTROL!$C$27, $C$14, 100%, $E$14)</f>
        <v>4.3836000000000004</v>
      </c>
      <c r="M172" s="59">
        <f>4.3886 * CHOOSE(CONTROL!$C$27, $C$14, 100%, $E$14)</f>
        <v>4.3886000000000003</v>
      </c>
      <c r="N172" s="59">
        <f>4.3836 * CHOOSE(CONTROL!$C$27, $C$14, 100%, $E$14)</f>
        <v>4.3836000000000004</v>
      </c>
      <c r="O172" s="59">
        <f>4.3886 * CHOOSE(CONTROL!$C$27, $C$14, 100%, $E$14)</f>
        <v>4.3886000000000003</v>
      </c>
    </row>
    <row r="173" spans="1:15" ht="15">
      <c r="A173" s="11">
        <v>46357</v>
      </c>
      <c r="B173" s="58">
        <f>3.6811 * CHOOSE(CONTROL!$C$27, $C$14, 100%, $E$14)</f>
        <v>3.6810999999999998</v>
      </c>
      <c r="C173" s="58">
        <f>3.6811 * CHOOSE(CONTROL!$C$27, $C$14, 100%, $E$14)</f>
        <v>3.6810999999999998</v>
      </c>
      <c r="D173" s="58">
        <f>3.6851 * CHOOSE(CONTROL!$C$27, $C$14, 100%, $E$14)</f>
        <v>3.6850999999999998</v>
      </c>
      <c r="E173" s="59">
        <f>4.3475 * CHOOSE(CONTROL!$C$27, $C$14, 100%, $E$14)</f>
        <v>4.3475000000000001</v>
      </c>
      <c r="F173" s="59">
        <f>4.3475 * CHOOSE(CONTROL!$C$27, $C$14, 100%, $E$14)</f>
        <v>4.3475000000000001</v>
      </c>
      <c r="G173" s="59">
        <f>4.3524 * CHOOSE(CONTROL!$C$27, $C$14, 100%, $E$14)</f>
        <v>4.3524000000000003</v>
      </c>
      <c r="H173" s="59">
        <f>8.146* CHOOSE(CONTROL!$C$27, $C$14, 100%, $E$14)</f>
        <v>8.1460000000000008</v>
      </c>
      <c r="I173" s="59">
        <f>8.151 * CHOOSE(CONTROL!$C$27, $C$14, 100%, $E$14)</f>
        <v>8.1509999999999998</v>
      </c>
      <c r="J173" s="59">
        <f>8.146 * CHOOSE(CONTROL!$C$27, $C$14, 100%, $E$14)</f>
        <v>8.1460000000000008</v>
      </c>
      <c r="K173" s="59">
        <f>8.151 * CHOOSE(CONTROL!$C$27, $C$14, 100%, $E$14)</f>
        <v>8.1509999999999998</v>
      </c>
      <c r="L173" s="59">
        <f>4.3475 * CHOOSE(CONTROL!$C$27, $C$14, 100%, $E$14)</f>
        <v>4.3475000000000001</v>
      </c>
      <c r="M173" s="59">
        <f>4.3524 * CHOOSE(CONTROL!$C$27, $C$14, 100%, $E$14)</f>
        <v>4.3524000000000003</v>
      </c>
      <c r="N173" s="59">
        <f>4.3475 * CHOOSE(CONTROL!$C$27, $C$14, 100%, $E$14)</f>
        <v>4.3475000000000001</v>
      </c>
      <c r="O173" s="59">
        <f>4.3524 * CHOOSE(CONTROL!$C$27, $C$14, 100%, $E$14)</f>
        <v>4.3524000000000003</v>
      </c>
    </row>
    <row r="174" spans="1:15" ht="15">
      <c r="A174" s="11">
        <v>46388</v>
      </c>
      <c r="B174" s="58">
        <f>3.7098 * CHOOSE(CONTROL!$C$27, $C$14, 100%, $E$14)</f>
        <v>3.7098</v>
      </c>
      <c r="C174" s="58">
        <f>3.7098 * CHOOSE(CONTROL!$C$27, $C$14, 100%, $E$14)</f>
        <v>3.7098</v>
      </c>
      <c r="D174" s="58">
        <f>3.7138 * CHOOSE(CONTROL!$C$27, $C$14, 100%, $E$14)</f>
        <v>3.7138</v>
      </c>
      <c r="E174" s="59">
        <f>4.4079 * CHOOSE(CONTROL!$C$27, $C$14, 100%, $E$14)</f>
        <v>4.4078999999999997</v>
      </c>
      <c r="F174" s="59">
        <f>4.4079 * CHOOSE(CONTROL!$C$27, $C$14, 100%, $E$14)</f>
        <v>4.4078999999999997</v>
      </c>
      <c r="G174" s="59">
        <f>4.4129 * CHOOSE(CONTROL!$C$27, $C$14, 100%, $E$14)</f>
        <v>4.4128999999999996</v>
      </c>
      <c r="H174" s="59">
        <f>8.163* CHOOSE(CONTROL!$C$27, $C$14, 100%, $E$14)</f>
        <v>8.1630000000000003</v>
      </c>
      <c r="I174" s="59">
        <f>8.1679 * CHOOSE(CONTROL!$C$27, $C$14, 100%, $E$14)</f>
        <v>8.1678999999999995</v>
      </c>
      <c r="J174" s="59">
        <f>8.163 * CHOOSE(CONTROL!$C$27, $C$14, 100%, $E$14)</f>
        <v>8.1630000000000003</v>
      </c>
      <c r="K174" s="59">
        <f>8.1679 * CHOOSE(CONTROL!$C$27, $C$14, 100%, $E$14)</f>
        <v>8.1678999999999995</v>
      </c>
      <c r="L174" s="59">
        <f>4.4079 * CHOOSE(CONTROL!$C$27, $C$14, 100%, $E$14)</f>
        <v>4.4078999999999997</v>
      </c>
      <c r="M174" s="59">
        <f>4.4129 * CHOOSE(CONTROL!$C$27, $C$14, 100%, $E$14)</f>
        <v>4.4128999999999996</v>
      </c>
      <c r="N174" s="59">
        <f>4.4079 * CHOOSE(CONTROL!$C$27, $C$14, 100%, $E$14)</f>
        <v>4.4078999999999997</v>
      </c>
      <c r="O174" s="59">
        <f>4.4129 * CHOOSE(CONTROL!$C$27, $C$14, 100%, $E$14)</f>
        <v>4.4128999999999996</v>
      </c>
    </row>
    <row r="175" spans="1:15" ht="15">
      <c r="A175" s="11">
        <v>46419</v>
      </c>
      <c r="B175" s="58">
        <f>3.7067 * CHOOSE(CONTROL!$C$27, $C$14, 100%, $E$14)</f>
        <v>3.7067000000000001</v>
      </c>
      <c r="C175" s="58">
        <f>3.7067 * CHOOSE(CONTROL!$C$27, $C$14, 100%, $E$14)</f>
        <v>3.7067000000000001</v>
      </c>
      <c r="D175" s="58">
        <f>3.7107 * CHOOSE(CONTROL!$C$27, $C$14, 100%, $E$14)</f>
        <v>3.7107000000000001</v>
      </c>
      <c r="E175" s="59">
        <f>4.3359 * CHOOSE(CONTROL!$C$27, $C$14, 100%, $E$14)</f>
        <v>4.3358999999999996</v>
      </c>
      <c r="F175" s="59">
        <f>4.3359 * CHOOSE(CONTROL!$C$27, $C$14, 100%, $E$14)</f>
        <v>4.3358999999999996</v>
      </c>
      <c r="G175" s="59">
        <f>4.3408 * CHOOSE(CONTROL!$C$27, $C$14, 100%, $E$14)</f>
        <v>4.3407999999999998</v>
      </c>
      <c r="H175" s="59">
        <f>8.18* CHOOSE(CONTROL!$C$27, $C$14, 100%, $E$14)</f>
        <v>8.18</v>
      </c>
      <c r="I175" s="59">
        <f>8.1849 * CHOOSE(CONTROL!$C$27, $C$14, 100%, $E$14)</f>
        <v>8.1849000000000007</v>
      </c>
      <c r="J175" s="59">
        <f>8.18 * CHOOSE(CONTROL!$C$27, $C$14, 100%, $E$14)</f>
        <v>8.18</v>
      </c>
      <c r="K175" s="59">
        <f>8.1849 * CHOOSE(CONTROL!$C$27, $C$14, 100%, $E$14)</f>
        <v>8.1849000000000007</v>
      </c>
      <c r="L175" s="59">
        <f>4.3359 * CHOOSE(CONTROL!$C$27, $C$14, 100%, $E$14)</f>
        <v>4.3358999999999996</v>
      </c>
      <c r="M175" s="59">
        <f>4.3408 * CHOOSE(CONTROL!$C$27, $C$14, 100%, $E$14)</f>
        <v>4.3407999999999998</v>
      </c>
      <c r="N175" s="59">
        <f>4.3359 * CHOOSE(CONTROL!$C$27, $C$14, 100%, $E$14)</f>
        <v>4.3358999999999996</v>
      </c>
      <c r="O175" s="59">
        <f>4.3408 * CHOOSE(CONTROL!$C$27, $C$14, 100%, $E$14)</f>
        <v>4.3407999999999998</v>
      </c>
    </row>
    <row r="176" spans="1:15" ht="15">
      <c r="A176" s="11">
        <v>46447</v>
      </c>
      <c r="B176" s="58">
        <f>3.7037 * CHOOSE(CONTROL!$C$27, $C$14, 100%, $E$14)</f>
        <v>3.7037</v>
      </c>
      <c r="C176" s="58">
        <f>3.7037 * CHOOSE(CONTROL!$C$27, $C$14, 100%, $E$14)</f>
        <v>3.7037</v>
      </c>
      <c r="D176" s="58">
        <f>3.7077 * CHOOSE(CONTROL!$C$27, $C$14, 100%, $E$14)</f>
        <v>3.7077</v>
      </c>
      <c r="E176" s="59">
        <f>4.3889 * CHOOSE(CONTROL!$C$27, $C$14, 100%, $E$14)</f>
        <v>4.3888999999999996</v>
      </c>
      <c r="F176" s="59">
        <f>4.3889 * CHOOSE(CONTROL!$C$27, $C$14, 100%, $E$14)</f>
        <v>4.3888999999999996</v>
      </c>
      <c r="G176" s="59">
        <f>4.3938 * CHOOSE(CONTROL!$C$27, $C$14, 100%, $E$14)</f>
        <v>4.3937999999999997</v>
      </c>
      <c r="H176" s="59">
        <f>8.1971* CHOOSE(CONTROL!$C$27, $C$14, 100%, $E$14)</f>
        <v>8.1971000000000007</v>
      </c>
      <c r="I176" s="59">
        <f>8.202 * CHOOSE(CONTROL!$C$27, $C$14, 100%, $E$14)</f>
        <v>8.202</v>
      </c>
      <c r="J176" s="59">
        <f>8.1971 * CHOOSE(CONTROL!$C$27, $C$14, 100%, $E$14)</f>
        <v>8.1971000000000007</v>
      </c>
      <c r="K176" s="59">
        <f>8.202 * CHOOSE(CONTROL!$C$27, $C$14, 100%, $E$14)</f>
        <v>8.202</v>
      </c>
      <c r="L176" s="59">
        <f>4.3889 * CHOOSE(CONTROL!$C$27, $C$14, 100%, $E$14)</f>
        <v>4.3888999999999996</v>
      </c>
      <c r="M176" s="59">
        <f>4.3938 * CHOOSE(CONTROL!$C$27, $C$14, 100%, $E$14)</f>
        <v>4.3937999999999997</v>
      </c>
      <c r="N176" s="59">
        <f>4.3889 * CHOOSE(CONTROL!$C$27, $C$14, 100%, $E$14)</f>
        <v>4.3888999999999996</v>
      </c>
      <c r="O176" s="59">
        <f>4.3938 * CHOOSE(CONTROL!$C$27, $C$14, 100%, $E$14)</f>
        <v>4.3937999999999997</v>
      </c>
    </row>
    <row r="177" spans="1:15" ht="15">
      <c r="A177" s="11">
        <v>46478</v>
      </c>
      <c r="B177" s="58">
        <f>3.701 * CHOOSE(CONTROL!$C$27, $C$14, 100%, $E$14)</f>
        <v>3.7010000000000001</v>
      </c>
      <c r="C177" s="58">
        <f>3.701 * CHOOSE(CONTROL!$C$27, $C$14, 100%, $E$14)</f>
        <v>3.7010000000000001</v>
      </c>
      <c r="D177" s="58">
        <f>3.705 * CHOOSE(CONTROL!$C$27, $C$14, 100%, $E$14)</f>
        <v>3.7050000000000001</v>
      </c>
      <c r="E177" s="59">
        <f>4.4439 * CHOOSE(CONTROL!$C$27, $C$14, 100%, $E$14)</f>
        <v>4.4439000000000002</v>
      </c>
      <c r="F177" s="59">
        <f>4.4439 * CHOOSE(CONTROL!$C$27, $C$14, 100%, $E$14)</f>
        <v>4.4439000000000002</v>
      </c>
      <c r="G177" s="59">
        <f>4.4488 * CHOOSE(CONTROL!$C$27, $C$14, 100%, $E$14)</f>
        <v>4.4488000000000003</v>
      </c>
      <c r="H177" s="59">
        <f>8.2141* CHOOSE(CONTROL!$C$27, $C$14, 100%, $E$14)</f>
        <v>8.2141000000000002</v>
      </c>
      <c r="I177" s="59">
        <f>8.2191 * CHOOSE(CONTROL!$C$27, $C$14, 100%, $E$14)</f>
        <v>8.2190999999999992</v>
      </c>
      <c r="J177" s="59">
        <f>8.2141 * CHOOSE(CONTROL!$C$27, $C$14, 100%, $E$14)</f>
        <v>8.2141000000000002</v>
      </c>
      <c r="K177" s="59">
        <f>8.2191 * CHOOSE(CONTROL!$C$27, $C$14, 100%, $E$14)</f>
        <v>8.2190999999999992</v>
      </c>
      <c r="L177" s="59">
        <f>4.4439 * CHOOSE(CONTROL!$C$27, $C$14, 100%, $E$14)</f>
        <v>4.4439000000000002</v>
      </c>
      <c r="M177" s="59">
        <f>4.4488 * CHOOSE(CONTROL!$C$27, $C$14, 100%, $E$14)</f>
        <v>4.4488000000000003</v>
      </c>
      <c r="N177" s="59">
        <f>4.4439 * CHOOSE(CONTROL!$C$27, $C$14, 100%, $E$14)</f>
        <v>4.4439000000000002</v>
      </c>
      <c r="O177" s="59">
        <f>4.4488 * CHOOSE(CONTROL!$C$27, $C$14, 100%, $E$14)</f>
        <v>4.4488000000000003</v>
      </c>
    </row>
    <row r="178" spans="1:15" ht="15">
      <c r="A178" s="11">
        <v>46508</v>
      </c>
      <c r="B178" s="58">
        <f>3.701 * CHOOSE(CONTROL!$C$27, $C$14, 100%, $E$14)</f>
        <v>3.7010000000000001</v>
      </c>
      <c r="C178" s="58">
        <f>3.701 * CHOOSE(CONTROL!$C$27, $C$14, 100%, $E$14)</f>
        <v>3.7010000000000001</v>
      </c>
      <c r="D178" s="58">
        <f>3.7067 * CHOOSE(CONTROL!$C$27, $C$14, 100%, $E$14)</f>
        <v>3.7067000000000001</v>
      </c>
      <c r="E178" s="59">
        <f>4.4661 * CHOOSE(CONTROL!$C$27, $C$14, 100%, $E$14)</f>
        <v>4.4661</v>
      </c>
      <c r="F178" s="59">
        <f>4.4661 * CHOOSE(CONTROL!$C$27, $C$14, 100%, $E$14)</f>
        <v>4.4661</v>
      </c>
      <c r="G178" s="59">
        <f>4.473 * CHOOSE(CONTROL!$C$27, $C$14, 100%, $E$14)</f>
        <v>4.4729999999999999</v>
      </c>
      <c r="H178" s="59">
        <f>8.2313* CHOOSE(CONTROL!$C$27, $C$14, 100%, $E$14)</f>
        <v>8.2312999999999992</v>
      </c>
      <c r="I178" s="59">
        <f>8.2381 * CHOOSE(CONTROL!$C$27, $C$14, 100%, $E$14)</f>
        <v>8.2380999999999993</v>
      </c>
      <c r="J178" s="59">
        <f>8.2313 * CHOOSE(CONTROL!$C$27, $C$14, 100%, $E$14)</f>
        <v>8.2312999999999992</v>
      </c>
      <c r="K178" s="59">
        <f>8.2381 * CHOOSE(CONTROL!$C$27, $C$14, 100%, $E$14)</f>
        <v>8.2380999999999993</v>
      </c>
      <c r="L178" s="59">
        <f>4.4661 * CHOOSE(CONTROL!$C$27, $C$14, 100%, $E$14)</f>
        <v>4.4661</v>
      </c>
      <c r="M178" s="59">
        <f>4.473 * CHOOSE(CONTROL!$C$27, $C$14, 100%, $E$14)</f>
        <v>4.4729999999999999</v>
      </c>
      <c r="N178" s="59">
        <f>4.4661 * CHOOSE(CONTROL!$C$27, $C$14, 100%, $E$14)</f>
        <v>4.4661</v>
      </c>
      <c r="O178" s="59">
        <f>4.473 * CHOOSE(CONTROL!$C$27, $C$14, 100%, $E$14)</f>
        <v>4.4729999999999999</v>
      </c>
    </row>
    <row r="179" spans="1:15" ht="15">
      <c r="A179" s="11">
        <v>46539</v>
      </c>
      <c r="B179" s="58">
        <f>3.7071 * CHOOSE(CONTROL!$C$27, $C$14, 100%, $E$14)</f>
        <v>3.7071000000000001</v>
      </c>
      <c r="C179" s="58">
        <f>3.7071 * CHOOSE(CONTROL!$C$27, $C$14, 100%, $E$14)</f>
        <v>3.7071000000000001</v>
      </c>
      <c r="D179" s="58">
        <f>3.7127 * CHOOSE(CONTROL!$C$27, $C$14, 100%, $E$14)</f>
        <v>3.7126999999999999</v>
      </c>
      <c r="E179" s="59">
        <f>4.4481 * CHOOSE(CONTROL!$C$27, $C$14, 100%, $E$14)</f>
        <v>4.4481000000000002</v>
      </c>
      <c r="F179" s="59">
        <f>4.4481 * CHOOSE(CONTROL!$C$27, $C$14, 100%, $E$14)</f>
        <v>4.4481000000000002</v>
      </c>
      <c r="G179" s="59">
        <f>4.455 * CHOOSE(CONTROL!$C$27, $C$14, 100%, $E$14)</f>
        <v>4.4550000000000001</v>
      </c>
      <c r="H179" s="59">
        <f>8.2484* CHOOSE(CONTROL!$C$27, $C$14, 100%, $E$14)</f>
        <v>8.2484000000000002</v>
      </c>
      <c r="I179" s="59">
        <f>8.2553 * CHOOSE(CONTROL!$C$27, $C$14, 100%, $E$14)</f>
        <v>8.2553000000000001</v>
      </c>
      <c r="J179" s="59">
        <f>8.2484 * CHOOSE(CONTROL!$C$27, $C$14, 100%, $E$14)</f>
        <v>8.2484000000000002</v>
      </c>
      <c r="K179" s="59">
        <f>8.2553 * CHOOSE(CONTROL!$C$27, $C$14, 100%, $E$14)</f>
        <v>8.2553000000000001</v>
      </c>
      <c r="L179" s="59">
        <f>4.4481 * CHOOSE(CONTROL!$C$27, $C$14, 100%, $E$14)</f>
        <v>4.4481000000000002</v>
      </c>
      <c r="M179" s="59">
        <f>4.455 * CHOOSE(CONTROL!$C$27, $C$14, 100%, $E$14)</f>
        <v>4.4550000000000001</v>
      </c>
      <c r="N179" s="59">
        <f>4.4481 * CHOOSE(CONTROL!$C$27, $C$14, 100%, $E$14)</f>
        <v>4.4481000000000002</v>
      </c>
      <c r="O179" s="59">
        <f>4.455 * CHOOSE(CONTROL!$C$27, $C$14, 100%, $E$14)</f>
        <v>4.4550000000000001</v>
      </c>
    </row>
    <row r="180" spans="1:15" ht="15">
      <c r="A180" s="11">
        <v>46569</v>
      </c>
      <c r="B180" s="58">
        <f>3.7587 * CHOOSE(CONTROL!$C$27, $C$14, 100%, $E$14)</f>
        <v>3.7587000000000002</v>
      </c>
      <c r="C180" s="58">
        <f>3.7587 * CHOOSE(CONTROL!$C$27, $C$14, 100%, $E$14)</f>
        <v>3.7587000000000002</v>
      </c>
      <c r="D180" s="58">
        <f>3.7643 * CHOOSE(CONTROL!$C$27, $C$14, 100%, $E$14)</f>
        <v>3.7643</v>
      </c>
      <c r="E180" s="59">
        <f>4.5253 * CHOOSE(CONTROL!$C$27, $C$14, 100%, $E$14)</f>
        <v>4.5252999999999997</v>
      </c>
      <c r="F180" s="59">
        <f>4.5253 * CHOOSE(CONTROL!$C$27, $C$14, 100%, $E$14)</f>
        <v>4.5252999999999997</v>
      </c>
      <c r="G180" s="59">
        <f>4.5322 * CHOOSE(CONTROL!$C$27, $C$14, 100%, $E$14)</f>
        <v>4.5321999999999996</v>
      </c>
      <c r="H180" s="59">
        <f>8.2656* CHOOSE(CONTROL!$C$27, $C$14, 100%, $E$14)</f>
        <v>8.2655999999999992</v>
      </c>
      <c r="I180" s="59">
        <f>8.2725 * CHOOSE(CONTROL!$C$27, $C$14, 100%, $E$14)</f>
        <v>8.2725000000000009</v>
      </c>
      <c r="J180" s="59">
        <f>8.2656 * CHOOSE(CONTROL!$C$27, $C$14, 100%, $E$14)</f>
        <v>8.2655999999999992</v>
      </c>
      <c r="K180" s="59">
        <f>8.2725 * CHOOSE(CONTROL!$C$27, $C$14, 100%, $E$14)</f>
        <v>8.2725000000000009</v>
      </c>
      <c r="L180" s="59">
        <f>4.5253 * CHOOSE(CONTROL!$C$27, $C$14, 100%, $E$14)</f>
        <v>4.5252999999999997</v>
      </c>
      <c r="M180" s="59">
        <f>4.5322 * CHOOSE(CONTROL!$C$27, $C$14, 100%, $E$14)</f>
        <v>4.5321999999999996</v>
      </c>
      <c r="N180" s="59">
        <f>4.5253 * CHOOSE(CONTROL!$C$27, $C$14, 100%, $E$14)</f>
        <v>4.5252999999999997</v>
      </c>
      <c r="O180" s="59">
        <f>4.5322 * CHOOSE(CONTROL!$C$27, $C$14, 100%, $E$14)</f>
        <v>4.5321999999999996</v>
      </c>
    </row>
    <row r="181" spans="1:15" ht="15">
      <c r="A181" s="11">
        <v>46600</v>
      </c>
      <c r="B181" s="58">
        <f>3.7654 * CHOOSE(CONTROL!$C$27, $C$14, 100%, $E$14)</f>
        <v>3.7654000000000001</v>
      </c>
      <c r="C181" s="58">
        <f>3.7654 * CHOOSE(CONTROL!$C$27, $C$14, 100%, $E$14)</f>
        <v>3.7654000000000001</v>
      </c>
      <c r="D181" s="58">
        <f>3.771 * CHOOSE(CONTROL!$C$27, $C$14, 100%, $E$14)</f>
        <v>3.7709999999999999</v>
      </c>
      <c r="E181" s="59">
        <f>4.4633 * CHOOSE(CONTROL!$C$27, $C$14, 100%, $E$14)</f>
        <v>4.4633000000000003</v>
      </c>
      <c r="F181" s="59">
        <f>4.4633 * CHOOSE(CONTROL!$C$27, $C$14, 100%, $E$14)</f>
        <v>4.4633000000000003</v>
      </c>
      <c r="G181" s="59">
        <f>4.4702 * CHOOSE(CONTROL!$C$27, $C$14, 100%, $E$14)</f>
        <v>4.4702000000000002</v>
      </c>
      <c r="H181" s="59">
        <f>8.2828* CHOOSE(CONTROL!$C$27, $C$14, 100%, $E$14)</f>
        <v>8.2827999999999999</v>
      </c>
      <c r="I181" s="59">
        <f>8.2897 * CHOOSE(CONTROL!$C$27, $C$14, 100%, $E$14)</f>
        <v>8.2896999999999998</v>
      </c>
      <c r="J181" s="59">
        <f>8.2828 * CHOOSE(CONTROL!$C$27, $C$14, 100%, $E$14)</f>
        <v>8.2827999999999999</v>
      </c>
      <c r="K181" s="59">
        <f>8.2897 * CHOOSE(CONTROL!$C$27, $C$14, 100%, $E$14)</f>
        <v>8.2896999999999998</v>
      </c>
      <c r="L181" s="59">
        <f>4.4633 * CHOOSE(CONTROL!$C$27, $C$14, 100%, $E$14)</f>
        <v>4.4633000000000003</v>
      </c>
      <c r="M181" s="59">
        <f>4.4702 * CHOOSE(CONTROL!$C$27, $C$14, 100%, $E$14)</f>
        <v>4.4702000000000002</v>
      </c>
      <c r="N181" s="59">
        <f>4.4633 * CHOOSE(CONTROL!$C$27, $C$14, 100%, $E$14)</f>
        <v>4.4633000000000003</v>
      </c>
      <c r="O181" s="59">
        <f>4.4702 * CHOOSE(CONTROL!$C$27, $C$14, 100%, $E$14)</f>
        <v>4.4702000000000002</v>
      </c>
    </row>
    <row r="182" spans="1:15" ht="15">
      <c r="A182" s="11">
        <v>46631</v>
      </c>
      <c r="B182" s="58">
        <f>3.7623 * CHOOSE(CONTROL!$C$27, $C$14, 100%, $E$14)</f>
        <v>3.7623000000000002</v>
      </c>
      <c r="C182" s="58">
        <f>3.7623 * CHOOSE(CONTROL!$C$27, $C$14, 100%, $E$14)</f>
        <v>3.7623000000000002</v>
      </c>
      <c r="D182" s="58">
        <f>3.7679 * CHOOSE(CONTROL!$C$27, $C$14, 100%, $E$14)</f>
        <v>3.7679</v>
      </c>
      <c r="E182" s="59">
        <f>4.4538 * CHOOSE(CONTROL!$C$27, $C$14, 100%, $E$14)</f>
        <v>4.4538000000000002</v>
      </c>
      <c r="F182" s="59">
        <f>4.4538 * CHOOSE(CONTROL!$C$27, $C$14, 100%, $E$14)</f>
        <v>4.4538000000000002</v>
      </c>
      <c r="G182" s="59">
        <f>4.4607 * CHOOSE(CONTROL!$C$27, $C$14, 100%, $E$14)</f>
        <v>4.4607000000000001</v>
      </c>
      <c r="H182" s="59">
        <f>8.3001* CHOOSE(CONTROL!$C$27, $C$14, 100%, $E$14)</f>
        <v>8.3001000000000005</v>
      </c>
      <c r="I182" s="59">
        <f>8.307 * CHOOSE(CONTROL!$C$27, $C$14, 100%, $E$14)</f>
        <v>8.3070000000000004</v>
      </c>
      <c r="J182" s="59">
        <f>8.3001 * CHOOSE(CONTROL!$C$27, $C$14, 100%, $E$14)</f>
        <v>8.3001000000000005</v>
      </c>
      <c r="K182" s="59">
        <f>8.307 * CHOOSE(CONTROL!$C$27, $C$14, 100%, $E$14)</f>
        <v>8.3070000000000004</v>
      </c>
      <c r="L182" s="59">
        <f>4.4538 * CHOOSE(CONTROL!$C$27, $C$14, 100%, $E$14)</f>
        <v>4.4538000000000002</v>
      </c>
      <c r="M182" s="59">
        <f>4.4607 * CHOOSE(CONTROL!$C$27, $C$14, 100%, $E$14)</f>
        <v>4.4607000000000001</v>
      </c>
      <c r="N182" s="59">
        <f>4.4538 * CHOOSE(CONTROL!$C$27, $C$14, 100%, $E$14)</f>
        <v>4.4538000000000002</v>
      </c>
      <c r="O182" s="59">
        <f>4.4607 * CHOOSE(CONTROL!$C$27, $C$14, 100%, $E$14)</f>
        <v>4.4607000000000001</v>
      </c>
    </row>
    <row r="183" spans="1:15" ht="15">
      <c r="A183" s="11">
        <v>46661</v>
      </c>
      <c r="B183" s="58">
        <f>3.7564 * CHOOSE(CONTROL!$C$27, $C$14, 100%, $E$14)</f>
        <v>3.7564000000000002</v>
      </c>
      <c r="C183" s="58">
        <f>3.7564 * CHOOSE(CONTROL!$C$27, $C$14, 100%, $E$14)</f>
        <v>3.7564000000000002</v>
      </c>
      <c r="D183" s="58">
        <f>3.7604 * CHOOSE(CONTROL!$C$27, $C$14, 100%, $E$14)</f>
        <v>3.7604000000000002</v>
      </c>
      <c r="E183" s="59">
        <f>4.47 * CHOOSE(CONTROL!$C$27, $C$14, 100%, $E$14)</f>
        <v>4.47</v>
      </c>
      <c r="F183" s="59">
        <f>4.47 * CHOOSE(CONTROL!$C$27, $C$14, 100%, $E$14)</f>
        <v>4.47</v>
      </c>
      <c r="G183" s="59">
        <f>4.4749 * CHOOSE(CONTROL!$C$27, $C$14, 100%, $E$14)</f>
        <v>4.4748999999999999</v>
      </c>
      <c r="H183" s="59">
        <f>8.3174* CHOOSE(CONTROL!$C$27, $C$14, 100%, $E$14)</f>
        <v>8.3173999999999992</v>
      </c>
      <c r="I183" s="59">
        <f>8.3223 * CHOOSE(CONTROL!$C$27, $C$14, 100%, $E$14)</f>
        <v>8.3223000000000003</v>
      </c>
      <c r="J183" s="59">
        <f>8.3174 * CHOOSE(CONTROL!$C$27, $C$14, 100%, $E$14)</f>
        <v>8.3173999999999992</v>
      </c>
      <c r="K183" s="59">
        <f>8.3223 * CHOOSE(CONTROL!$C$27, $C$14, 100%, $E$14)</f>
        <v>8.3223000000000003</v>
      </c>
      <c r="L183" s="59">
        <f>4.47 * CHOOSE(CONTROL!$C$27, $C$14, 100%, $E$14)</f>
        <v>4.47</v>
      </c>
      <c r="M183" s="59">
        <f>4.4749 * CHOOSE(CONTROL!$C$27, $C$14, 100%, $E$14)</f>
        <v>4.4748999999999999</v>
      </c>
      <c r="N183" s="59">
        <f>4.47 * CHOOSE(CONTROL!$C$27, $C$14, 100%, $E$14)</f>
        <v>4.47</v>
      </c>
      <c r="O183" s="59">
        <f>4.4749 * CHOOSE(CONTROL!$C$27, $C$14, 100%, $E$14)</f>
        <v>4.4748999999999999</v>
      </c>
    </row>
    <row r="184" spans="1:15" ht="15">
      <c r="A184" s="11">
        <v>46692</v>
      </c>
      <c r="B184" s="58">
        <f>3.7595 * CHOOSE(CONTROL!$C$27, $C$14, 100%, $E$14)</f>
        <v>3.7595000000000001</v>
      </c>
      <c r="C184" s="58">
        <f>3.7595 * CHOOSE(CONTROL!$C$27, $C$14, 100%, $E$14)</f>
        <v>3.7595000000000001</v>
      </c>
      <c r="D184" s="58">
        <f>3.7634 * CHOOSE(CONTROL!$C$27, $C$14, 100%, $E$14)</f>
        <v>3.7633999999999999</v>
      </c>
      <c r="E184" s="59">
        <f>4.4869 * CHOOSE(CONTROL!$C$27, $C$14, 100%, $E$14)</f>
        <v>4.4869000000000003</v>
      </c>
      <c r="F184" s="59">
        <f>4.4869 * CHOOSE(CONTROL!$C$27, $C$14, 100%, $E$14)</f>
        <v>4.4869000000000003</v>
      </c>
      <c r="G184" s="59">
        <f>4.4918 * CHOOSE(CONTROL!$C$27, $C$14, 100%, $E$14)</f>
        <v>4.4917999999999996</v>
      </c>
      <c r="H184" s="59">
        <f>8.3347* CHOOSE(CONTROL!$C$27, $C$14, 100%, $E$14)</f>
        <v>8.3346999999999998</v>
      </c>
      <c r="I184" s="59">
        <f>8.3396 * CHOOSE(CONTROL!$C$27, $C$14, 100%, $E$14)</f>
        <v>8.3396000000000008</v>
      </c>
      <c r="J184" s="59">
        <f>8.3347 * CHOOSE(CONTROL!$C$27, $C$14, 100%, $E$14)</f>
        <v>8.3346999999999998</v>
      </c>
      <c r="K184" s="59">
        <f>8.3396 * CHOOSE(CONTROL!$C$27, $C$14, 100%, $E$14)</f>
        <v>8.3396000000000008</v>
      </c>
      <c r="L184" s="59">
        <f>4.4869 * CHOOSE(CONTROL!$C$27, $C$14, 100%, $E$14)</f>
        <v>4.4869000000000003</v>
      </c>
      <c r="M184" s="59">
        <f>4.4918 * CHOOSE(CONTROL!$C$27, $C$14, 100%, $E$14)</f>
        <v>4.4917999999999996</v>
      </c>
      <c r="N184" s="59">
        <f>4.4869 * CHOOSE(CONTROL!$C$27, $C$14, 100%, $E$14)</f>
        <v>4.4869000000000003</v>
      </c>
      <c r="O184" s="59">
        <f>4.4918 * CHOOSE(CONTROL!$C$27, $C$14, 100%, $E$14)</f>
        <v>4.4917999999999996</v>
      </c>
    </row>
    <row r="185" spans="1:15" ht="15">
      <c r="A185" s="11">
        <v>46722</v>
      </c>
      <c r="B185" s="58">
        <f>3.7595 * CHOOSE(CONTROL!$C$27, $C$14, 100%, $E$14)</f>
        <v>3.7595000000000001</v>
      </c>
      <c r="C185" s="58">
        <f>3.7595 * CHOOSE(CONTROL!$C$27, $C$14, 100%, $E$14)</f>
        <v>3.7595000000000001</v>
      </c>
      <c r="D185" s="58">
        <f>3.7634 * CHOOSE(CONTROL!$C$27, $C$14, 100%, $E$14)</f>
        <v>3.7633999999999999</v>
      </c>
      <c r="E185" s="59">
        <f>4.4499 * CHOOSE(CONTROL!$C$27, $C$14, 100%, $E$14)</f>
        <v>4.4499000000000004</v>
      </c>
      <c r="F185" s="59">
        <f>4.4499 * CHOOSE(CONTROL!$C$27, $C$14, 100%, $E$14)</f>
        <v>4.4499000000000004</v>
      </c>
      <c r="G185" s="59">
        <f>4.4548 * CHOOSE(CONTROL!$C$27, $C$14, 100%, $E$14)</f>
        <v>4.4547999999999996</v>
      </c>
      <c r="H185" s="59">
        <f>8.3521* CHOOSE(CONTROL!$C$27, $C$14, 100%, $E$14)</f>
        <v>8.3521000000000001</v>
      </c>
      <c r="I185" s="59">
        <f>8.357 * CHOOSE(CONTROL!$C$27, $C$14, 100%, $E$14)</f>
        <v>8.3569999999999993</v>
      </c>
      <c r="J185" s="59">
        <f>8.3521 * CHOOSE(CONTROL!$C$27, $C$14, 100%, $E$14)</f>
        <v>8.3521000000000001</v>
      </c>
      <c r="K185" s="59">
        <f>8.357 * CHOOSE(CONTROL!$C$27, $C$14, 100%, $E$14)</f>
        <v>8.3569999999999993</v>
      </c>
      <c r="L185" s="59">
        <f>4.4499 * CHOOSE(CONTROL!$C$27, $C$14, 100%, $E$14)</f>
        <v>4.4499000000000004</v>
      </c>
      <c r="M185" s="59">
        <f>4.4548 * CHOOSE(CONTROL!$C$27, $C$14, 100%, $E$14)</f>
        <v>4.4547999999999996</v>
      </c>
      <c r="N185" s="59">
        <f>4.4499 * CHOOSE(CONTROL!$C$27, $C$14, 100%, $E$14)</f>
        <v>4.4499000000000004</v>
      </c>
      <c r="O185" s="59">
        <f>4.4548 * CHOOSE(CONTROL!$C$27, $C$14, 100%, $E$14)</f>
        <v>4.4547999999999996</v>
      </c>
    </row>
    <row r="186" spans="1:15" ht="15">
      <c r="A186" s="11">
        <v>46753</v>
      </c>
      <c r="B186" s="58">
        <f>3.7926 * CHOOSE(CONTROL!$C$27, $C$14, 100%, $E$14)</f>
        <v>3.7926000000000002</v>
      </c>
      <c r="C186" s="58">
        <f>3.7926 * CHOOSE(CONTROL!$C$27, $C$14, 100%, $E$14)</f>
        <v>3.7926000000000002</v>
      </c>
      <c r="D186" s="58">
        <f>3.7966 * CHOOSE(CONTROL!$C$27, $C$14, 100%, $E$14)</f>
        <v>3.7966000000000002</v>
      </c>
      <c r="E186" s="59">
        <f>4.5119 * CHOOSE(CONTROL!$C$27, $C$14, 100%, $E$14)</f>
        <v>4.5118999999999998</v>
      </c>
      <c r="F186" s="59">
        <f>4.5119 * CHOOSE(CONTROL!$C$27, $C$14, 100%, $E$14)</f>
        <v>4.5118999999999998</v>
      </c>
      <c r="G186" s="59">
        <f>4.5168 * CHOOSE(CONTROL!$C$27, $C$14, 100%, $E$14)</f>
        <v>4.5167999999999999</v>
      </c>
      <c r="H186" s="59">
        <f>8.3695* CHOOSE(CONTROL!$C$27, $C$14, 100%, $E$14)</f>
        <v>8.3695000000000004</v>
      </c>
      <c r="I186" s="59">
        <f>8.3744 * CHOOSE(CONTROL!$C$27, $C$14, 100%, $E$14)</f>
        <v>8.3743999999999996</v>
      </c>
      <c r="J186" s="59">
        <f>8.3695 * CHOOSE(CONTROL!$C$27, $C$14, 100%, $E$14)</f>
        <v>8.3695000000000004</v>
      </c>
      <c r="K186" s="59">
        <f>8.3744 * CHOOSE(CONTROL!$C$27, $C$14, 100%, $E$14)</f>
        <v>8.3743999999999996</v>
      </c>
      <c r="L186" s="59">
        <f>4.5119 * CHOOSE(CONTROL!$C$27, $C$14, 100%, $E$14)</f>
        <v>4.5118999999999998</v>
      </c>
      <c r="M186" s="59">
        <f>4.5168 * CHOOSE(CONTROL!$C$27, $C$14, 100%, $E$14)</f>
        <v>4.5167999999999999</v>
      </c>
      <c r="N186" s="59">
        <f>4.5119 * CHOOSE(CONTROL!$C$27, $C$14, 100%, $E$14)</f>
        <v>4.5118999999999998</v>
      </c>
      <c r="O186" s="59">
        <f>4.5168 * CHOOSE(CONTROL!$C$27, $C$14, 100%, $E$14)</f>
        <v>4.5167999999999999</v>
      </c>
    </row>
    <row r="187" spans="1:15" ht="15">
      <c r="A187" s="11">
        <v>46784</v>
      </c>
      <c r="B187" s="58">
        <f>3.7896 * CHOOSE(CONTROL!$C$27, $C$14, 100%, $E$14)</f>
        <v>3.7896000000000001</v>
      </c>
      <c r="C187" s="58">
        <f>3.7896 * CHOOSE(CONTROL!$C$27, $C$14, 100%, $E$14)</f>
        <v>3.7896000000000001</v>
      </c>
      <c r="D187" s="58">
        <f>3.7936 * CHOOSE(CONTROL!$C$27, $C$14, 100%, $E$14)</f>
        <v>3.7936000000000001</v>
      </c>
      <c r="E187" s="59">
        <f>4.438 * CHOOSE(CONTROL!$C$27, $C$14, 100%, $E$14)</f>
        <v>4.4379999999999997</v>
      </c>
      <c r="F187" s="59">
        <f>4.438 * CHOOSE(CONTROL!$C$27, $C$14, 100%, $E$14)</f>
        <v>4.4379999999999997</v>
      </c>
      <c r="G187" s="59">
        <f>4.4429 * CHOOSE(CONTROL!$C$27, $C$14, 100%, $E$14)</f>
        <v>4.4428999999999998</v>
      </c>
      <c r="H187" s="59">
        <f>8.3869* CHOOSE(CONTROL!$C$27, $C$14, 100%, $E$14)</f>
        <v>8.3869000000000007</v>
      </c>
      <c r="I187" s="59">
        <f>8.3918 * CHOOSE(CONTROL!$C$27, $C$14, 100%, $E$14)</f>
        <v>8.3917999999999999</v>
      </c>
      <c r="J187" s="59">
        <f>8.3869 * CHOOSE(CONTROL!$C$27, $C$14, 100%, $E$14)</f>
        <v>8.3869000000000007</v>
      </c>
      <c r="K187" s="59">
        <f>8.3918 * CHOOSE(CONTROL!$C$27, $C$14, 100%, $E$14)</f>
        <v>8.3917999999999999</v>
      </c>
      <c r="L187" s="59">
        <f>4.438 * CHOOSE(CONTROL!$C$27, $C$14, 100%, $E$14)</f>
        <v>4.4379999999999997</v>
      </c>
      <c r="M187" s="59">
        <f>4.4429 * CHOOSE(CONTROL!$C$27, $C$14, 100%, $E$14)</f>
        <v>4.4428999999999998</v>
      </c>
      <c r="N187" s="59">
        <f>4.438 * CHOOSE(CONTROL!$C$27, $C$14, 100%, $E$14)</f>
        <v>4.4379999999999997</v>
      </c>
      <c r="O187" s="59">
        <f>4.4429 * CHOOSE(CONTROL!$C$27, $C$14, 100%, $E$14)</f>
        <v>4.4428999999999998</v>
      </c>
    </row>
    <row r="188" spans="1:15" ht="15">
      <c r="A188" s="11">
        <v>46813</v>
      </c>
      <c r="B188" s="58">
        <f>3.7865 * CHOOSE(CONTROL!$C$27, $C$14, 100%, $E$14)</f>
        <v>3.7865000000000002</v>
      </c>
      <c r="C188" s="58">
        <f>3.7865 * CHOOSE(CONTROL!$C$27, $C$14, 100%, $E$14)</f>
        <v>3.7865000000000002</v>
      </c>
      <c r="D188" s="58">
        <f>3.7905 * CHOOSE(CONTROL!$C$27, $C$14, 100%, $E$14)</f>
        <v>3.7905000000000002</v>
      </c>
      <c r="E188" s="59">
        <f>4.4925 * CHOOSE(CONTROL!$C$27, $C$14, 100%, $E$14)</f>
        <v>4.4924999999999997</v>
      </c>
      <c r="F188" s="59">
        <f>4.4925 * CHOOSE(CONTROL!$C$27, $C$14, 100%, $E$14)</f>
        <v>4.4924999999999997</v>
      </c>
      <c r="G188" s="59">
        <f>4.4974 * CHOOSE(CONTROL!$C$27, $C$14, 100%, $E$14)</f>
        <v>4.4973999999999998</v>
      </c>
      <c r="H188" s="59">
        <f>8.4044* CHOOSE(CONTROL!$C$27, $C$14, 100%, $E$14)</f>
        <v>8.4044000000000008</v>
      </c>
      <c r="I188" s="59">
        <f>8.4093 * CHOOSE(CONTROL!$C$27, $C$14, 100%, $E$14)</f>
        <v>8.4093</v>
      </c>
      <c r="J188" s="59">
        <f>8.4044 * CHOOSE(CONTROL!$C$27, $C$14, 100%, $E$14)</f>
        <v>8.4044000000000008</v>
      </c>
      <c r="K188" s="59">
        <f>8.4093 * CHOOSE(CONTROL!$C$27, $C$14, 100%, $E$14)</f>
        <v>8.4093</v>
      </c>
      <c r="L188" s="59">
        <f>4.4925 * CHOOSE(CONTROL!$C$27, $C$14, 100%, $E$14)</f>
        <v>4.4924999999999997</v>
      </c>
      <c r="M188" s="59">
        <f>4.4974 * CHOOSE(CONTROL!$C$27, $C$14, 100%, $E$14)</f>
        <v>4.4973999999999998</v>
      </c>
      <c r="N188" s="59">
        <f>4.4925 * CHOOSE(CONTROL!$C$27, $C$14, 100%, $E$14)</f>
        <v>4.4924999999999997</v>
      </c>
      <c r="O188" s="59">
        <f>4.4974 * CHOOSE(CONTROL!$C$27, $C$14, 100%, $E$14)</f>
        <v>4.4973999999999998</v>
      </c>
    </row>
    <row r="189" spans="1:15" ht="15">
      <c r="A189" s="11">
        <v>46844</v>
      </c>
      <c r="B189" s="58">
        <f>3.7839 * CHOOSE(CONTROL!$C$27, $C$14, 100%, $E$14)</f>
        <v>3.7839</v>
      </c>
      <c r="C189" s="58">
        <f>3.7839 * CHOOSE(CONTROL!$C$27, $C$14, 100%, $E$14)</f>
        <v>3.7839</v>
      </c>
      <c r="D189" s="58">
        <f>3.7879 * CHOOSE(CONTROL!$C$27, $C$14, 100%, $E$14)</f>
        <v>3.7879</v>
      </c>
      <c r="E189" s="59">
        <f>4.549 * CHOOSE(CONTROL!$C$27, $C$14, 100%, $E$14)</f>
        <v>4.5490000000000004</v>
      </c>
      <c r="F189" s="59">
        <f>4.549 * CHOOSE(CONTROL!$C$27, $C$14, 100%, $E$14)</f>
        <v>4.5490000000000004</v>
      </c>
      <c r="G189" s="59">
        <f>4.5539 * CHOOSE(CONTROL!$C$27, $C$14, 100%, $E$14)</f>
        <v>4.5538999999999996</v>
      </c>
      <c r="H189" s="59">
        <f>8.4219* CHOOSE(CONTROL!$C$27, $C$14, 100%, $E$14)</f>
        <v>8.4219000000000008</v>
      </c>
      <c r="I189" s="59">
        <f>8.4268 * CHOOSE(CONTROL!$C$27, $C$14, 100%, $E$14)</f>
        <v>8.4268000000000001</v>
      </c>
      <c r="J189" s="59">
        <f>8.4219 * CHOOSE(CONTROL!$C$27, $C$14, 100%, $E$14)</f>
        <v>8.4219000000000008</v>
      </c>
      <c r="K189" s="59">
        <f>8.4268 * CHOOSE(CONTROL!$C$27, $C$14, 100%, $E$14)</f>
        <v>8.4268000000000001</v>
      </c>
      <c r="L189" s="59">
        <f>4.549 * CHOOSE(CONTROL!$C$27, $C$14, 100%, $E$14)</f>
        <v>4.5490000000000004</v>
      </c>
      <c r="M189" s="59">
        <f>4.5539 * CHOOSE(CONTROL!$C$27, $C$14, 100%, $E$14)</f>
        <v>4.5538999999999996</v>
      </c>
      <c r="N189" s="59">
        <f>4.549 * CHOOSE(CONTROL!$C$27, $C$14, 100%, $E$14)</f>
        <v>4.5490000000000004</v>
      </c>
      <c r="O189" s="59">
        <f>4.5539 * CHOOSE(CONTROL!$C$27, $C$14, 100%, $E$14)</f>
        <v>4.5538999999999996</v>
      </c>
    </row>
    <row r="190" spans="1:15" ht="15">
      <c r="A190" s="11">
        <v>46874</v>
      </c>
      <c r="B190" s="58">
        <f>3.7839 * CHOOSE(CONTROL!$C$27, $C$14, 100%, $E$14)</f>
        <v>3.7839</v>
      </c>
      <c r="C190" s="58">
        <f>3.7839 * CHOOSE(CONTROL!$C$27, $C$14, 100%, $E$14)</f>
        <v>3.7839</v>
      </c>
      <c r="D190" s="58">
        <f>3.7896 * CHOOSE(CONTROL!$C$27, $C$14, 100%, $E$14)</f>
        <v>3.7896000000000001</v>
      </c>
      <c r="E190" s="59">
        <f>4.5718 * CHOOSE(CONTROL!$C$27, $C$14, 100%, $E$14)</f>
        <v>4.5717999999999996</v>
      </c>
      <c r="F190" s="59">
        <f>4.5718 * CHOOSE(CONTROL!$C$27, $C$14, 100%, $E$14)</f>
        <v>4.5717999999999996</v>
      </c>
      <c r="G190" s="59">
        <f>4.5787 * CHOOSE(CONTROL!$C$27, $C$14, 100%, $E$14)</f>
        <v>4.5787000000000004</v>
      </c>
      <c r="H190" s="59">
        <f>8.4394* CHOOSE(CONTROL!$C$27, $C$14, 100%, $E$14)</f>
        <v>8.4393999999999991</v>
      </c>
      <c r="I190" s="59">
        <f>8.4463 * CHOOSE(CONTROL!$C$27, $C$14, 100%, $E$14)</f>
        <v>8.4463000000000008</v>
      </c>
      <c r="J190" s="59">
        <f>8.4394 * CHOOSE(CONTROL!$C$27, $C$14, 100%, $E$14)</f>
        <v>8.4393999999999991</v>
      </c>
      <c r="K190" s="59">
        <f>8.4463 * CHOOSE(CONTROL!$C$27, $C$14, 100%, $E$14)</f>
        <v>8.4463000000000008</v>
      </c>
      <c r="L190" s="59">
        <f>4.5718 * CHOOSE(CONTROL!$C$27, $C$14, 100%, $E$14)</f>
        <v>4.5717999999999996</v>
      </c>
      <c r="M190" s="59">
        <f>4.5787 * CHOOSE(CONTROL!$C$27, $C$14, 100%, $E$14)</f>
        <v>4.5787000000000004</v>
      </c>
      <c r="N190" s="59">
        <f>4.5718 * CHOOSE(CONTROL!$C$27, $C$14, 100%, $E$14)</f>
        <v>4.5717999999999996</v>
      </c>
      <c r="O190" s="59">
        <f>4.5787 * CHOOSE(CONTROL!$C$27, $C$14, 100%, $E$14)</f>
        <v>4.5787000000000004</v>
      </c>
    </row>
    <row r="191" spans="1:15" ht="15">
      <c r="A191" s="11">
        <v>46905</v>
      </c>
      <c r="B191" s="58">
        <f>3.79 * CHOOSE(CONTROL!$C$27, $C$14, 100%, $E$14)</f>
        <v>3.79</v>
      </c>
      <c r="C191" s="58">
        <f>3.79 * CHOOSE(CONTROL!$C$27, $C$14, 100%, $E$14)</f>
        <v>3.79</v>
      </c>
      <c r="D191" s="58">
        <f>3.7957 * CHOOSE(CONTROL!$C$27, $C$14, 100%, $E$14)</f>
        <v>3.7957000000000001</v>
      </c>
      <c r="E191" s="59">
        <f>4.5532 * CHOOSE(CONTROL!$C$27, $C$14, 100%, $E$14)</f>
        <v>4.5532000000000004</v>
      </c>
      <c r="F191" s="59">
        <f>4.5532 * CHOOSE(CONTROL!$C$27, $C$14, 100%, $E$14)</f>
        <v>4.5532000000000004</v>
      </c>
      <c r="G191" s="59">
        <f>4.5601 * CHOOSE(CONTROL!$C$27, $C$14, 100%, $E$14)</f>
        <v>4.5601000000000003</v>
      </c>
      <c r="H191" s="59">
        <f>8.457* CHOOSE(CONTROL!$C$27, $C$14, 100%, $E$14)</f>
        <v>8.4570000000000007</v>
      </c>
      <c r="I191" s="59">
        <f>8.4639 * CHOOSE(CONTROL!$C$27, $C$14, 100%, $E$14)</f>
        <v>8.4639000000000006</v>
      </c>
      <c r="J191" s="59">
        <f>8.457 * CHOOSE(CONTROL!$C$27, $C$14, 100%, $E$14)</f>
        <v>8.4570000000000007</v>
      </c>
      <c r="K191" s="59">
        <f>8.4639 * CHOOSE(CONTROL!$C$27, $C$14, 100%, $E$14)</f>
        <v>8.4639000000000006</v>
      </c>
      <c r="L191" s="59">
        <f>4.5532 * CHOOSE(CONTROL!$C$27, $C$14, 100%, $E$14)</f>
        <v>4.5532000000000004</v>
      </c>
      <c r="M191" s="59">
        <f>4.5601 * CHOOSE(CONTROL!$C$27, $C$14, 100%, $E$14)</f>
        <v>4.5601000000000003</v>
      </c>
      <c r="N191" s="59">
        <f>4.5532 * CHOOSE(CONTROL!$C$27, $C$14, 100%, $E$14)</f>
        <v>4.5532000000000004</v>
      </c>
      <c r="O191" s="59">
        <f>4.5601 * CHOOSE(CONTROL!$C$27, $C$14, 100%, $E$14)</f>
        <v>4.5601000000000003</v>
      </c>
    </row>
    <row r="192" spans="1:15" ht="15">
      <c r="A192" s="11">
        <v>46935</v>
      </c>
      <c r="B192" s="58">
        <f>3.8518 * CHOOSE(CONTROL!$C$27, $C$14, 100%, $E$14)</f>
        <v>3.8517999999999999</v>
      </c>
      <c r="C192" s="58">
        <f>3.8518 * CHOOSE(CONTROL!$C$27, $C$14, 100%, $E$14)</f>
        <v>3.8517999999999999</v>
      </c>
      <c r="D192" s="58">
        <f>3.8574 * CHOOSE(CONTROL!$C$27, $C$14, 100%, $E$14)</f>
        <v>3.8574000000000002</v>
      </c>
      <c r="E192" s="59">
        <f>4.6316 * CHOOSE(CONTROL!$C$27, $C$14, 100%, $E$14)</f>
        <v>4.6315999999999997</v>
      </c>
      <c r="F192" s="59">
        <f>4.6316 * CHOOSE(CONTROL!$C$27, $C$14, 100%, $E$14)</f>
        <v>4.6315999999999997</v>
      </c>
      <c r="G192" s="59">
        <f>4.6385 * CHOOSE(CONTROL!$C$27, $C$14, 100%, $E$14)</f>
        <v>4.6384999999999996</v>
      </c>
      <c r="H192" s="59">
        <f>8.4746* CHOOSE(CONTROL!$C$27, $C$14, 100%, $E$14)</f>
        <v>8.4746000000000006</v>
      </c>
      <c r="I192" s="59">
        <f>8.4815 * CHOOSE(CONTROL!$C$27, $C$14, 100%, $E$14)</f>
        <v>8.4815000000000005</v>
      </c>
      <c r="J192" s="59">
        <f>8.4746 * CHOOSE(CONTROL!$C$27, $C$14, 100%, $E$14)</f>
        <v>8.4746000000000006</v>
      </c>
      <c r="K192" s="59">
        <f>8.4815 * CHOOSE(CONTROL!$C$27, $C$14, 100%, $E$14)</f>
        <v>8.4815000000000005</v>
      </c>
      <c r="L192" s="59">
        <f>4.6316 * CHOOSE(CONTROL!$C$27, $C$14, 100%, $E$14)</f>
        <v>4.6315999999999997</v>
      </c>
      <c r="M192" s="59">
        <f>4.6385 * CHOOSE(CONTROL!$C$27, $C$14, 100%, $E$14)</f>
        <v>4.6384999999999996</v>
      </c>
      <c r="N192" s="59">
        <f>4.6316 * CHOOSE(CONTROL!$C$27, $C$14, 100%, $E$14)</f>
        <v>4.6315999999999997</v>
      </c>
      <c r="O192" s="59">
        <f>4.6385 * CHOOSE(CONTROL!$C$27, $C$14, 100%, $E$14)</f>
        <v>4.6384999999999996</v>
      </c>
    </row>
    <row r="193" spans="1:15" ht="15">
      <c r="A193" s="11">
        <v>46966</v>
      </c>
      <c r="B193" s="58">
        <f>3.8585 * CHOOSE(CONTROL!$C$27, $C$14, 100%, $E$14)</f>
        <v>3.8584999999999998</v>
      </c>
      <c r="C193" s="58">
        <f>3.8585 * CHOOSE(CONTROL!$C$27, $C$14, 100%, $E$14)</f>
        <v>3.8584999999999998</v>
      </c>
      <c r="D193" s="58">
        <f>3.8641 * CHOOSE(CONTROL!$C$27, $C$14, 100%, $E$14)</f>
        <v>3.8641000000000001</v>
      </c>
      <c r="E193" s="59">
        <f>4.5679 * CHOOSE(CONTROL!$C$27, $C$14, 100%, $E$14)</f>
        <v>4.5678999999999998</v>
      </c>
      <c r="F193" s="59">
        <f>4.5679 * CHOOSE(CONTROL!$C$27, $C$14, 100%, $E$14)</f>
        <v>4.5678999999999998</v>
      </c>
      <c r="G193" s="59">
        <f>4.5748 * CHOOSE(CONTROL!$C$27, $C$14, 100%, $E$14)</f>
        <v>4.5747999999999998</v>
      </c>
      <c r="H193" s="59">
        <f>8.4923* CHOOSE(CONTROL!$C$27, $C$14, 100%, $E$14)</f>
        <v>8.4923000000000002</v>
      </c>
      <c r="I193" s="59">
        <f>8.4992 * CHOOSE(CONTROL!$C$27, $C$14, 100%, $E$14)</f>
        <v>8.4992000000000001</v>
      </c>
      <c r="J193" s="59">
        <f>8.4923 * CHOOSE(CONTROL!$C$27, $C$14, 100%, $E$14)</f>
        <v>8.4923000000000002</v>
      </c>
      <c r="K193" s="59">
        <f>8.4992 * CHOOSE(CONTROL!$C$27, $C$14, 100%, $E$14)</f>
        <v>8.4992000000000001</v>
      </c>
      <c r="L193" s="59">
        <f>4.5679 * CHOOSE(CONTROL!$C$27, $C$14, 100%, $E$14)</f>
        <v>4.5678999999999998</v>
      </c>
      <c r="M193" s="59">
        <f>4.5748 * CHOOSE(CONTROL!$C$27, $C$14, 100%, $E$14)</f>
        <v>4.5747999999999998</v>
      </c>
      <c r="N193" s="59">
        <f>4.5679 * CHOOSE(CONTROL!$C$27, $C$14, 100%, $E$14)</f>
        <v>4.5678999999999998</v>
      </c>
      <c r="O193" s="59">
        <f>4.5748 * CHOOSE(CONTROL!$C$27, $C$14, 100%, $E$14)</f>
        <v>4.5747999999999998</v>
      </c>
    </row>
    <row r="194" spans="1:15" ht="15">
      <c r="A194" s="11">
        <v>46997</v>
      </c>
      <c r="B194" s="58">
        <f>3.8554 * CHOOSE(CONTROL!$C$27, $C$14, 100%, $E$14)</f>
        <v>3.8553999999999999</v>
      </c>
      <c r="C194" s="58">
        <f>3.8554 * CHOOSE(CONTROL!$C$27, $C$14, 100%, $E$14)</f>
        <v>3.8553999999999999</v>
      </c>
      <c r="D194" s="58">
        <f>3.861 * CHOOSE(CONTROL!$C$27, $C$14, 100%, $E$14)</f>
        <v>3.8610000000000002</v>
      </c>
      <c r="E194" s="59">
        <f>4.5582 * CHOOSE(CONTROL!$C$27, $C$14, 100%, $E$14)</f>
        <v>4.5582000000000003</v>
      </c>
      <c r="F194" s="59">
        <f>4.5582 * CHOOSE(CONTROL!$C$27, $C$14, 100%, $E$14)</f>
        <v>4.5582000000000003</v>
      </c>
      <c r="G194" s="59">
        <f>4.5651 * CHOOSE(CONTROL!$C$27, $C$14, 100%, $E$14)</f>
        <v>4.5651000000000002</v>
      </c>
      <c r="H194" s="59">
        <f>8.51* CHOOSE(CONTROL!$C$27, $C$14, 100%, $E$14)</f>
        <v>8.51</v>
      </c>
      <c r="I194" s="59">
        <f>8.5169 * CHOOSE(CONTROL!$C$27, $C$14, 100%, $E$14)</f>
        <v>8.5168999999999997</v>
      </c>
      <c r="J194" s="59">
        <f>8.51 * CHOOSE(CONTROL!$C$27, $C$14, 100%, $E$14)</f>
        <v>8.51</v>
      </c>
      <c r="K194" s="59">
        <f>8.5169 * CHOOSE(CONTROL!$C$27, $C$14, 100%, $E$14)</f>
        <v>8.5168999999999997</v>
      </c>
      <c r="L194" s="59">
        <f>4.5582 * CHOOSE(CONTROL!$C$27, $C$14, 100%, $E$14)</f>
        <v>4.5582000000000003</v>
      </c>
      <c r="M194" s="59">
        <f>4.5651 * CHOOSE(CONTROL!$C$27, $C$14, 100%, $E$14)</f>
        <v>4.5651000000000002</v>
      </c>
      <c r="N194" s="59">
        <f>4.5582 * CHOOSE(CONTROL!$C$27, $C$14, 100%, $E$14)</f>
        <v>4.5582000000000003</v>
      </c>
      <c r="O194" s="59">
        <f>4.5651 * CHOOSE(CONTROL!$C$27, $C$14, 100%, $E$14)</f>
        <v>4.5651000000000002</v>
      </c>
    </row>
    <row r="195" spans="1:15" ht="15">
      <c r="A195" s="11">
        <v>47027</v>
      </c>
      <c r="B195" s="58">
        <f>3.8498 * CHOOSE(CONTROL!$C$27, $C$14, 100%, $E$14)</f>
        <v>3.8498000000000001</v>
      </c>
      <c r="C195" s="58">
        <f>3.8498 * CHOOSE(CONTROL!$C$27, $C$14, 100%, $E$14)</f>
        <v>3.8498000000000001</v>
      </c>
      <c r="D195" s="58">
        <f>3.8538 * CHOOSE(CONTROL!$C$27, $C$14, 100%, $E$14)</f>
        <v>3.8538000000000001</v>
      </c>
      <c r="E195" s="59">
        <f>4.5751 * CHOOSE(CONTROL!$C$27, $C$14, 100%, $E$14)</f>
        <v>4.5750999999999999</v>
      </c>
      <c r="F195" s="59">
        <f>4.5751 * CHOOSE(CONTROL!$C$27, $C$14, 100%, $E$14)</f>
        <v>4.5750999999999999</v>
      </c>
      <c r="G195" s="59">
        <f>4.5801 * CHOOSE(CONTROL!$C$27, $C$14, 100%, $E$14)</f>
        <v>4.5800999999999998</v>
      </c>
      <c r="H195" s="59">
        <f>8.5277* CHOOSE(CONTROL!$C$27, $C$14, 100%, $E$14)</f>
        <v>8.5276999999999994</v>
      </c>
      <c r="I195" s="59">
        <f>8.5326 * CHOOSE(CONTROL!$C$27, $C$14, 100%, $E$14)</f>
        <v>8.5326000000000004</v>
      </c>
      <c r="J195" s="59">
        <f>8.5277 * CHOOSE(CONTROL!$C$27, $C$14, 100%, $E$14)</f>
        <v>8.5276999999999994</v>
      </c>
      <c r="K195" s="59">
        <f>8.5326 * CHOOSE(CONTROL!$C$27, $C$14, 100%, $E$14)</f>
        <v>8.5326000000000004</v>
      </c>
      <c r="L195" s="59">
        <f>4.5751 * CHOOSE(CONTROL!$C$27, $C$14, 100%, $E$14)</f>
        <v>4.5750999999999999</v>
      </c>
      <c r="M195" s="59">
        <f>4.5801 * CHOOSE(CONTROL!$C$27, $C$14, 100%, $E$14)</f>
        <v>4.5800999999999998</v>
      </c>
      <c r="N195" s="59">
        <f>4.5751 * CHOOSE(CONTROL!$C$27, $C$14, 100%, $E$14)</f>
        <v>4.5750999999999999</v>
      </c>
      <c r="O195" s="59">
        <f>4.5801 * CHOOSE(CONTROL!$C$27, $C$14, 100%, $E$14)</f>
        <v>4.5800999999999998</v>
      </c>
    </row>
    <row r="196" spans="1:15" ht="15">
      <c r="A196" s="11">
        <v>47058</v>
      </c>
      <c r="B196" s="58">
        <f>3.8529 * CHOOSE(CONTROL!$C$27, $C$14, 100%, $E$14)</f>
        <v>3.8529</v>
      </c>
      <c r="C196" s="58">
        <f>3.8529 * CHOOSE(CONTROL!$C$27, $C$14, 100%, $E$14)</f>
        <v>3.8529</v>
      </c>
      <c r="D196" s="58">
        <f>3.8569 * CHOOSE(CONTROL!$C$27, $C$14, 100%, $E$14)</f>
        <v>3.8569</v>
      </c>
      <c r="E196" s="59">
        <f>4.5924 * CHOOSE(CONTROL!$C$27, $C$14, 100%, $E$14)</f>
        <v>4.5923999999999996</v>
      </c>
      <c r="F196" s="59">
        <f>4.5924 * CHOOSE(CONTROL!$C$27, $C$14, 100%, $E$14)</f>
        <v>4.5923999999999996</v>
      </c>
      <c r="G196" s="59">
        <f>4.5974 * CHOOSE(CONTROL!$C$27, $C$14, 100%, $E$14)</f>
        <v>4.5974000000000004</v>
      </c>
      <c r="H196" s="59">
        <f>8.5455* CHOOSE(CONTROL!$C$27, $C$14, 100%, $E$14)</f>
        <v>8.5455000000000005</v>
      </c>
      <c r="I196" s="59">
        <f>8.5504 * CHOOSE(CONTROL!$C$27, $C$14, 100%, $E$14)</f>
        <v>8.5503999999999998</v>
      </c>
      <c r="J196" s="59">
        <f>8.5455 * CHOOSE(CONTROL!$C$27, $C$14, 100%, $E$14)</f>
        <v>8.5455000000000005</v>
      </c>
      <c r="K196" s="59">
        <f>8.5504 * CHOOSE(CONTROL!$C$27, $C$14, 100%, $E$14)</f>
        <v>8.5503999999999998</v>
      </c>
      <c r="L196" s="59">
        <f>4.5924 * CHOOSE(CONTROL!$C$27, $C$14, 100%, $E$14)</f>
        <v>4.5923999999999996</v>
      </c>
      <c r="M196" s="59">
        <f>4.5974 * CHOOSE(CONTROL!$C$27, $C$14, 100%, $E$14)</f>
        <v>4.5974000000000004</v>
      </c>
      <c r="N196" s="59">
        <f>4.5924 * CHOOSE(CONTROL!$C$27, $C$14, 100%, $E$14)</f>
        <v>4.5923999999999996</v>
      </c>
      <c r="O196" s="59">
        <f>4.5974 * CHOOSE(CONTROL!$C$27, $C$14, 100%, $E$14)</f>
        <v>4.5974000000000004</v>
      </c>
    </row>
    <row r="197" spans="1:15" ht="15">
      <c r="A197" s="11">
        <v>47088</v>
      </c>
      <c r="B197" s="58">
        <f>3.8529 * CHOOSE(CONTROL!$C$27, $C$14, 100%, $E$14)</f>
        <v>3.8529</v>
      </c>
      <c r="C197" s="58">
        <f>3.8529 * CHOOSE(CONTROL!$C$27, $C$14, 100%, $E$14)</f>
        <v>3.8529</v>
      </c>
      <c r="D197" s="58">
        <f>3.8569 * CHOOSE(CONTROL!$C$27, $C$14, 100%, $E$14)</f>
        <v>3.8569</v>
      </c>
      <c r="E197" s="59">
        <f>4.5545 * CHOOSE(CONTROL!$C$27, $C$14, 100%, $E$14)</f>
        <v>4.5545</v>
      </c>
      <c r="F197" s="59">
        <f>4.5545 * CHOOSE(CONTROL!$C$27, $C$14, 100%, $E$14)</f>
        <v>4.5545</v>
      </c>
      <c r="G197" s="59">
        <f>4.5594 * CHOOSE(CONTROL!$C$27, $C$14, 100%, $E$14)</f>
        <v>4.5594000000000001</v>
      </c>
      <c r="H197" s="59">
        <f>8.5633* CHOOSE(CONTROL!$C$27, $C$14, 100%, $E$14)</f>
        <v>8.5632999999999999</v>
      </c>
      <c r="I197" s="59">
        <f>8.5682 * CHOOSE(CONTROL!$C$27, $C$14, 100%, $E$14)</f>
        <v>8.5681999999999992</v>
      </c>
      <c r="J197" s="59">
        <f>8.5633 * CHOOSE(CONTROL!$C$27, $C$14, 100%, $E$14)</f>
        <v>8.5632999999999999</v>
      </c>
      <c r="K197" s="59">
        <f>8.5682 * CHOOSE(CONTROL!$C$27, $C$14, 100%, $E$14)</f>
        <v>8.5681999999999992</v>
      </c>
      <c r="L197" s="59">
        <f>4.5545 * CHOOSE(CONTROL!$C$27, $C$14, 100%, $E$14)</f>
        <v>4.5545</v>
      </c>
      <c r="M197" s="59">
        <f>4.5594 * CHOOSE(CONTROL!$C$27, $C$14, 100%, $E$14)</f>
        <v>4.5594000000000001</v>
      </c>
      <c r="N197" s="59">
        <f>4.5545 * CHOOSE(CONTROL!$C$27, $C$14, 100%, $E$14)</f>
        <v>4.5545</v>
      </c>
      <c r="O197" s="59">
        <f>4.5594 * CHOOSE(CONTROL!$C$27, $C$14, 100%, $E$14)</f>
        <v>4.5594000000000001</v>
      </c>
    </row>
    <row r="198" spans="1:15" ht="15">
      <c r="A198" s="11">
        <v>47119</v>
      </c>
      <c r="B198" s="58">
        <f>3.8828 * CHOOSE(CONTROL!$C$27, $C$14, 100%, $E$14)</f>
        <v>3.8828</v>
      </c>
      <c r="C198" s="58">
        <f>3.8828 * CHOOSE(CONTROL!$C$27, $C$14, 100%, $E$14)</f>
        <v>3.8828</v>
      </c>
      <c r="D198" s="58">
        <f>3.8868 * CHOOSE(CONTROL!$C$27, $C$14, 100%, $E$14)</f>
        <v>3.8868</v>
      </c>
      <c r="E198" s="59">
        <f>4.6181 * CHOOSE(CONTROL!$C$27, $C$14, 100%, $E$14)</f>
        <v>4.6181000000000001</v>
      </c>
      <c r="F198" s="59">
        <f>4.6181 * CHOOSE(CONTROL!$C$27, $C$14, 100%, $E$14)</f>
        <v>4.6181000000000001</v>
      </c>
      <c r="G198" s="59">
        <f>4.623 * CHOOSE(CONTROL!$C$27, $C$14, 100%, $E$14)</f>
        <v>4.6230000000000002</v>
      </c>
      <c r="H198" s="59">
        <f>8.5811* CHOOSE(CONTROL!$C$27, $C$14, 100%, $E$14)</f>
        <v>8.5810999999999993</v>
      </c>
      <c r="I198" s="59">
        <f>8.586 * CHOOSE(CONTROL!$C$27, $C$14, 100%, $E$14)</f>
        <v>8.5860000000000003</v>
      </c>
      <c r="J198" s="59">
        <f>8.5811 * CHOOSE(CONTROL!$C$27, $C$14, 100%, $E$14)</f>
        <v>8.5810999999999993</v>
      </c>
      <c r="K198" s="59">
        <f>8.586 * CHOOSE(CONTROL!$C$27, $C$14, 100%, $E$14)</f>
        <v>8.5860000000000003</v>
      </c>
      <c r="L198" s="59">
        <f>4.6181 * CHOOSE(CONTROL!$C$27, $C$14, 100%, $E$14)</f>
        <v>4.6181000000000001</v>
      </c>
      <c r="M198" s="59">
        <f>4.623 * CHOOSE(CONTROL!$C$27, $C$14, 100%, $E$14)</f>
        <v>4.6230000000000002</v>
      </c>
      <c r="N198" s="59">
        <f>4.6181 * CHOOSE(CONTROL!$C$27, $C$14, 100%, $E$14)</f>
        <v>4.6181000000000001</v>
      </c>
      <c r="O198" s="59">
        <f>4.623 * CHOOSE(CONTROL!$C$27, $C$14, 100%, $E$14)</f>
        <v>4.6230000000000002</v>
      </c>
    </row>
    <row r="199" spans="1:15" ht="15">
      <c r="A199" s="11">
        <v>47150</v>
      </c>
      <c r="B199" s="58">
        <f>3.8798 * CHOOSE(CONTROL!$C$27, $C$14, 100%, $E$14)</f>
        <v>3.8797999999999999</v>
      </c>
      <c r="C199" s="58">
        <f>3.8798 * CHOOSE(CONTROL!$C$27, $C$14, 100%, $E$14)</f>
        <v>3.8797999999999999</v>
      </c>
      <c r="D199" s="58">
        <f>3.8838 * CHOOSE(CONTROL!$C$27, $C$14, 100%, $E$14)</f>
        <v>3.8837999999999999</v>
      </c>
      <c r="E199" s="59">
        <f>4.5424 * CHOOSE(CONTROL!$C$27, $C$14, 100%, $E$14)</f>
        <v>4.5423999999999998</v>
      </c>
      <c r="F199" s="59">
        <f>4.5424 * CHOOSE(CONTROL!$C$27, $C$14, 100%, $E$14)</f>
        <v>4.5423999999999998</v>
      </c>
      <c r="G199" s="59">
        <f>4.5473 * CHOOSE(CONTROL!$C$27, $C$14, 100%, $E$14)</f>
        <v>4.5472999999999999</v>
      </c>
      <c r="H199" s="59">
        <f>8.599* CHOOSE(CONTROL!$C$27, $C$14, 100%, $E$14)</f>
        <v>8.5990000000000002</v>
      </c>
      <c r="I199" s="59">
        <f>8.6039 * CHOOSE(CONTROL!$C$27, $C$14, 100%, $E$14)</f>
        <v>8.6038999999999994</v>
      </c>
      <c r="J199" s="59">
        <f>8.599 * CHOOSE(CONTROL!$C$27, $C$14, 100%, $E$14)</f>
        <v>8.5990000000000002</v>
      </c>
      <c r="K199" s="59">
        <f>8.6039 * CHOOSE(CONTROL!$C$27, $C$14, 100%, $E$14)</f>
        <v>8.6038999999999994</v>
      </c>
      <c r="L199" s="59">
        <f>4.5424 * CHOOSE(CONTROL!$C$27, $C$14, 100%, $E$14)</f>
        <v>4.5423999999999998</v>
      </c>
      <c r="M199" s="59">
        <f>4.5473 * CHOOSE(CONTROL!$C$27, $C$14, 100%, $E$14)</f>
        <v>4.5472999999999999</v>
      </c>
      <c r="N199" s="59">
        <f>4.5424 * CHOOSE(CONTROL!$C$27, $C$14, 100%, $E$14)</f>
        <v>4.5423999999999998</v>
      </c>
      <c r="O199" s="59">
        <f>4.5473 * CHOOSE(CONTROL!$C$27, $C$14, 100%, $E$14)</f>
        <v>4.5472999999999999</v>
      </c>
    </row>
    <row r="200" spans="1:15" ht="15">
      <c r="A200" s="11">
        <v>47178</v>
      </c>
      <c r="B200" s="58">
        <f>3.8767 * CHOOSE(CONTROL!$C$27, $C$14, 100%, $E$14)</f>
        <v>3.8767</v>
      </c>
      <c r="C200" s="58">
        <f>3.8767 * CHOOSE(CONTROL!$C$27, $C$14, 100%, $E$14)</f>
        <v>3.8767</v>
      </c>
      <c r="D200" s="58">
        <f>3.8807 * CHOOSE(CONTROL!$C$27, $C$14, 100%, $E$14)</f>
        <v>3.8807</v>
      </c>
      <c r="E200" s="59">
        <f>4.5983 * CHOOSE(CONTROL!$C$27, $C$14, 100%, $E$14)</f>
        <v>4.5983000000000001</v>
      </c>
      <c r="F200" s="59">
        <f>4.5983 * CHOOSE(CONTROL!$C$27, $C$14, 100%, $E$14)</f>
        <v>4.5983000000000001</v>
      </c>
      <c r="G200" s="59">
        <f>4.6032 * CHOOSE(CONTROL!$C$27, $C$14, 100%, $E$14)</f>
        <v>4.6032000000000002</v>
      </c>
      <c r="H200" s="59">
        <f>8.6169* CHOOSE(CONTROL!$C$27, $C$14, 100%, $E$14)</f>
        <v>8.6168999999999993</v>
      </c>
      <c r="I200" s="59">
        <f>8.6218 * CHOOSE(CONTROL!$C$27, $C$14, 100%, $E$14)</f>
        <v>8.6218000000000004</v>
      </c>
      <c r="J200" s="59">
        <f>8.6169 * CHOOSE(CONTROL!$C$27, $C$14, 100%, $E$14)</f>
        <v>8.6168999999999993</v>
      </c>
      <c r="K200" s="59">
        <f>8.6218 * CHOOSE(CONTROL!$C$27, $C$14, 100%, $E$14)</f>
        <v>8.6218000000000004</v>
      </c>
      <c r="L200" s="59">
        <f>4.5983 * CHOOSE(CONTROL!$C$27, $C$14, 100%, $E$14)</f>
        <v>4.5983000000000001</v>
      </c>
      <c r="M200" s="59">
        <f>4.6032 * CHOOSE(CONTROL!$C$27, $C$14, 100%, $E$14)</f>
        <v>4.6032000000000002</v>
      </c>
      <c r="N200" s="59">
        <f>4.5983 * CHOOSE(CONTROL!$C$27, $C$14, 100%, $E$14)</f>
        <v>4.5983000000000001</v>
      </c>
      <c r="O200" s="59">
        <f>4.6032 * CHOOSE(CONTROL!$C$27, $C$14, 100%, $E$14)</f>
        <v>4.6032000000000002</v>
      </c>
    </row>
    <row r="201" spans="1:15" ht="15">
      <c r="A201" s="11">
        <v>47209</v>
      </c>
      <c r="B201" s="58">
        <f>3.8743 * CHOOSE(CONTROL!$C$27, $C$14, 100%, $E$14)</f>
        <v>3.8742999999999999</v>
      </c>
      <c r="C201" s="58">
        <f>3.8743 * CHOOSE(CONTROL!$C$27, $C$14, 100%, $E$14)</f>
        <v>3.8742999999999999</v>
      </c>
      <c r="D201" s="58">
        <f>3.8783 * CHOOSE(CONTROL!$C$27, $C$14, 100%, $E$14)</f>
        <v>3.8782999999999999</v>
      </c>
      <c r="E201" s="59">
        <f>4.6563 * CHOOSE(CONTROL!$C$27, $C$14, 100%, $E$14)</f>
        <v>4.6562999999999999</v>
      </c>
      <c r="F201" s="59">
        <f>4.6563 * CHOOSE(CONTROL!$C$27, $C$14, 100%, $E$14)</f>
        <v>4.6562999999999999</v>
      </c>
      <c r="G201" s="59">
        <f>4.6613 * CHOOSE(CONTROL!$C$27, $C$14, 100%, $E$14)</f>
        <v>4.6612999999999998</v>
      </c>
      <c r="H201" s="59">
        <f>8.6348* CHOOSE(CONTROL!$C$27, $C$14, 100%, $E$14)</f>
        <v>8.6348000000000003</v>
      </c>
      <c r="I201" s="59">
        <f>8.6398 * CHOOSE(CONTROL!$C$27, $C$14, 100%, $E$14)</f>
        <v>8.6397999999999993</v>
      </c>
      <c r="J201" s="59">
        <f>8.6348 * CHOOSE(CONTROL!$C$27, $C$14, 100%, $E$14)</f>
        <v>8.6348000000000003</v>
      </c>
      <c r="K201" s="59">
        <f>8.6398 * CHOOSE(CONTROL!$C$27, $C$14, 100%, $E$14)</f>
        <v>8.6397999999999993</v>
      </c>
      <c r="L201" s="59">
        <f>4.6563 * CHOOSE(CONTROL!$C$27, $C$14, 100%, $E$14)</f>
        <v>4.6562999999999999</v>
      </c>
      <c r="M201" s="59">
        <f>4.6613 * CHOOSE(CONTROL!$C$27, $C$14, 100%, $E$14)</f>
        <v>4.6612999999999998</v>
      </c>
      <c r="N201" s="59">
        <f>4.6563 * CHOOSE(CONTROL!$C$27, $C$14, 100%, $E$14)</f>
        <v>4.6562999999999999</v>
      </c>
      <c r="O201" s="59">
        <f>4.6613 * CHOOSE(CONTROL!$C$27, $C$14, 100%, $E$14)</f>
        <v>4.6612999999999998</v>
      </c>
    </row>
    <row r="202" spans="1:15" ht="15">
      <c r="A202" s="11">
        <v>47239</v>
      </c>
      <c r="B202" s="58">
        <f>3.8743 * CHOOSE(CONTROL!$C$27, $C$14, 100%, $E$14)</f>
        <v>3.8742999999999999</v>
      </c>
      <c r="C202" s="58">
        <f>3.8743 * CHOOSE(CONTROL!$C$27, $C$14, 100%, $E$14)</f>
        <v>3.8742999999999999</v>
      </c>
      <c r="D202" s="58">
        <f>3.8799 * CHOOSE(CONTROL!$C$27, $C$14, 100%, $E$14)</f>
        <v>3.8799000000000001</v>
      </c>
      <c r="E202" s="59">
        <f>4.6797 * CHOOSE(CONTROL!$C$27, $C$14, 100%, $E$14)</f>
        <v>4.6797000000000004</v>
      </c>
      <c r="F202" s="59">
        <f>4.6797 * CHOOSE(CONTROL!$C$27, $C$14, 100%, $E$14)</f>
        <v>4.6797000000000004</v>
      </c>
      <c r="G202" s="59">
        <f>4.6866 * CHOOSE(CONTROL!$C$27, $C$14, 100%, $E$14)</f>
        <v>4.6866000000000003</v>
      </c>
      <c r="H202" s="59">
        <f>8.6528* CHOOSE(CONTROL!$C$27, $C$14, 100%, $E$14)</f>
        <v>8.6527999999999992</v>
      </c>
      <c r="I202" s="59">
        <f>8.6597 * CHOOSE(CONTROL!$C$27, $C$14, 100%, $E$14)</f>
        <v>8.6597000000000008</v>
      </c>
      <c r="J202" s="59">
        <f>8.6528 * CHOOSE(CONTROL!$C$27, $C$14, 100%, $E$14)</f>
        <v>8.6527999999999992</v>
      </c>
      <c r="K202" s="59">
        <f>8.6597 * CHOOSE(CONTROL!$C$27, $C$14, 100%, $E$14)</f>
        <v>8.6597000000000008</v>
      </c>
      <c r="L202" s="59">
        <f>4.6797 * CHOOSE(CONTROL!$C$27, $C$14, 100%, $E$14)</f>
        <v>4.6797000000000004</v>
      </c>
      <c r="M202" s="59">
        <f>4.6866 * CHOOSE(CONTROL!$C$27, $C$14, 100%, $E$14)</f>
        <v>4.6866000000000003</v>
      </c>
      <c r="N202" s="59">
        <f>4.6797 * CHOOSE(CONTROL!$C$27, $C$14, 100%, $E$14)</f>
        <v>4.6797000000000004</v>
      </c>
      <c r="O202" s="59">
        <f>4.6866 * CHOOSE(CONTROL!$C$27, $C$14, 100%, $E$14)</f>
        <v>4.6866000000000003</v>
      </c>
    </row>
    <row r="203" spans="1:15" ht="15">
      <c r="A203" s="11">
        <v>47270</v>
      </c>
      <c r="B203" s="58">
        <f>3.8803 * CHOOSE(CONTROL!$C$27, $C$14, 100%, $E$14)</f>
        <v>3.8803000000000001</v>
      </c>
      <c r="C203" s="58">
        <f>3.8803 * CHOOSE(CONTROL!$C$27, $C$14, 100%, $E$14)</f>
        <v>3.8803000000000001</v>
      </c>
      <c r="D203" s="58">
        <f>3.886 * CHOOSE(CONTROL!$C$27, $C$14, 100%, $E$14)</f>
        <v>3.8860000000000001</v>
      </c>
      <c r="E203" s="59">
        <f>4.6606 * CHOOSE(CONTROL!$C$27, $C$14, 100%, $E$14)</f>
        <v>4.6605999999999996</v>
      </c>
      <c r="F203" s="59">
        <f>4.6606 * CHOOSE(CONTROL!$C$27, $C$14, 100%, $E$14)</f>
        <v>4.6605999999999996</v>
      </c>
      <c r="G203" s="59">
        <f>4.6675 * CHOOSE(CONTROL!$C$27, $C$14, 100%, $E$14)</f>
        <v>4.6675000000000004</v>
      </c>
      <c r="H203" s="59">
        <f>8.6709* CHOOSE(CONTROL!$C$27, $C$14, 100%, $E$14)</f>
        <v>8.6708999999999996</v>
      </c>
      <c r="I203" s="59">
        <f>8.6778 * CHOOSE(CONTROL!$C$27, $C$14, 100%, $E$14)</f>
        <v>8.6777999999999995</v>
      </c>
      <c r="J203" s="59">
        <f>8.6709 * CHOOSE(CONTROL!$C$27, $C$14, 100%, $E$14)</f>
        <v>8.6708999999999996</v>
      </c>
      <c r="K203" s="59">
        <f>8.6778 * CHOOSE(CONTROL!$C$27, $C$14, 100%, $E$14)</f>
        <v>8.6777999999999995</v>
      </c>
      <c r="L203" s="59">
        <f>4.6606 * CHOOSE(CONTROL!$C$27, $C$14, 100%, $E$14)</f>
        <v>4.6605999999999996</v>
      </c>
      <c r="M203" s="59">
        <f>4.6675 * CHOOSE(CONTROL!$C$27, $C$14, 100%, $E$14)</f>
        <v>4.6675000000000004</v>
      </c>
      <c r="N203" s="59">
        <f>4.6606 * CHOOSE(CONTROL!$C$27, $C$14, 100%, $E$14)</f>
        <v>4.6605999999999996</v>
      </c>
      <c r="O203" s="59">
        <f>4.6675 * CHOOSE(CONTROL!$C$27, $C$14, 100%, $E$14)</f>
        <v>4.6675000000000004</v>
      </c>
    </row>
    <row r="204" spans="1:15" ht="15">
      <c r="A204" s="11">
        <v>47300</v>
      </c>
      <c r="B204" s="58">
        <f>3.9341 * CHOOSE(CONTROL!$C$27, $C$14, 100%, $E$14)</f>
        <v>3.9340999999999999</v>
      </c>
      <c r="C204" s="58">
        <f>3.9341 * CHOOSE(CONTROL!$C$27, $C$14, 100%, $E$14)</f>
        <v>3.9340999999999999</v>
      </c>
      <c r="D204" s="58">
        <f>3.9397 * CHOOSE(CONTROL!$C$27, $C$14, 100%, $E$14)</f>
        <v>3.9397000000000002</v>
      </c>
      <c r="E204" s="59">
        <f>4.7415 * CHOOSE(CONTROL!$C$27, $C$14, 100%, $E$14)</f>
        <v>4.7415000000000003</v>
      </c>
      <c r="F204" s="59">
        <f>4.7415 * CHOOSE(CONTROL!$C$27, $C$14, 100%, $E$14)</f>
        <v>4.7415000000000003</v>
      </c>
      <c r="G204" s="59">
        <f>4.7483 * CHOOSE(CONTROL!$C$27, $C$14, 100%, $E$14)</f>
        <v>4.7483000000000004</v>
      </c>
      <c r="H204" s="59">
        <f>8.6889* CHOOSE(CONTROL!$C$27, $C$14, 100%, $E$14)</f>
        <v>8.6889000000000003</v>
      </c>
      <c r="I204" s="59">
        <f>8.6958 * CHOOSE(CONTROL!$C$27, $C$14, 100%, $E$14)</f>
        <v>8.6958000000000002</v>
      </c>
      <c r="J204" s="59">
        <f>8.6889 * CHOOSE(CONTROL!$C$27, $C$14, 100%, $E$14)</f>
        <v>8.6889000000000003</v>
      </c>
      <c r="K204" s="59">
        <f>8.6958 * CHOOSE(CONTROL!$C$27, $C$14, 100%, $E$14)</f>
        <v>8.6958000000000002</v>
      </c>
      <c r="L204" s="59">
        <f>4.7415 * CHOOSE(CONTROL!$C$27, $C$14, 100%, $E$14)</f>
        <v>4.7415000000000003</v>
      </c>
      <c r="M204" s="59">
        <f>4.7483 * CHOOSE(CONTROL!$C$27, $C$14, 100%, $E$14)</f>
        <v>4.7483000000000004</v>
      </c>
      <c r="N204" s="59">
        <f>4.7415 * CHOOSE(CONTROL!$C$27, $C$14, 100%, $E$14)</f>
        <v>4.7415000000000003</v>
      </c>
      <c r="O204" s="59">
        <f>4.7483 * CHOOSE(CONTROL!$C$27, $C$14, 100%, $E$14)</f>
        <v>4.7483000000000004</v>
      </c>
    </row>
    <row r="205" spans="1:15" ht="15">
      <c r="A205" s="11">
        <v>47331</v>
      </c>
      <c r="B205" s="58">
        <f>3.9407 * CHOOSE(CONTROL!$C$27, $C$14, 100%, $E$14)</f>
        <v>3.9407000000000001</v>
      </c>
      <c r="C205" s="58">
        <f>3.9407 * CHOOSE(CONTROL!$C$27, $C$14, 100%, $E$14)</f>
        <v>3.9407000000000001</v>
      </c>
      <c r="D205" s="58">
        <f>3.9464 * CHOOSE(CONTROL!$C$27, $C$14, 100%, $E$14)</f>
        <v>3.9464000000000001</v>
      </c>
      <c r="E205" s="59">
        <f>4.676 * CHOOSE(CONTROL!$C$27, $C$14, 100%, $E$14)</f>
        <v>4.6760000000000002</v>
      </c>
      <c r="F205" s="59">
        <f>4.676 * CHOOSE(CONTROL!$C$27, $C$14, 100%, $E$14)</f>
        <v>4.6760000000000002</v>
      </c>
      <c r="G205" s="59">
        <f>4.6829 * CHOOSE(CONTROL!$C$27, $C$14, 100%, $E$14)</f>
        <v>4.6829000000000001</v>
      </c>
      <c r="H205" s="59">
        <f>8.707* CHOOSE(CONTROL!$C$27, $C$14, 100%, $E$14)</f>
        <v>8.7070000000000007</v>
      </c>
      <c r="I205" s="59">
        <f>8.7139 * CHOOSE(CONTROL!$C$27, $C$14, 100%, $E$14)</f>
        <v>8.7139000000000006</v>
      </c>
      <c r="J205" s="59">
        <f>8.707 * CHOOSE(CONTROL!$C$27, $C$14, 100%, $E$14)</f>
        <v>8.7070000000000007</v>
      </c>
      <c r="K205" s="59">
        <f>8.7139 * CHOOSE(CONTROL!$C$27, $C$14, 100%, $E$14)</f>
        <v>8.7139000000000006</v>
      </c>
      <c r="L205" s="59">
        <f>4.676 * CHOOSE(CONTROL!$C$27, $C$14, 100%, $E$14)</f>
        <v>4.6760000000000002</v>
      </c>
      <c r="M205" s="59">
        <f>4.6829 * CHOOSE(CONTROL!$C$27, $C$14, 100%, $E$14)</f>
        <v>4.6829000000000001</v>
      </c>
      <c r="N205" s="59">
        <f>4.676 * CHOOSE(CONTROL!$C$27, $C$14, 100%, $E$14)</f>
        <v>4.6760000000000002</v>
      </c>
      <c r="O205" s="59">
        <f>4.6829 * CHOOSE(CONTROL!$C$27, $C$14, 100%, $E$14)</f>
        <v>4.6829000000000001</v>
      </c>
    </row>
    <row r="206" spans="1:15" ht="15">
      <c r="A206" s="11">
        <v>47362</v>
      </c>
      <c r="B206" s="58">
        <f>3.9377 * CHOOSE(CONTROL!$C$27, $C$14, 100%, $E$14)</f>
        <v>3.9377</v>
      </c>
      <c r="C206" s="58">
        <f>3.9377 * CHOOSE(CONTROL!$C$27, $C$14, 100%, $E$14)</f>
        <v>3.9377</v>
      </c>
      <c r="D206" s="58">
        <f>3.9433 * CHOOSE(CONTROL!$C$27, $C$14, 100%, $E$14)</f>
        <v>3.9432999999999998</v>
      </c>
      <c r="E206" s="59">
        <f>4.6661 * CHOOSE(CONTROL!$C$27, $C$14, 100%, $E$14)</f>
        <v>4.6661000000000001</v>
      </c>
      <c r="F206" s="59">
        <f>4.6661 * CHOOSE(CONTROL!$C$27, $C$14, 100%, $E$14)</f>
        <v>4.6661000000000001</v>
      </c>
      <c r="G206" s="59">
        <f>4.673 * CHOOSE(CONTROL!$C$27, $C$14, 100%, $E$14)</f>
        <v>4.673</v>
      </c>
      <c r="H206" s="59">
        <f>8.7252* CHOOSE(CONTROL!$C$27, $C$14, 100%, $E$14)</f>
        <v>8.7251999999999992</v>
      </c>
      <c r="I206" s="59">
        <f>8.7321 * CHOOSE(CONTROL!$C$27, $C$14, 100%, $E$14)</f>
        <v>8.7321000000000009</v>
      </c>
      <c r="J206" s="59">
        <f>8.7252 * CHOOSE(CONTROL!$C$27, $C$14, 100%, $E$14)</f>
        <v>8.7251999999999992</v>
      </c>
      <c r="K206" s="59">
        <f>8.7321 * CHOOSE(CONTROL!$C$27, $C$14, 100%, $E$14)</f>
        <v>8.7321000000000009</v>
      </c>
      <c r="L206" s="59">
        <f>4.6661 * CHOOSE(CONTROL!$C$27, $C$14, 100%, $E$14)</f>
        <v>4.6661000000000001</v>
      </c>
      <c r="M206" s="59">
        <f>4.673 * CHOOSE(CONTROL!$C$27, $C$14, 100%, $E$14)</f>
        <v>4.673</v>
      </c>
      <c r="N206" s="59">
        <f>4.6661 * CHOOSE(CONTROL!$C$27, $C$14, 100%, $E$14)</f>
        <v>4.6661000000000001</v>
      </c>
      <c r="O206" s="59">
        <f>4.673 * CHOOSE(CONTROL!$C$27, $C$14, 100%, $E$14)</f>
        <v>4.673</v>
      </c>
    </row>
    <row r="207" spans="1:15" ht="15">
      <c r="A207" s="11">
        <v>47392</v>
      </c>
      <c r="B207" s="58">
        <f>3.9325 * CHOOSE(CONTROL!$C$27, $C$14, 100%, $E$14)</f>
        <v>3.9325000000000001</v>
      </c>
      <c r="C207" s="58">
        <f>3.9325 * CHOOSE(CONTROL!$C$27, $C$14, 100%, $E$14)</f>
        <v>3.9325000000000001</v>
      </c>
      <c r="D207" s="58">
        <f>3.9365 * CHOOSE(CONTROL!$C$27, $C$14, 100%, $E$14)</f>
        <v>3.9365000000000001</v>
      </c>
      <c r="E207" s="59">
        <f>4.6838 * CHOOSE(CONTROL!$C$27, $C$14, 100%, $E$14)</f>
        <v>4.6837999999999997</v>
      </c>
      <c r="F207" s="59">
        <f>4.6838 * CHOOSE(CONTROL!$C$27, $C$14, 100%, $E$14)</f>
        <v>4.6837999999999997</v>
      </c>
      <c r="G207" s="59">
        <f>4.6888 * CHOOSE(CONTROL!$C$27, $C$14, 100%, $E$14)</f>
        <v>4.6887999999999996</v>
      </c>
      <c r="H207" s="59">
        <f>8.7433* CHOOSE(CONTROL!$C$27, $C$14, 100%, $E$14)</f>
        <v>8.7432999999999996</v>
      </c>
      <c r="I207" s="59">
        <f>8.7483 * CHOOSE(CONTROL!$C$27, $C$14, 100%, $E$14)</f>
        <v>8.7483000000000004</v>
      </c>
      <c r="J207" s="59">
        <f>8.7433 * CHOOSE(CONTROL!$C$27, $C$14, 100%, $E$14)</f>
        <v>8.7432999999999996</v>
      </c>
      <c r="K207" s="59">
        <f>8.7483 * CHOOSE(CONTROL!$C$27, $C$14, 100%, $E$14)</f>
        <v>8.7483000000000004</v>
      </c>
      <c r="L207" s="59">
        <f>4.6838 * CHOOSE(CONTROL!$C$27, $C$14, 100%, $E$14)</f>
        <v>4.6837999999999997</v>
      </c>
      <c r="M207" s="59">
        <f>4.6888 * CHOOSE(CONTROL!$C$27, $C$14, 100%, $E$14)</f>
        <v>4.6887999999999996</v>
      </c>
      <c r="N207" s="59">
        <f>4.6838 * CHOOSE(CONTROL!$C$27, $C$14, 100%, $E$14)</f>
        <v>4.6837999999999997</v>
      </c>
      <c r="O207" s="59">
        <f>4.6888 * CHOOSE(CONTROL!$C$27, $C$14, 100%, $E$14)</f>
        <v>4.6887999999999996</v>
      </c>
    </row>
    <row r="208" spans="1:15" ht="15">
      <c r="A208" s="11">
        <v>47423</v>
      </c>
      <c r="B208" s="58">
        <f>3.9355 * CHOOSE(CONTROL!$C$27, $C$14, 100%, $E$14)</f>
        <v>3.9355000000000002</v>
      </c>
      <c r="C208" s="58">
        <f>3.9355 * CHOOSE(CONTROL!$C$27, $C$14, 100%, $E$14)</f>
        <v>3.9355000000000002</v>
      </c>
      <c r="D208" s="58">
        <f>3.9395 * CHOOSE(CONTROL!$C$27, $C$14, 100%, $E$14)</f>
        <v>3.9394999999999998</v>
      </c>
      <c r="E208" s="59">
        <f>4.7015 * CHOOSE(CONTROL!$C$27, $C$14, 100%, $E$14)</f>
        <v>4.7015000000000002</v>
      </c>
      <c r="F208" s="59">
        <f>4.7015 * CHOOSE(CONTROL!$C$27, $C$14, 100%, $E$14)</f>
        <v>4.7015000000000002</v>
      </c>
      <c r="G208" s="59">
        <f>4.7065 * CHOOSE(CONTROL!$C$27, $C$14, 100%, $E$14)</f>
        <v>4.7065000000000001</v>
      </c>
      <c r="H208" s="59">
        <f>8.7616* CHOOSE(CONTROL!$C$27, $C$14, 100%, $E$14)</f>
        <v>8.7615999999999996</v>
      </c>
      <c r="I208" s="59">
        <f>8.7665 * CHOOSE(CONTROL!$C$27, $C$14, 100%, $E$14)</f>
        <v>8.7665000000000006</v>
      </c>
      <c r="J208" s="59">
        <f>8.7616 * CHOOSE(CONTROL!$C$27, $C$14, 100%, $E$14)</f>
        <v>8.7615999999999996</v>
      </c>
      <c r="K208" s="59">
        <f>8.7665 * CHOOSE(CONTROL!$C$27, $C$14, 100%, $E$14)</f>
        <v>8.7665000000000006</v>
      </c>
      <c r="L208" s="59">
        <f>4.7015 * CHOOSE(CONTROL!$C$27, $C$14, 100%, $E$14)</f>
        <v>4.7015000000000002</v>
      </c>
      <c r="M208" s="59">
        <f>4.7065 * CHOOSE(CONTROL!$C$27, $C$14, 100%, $E$14)</f>
        <v>4.7065000000000001</v>
      </c>
      <c r="N208" s="59">
        <f>4.7015 * CHOOSE(CONTROL!$C$27, $C$14, 100%, $E$14)</f>
        <v>4.7015000000000002</v>
      </c>
      <c r="O208" s="59">
        <f>4.7065 * CHOOSE(CONTROL!$C$27, $C$14, 100%, $E$14)</f>
        <v>4.7065000000000001</v>
      </c>
    </row>
    <row r="209" spans="1:15" ht="15">
      <c r="A209" s="11">
        <v>47453</v>
      </c>
      <c r="B209" s="58">
        <f>3.9355 * CHOOSE(CONTROL!$C$27, $C$14, 100%, $E$14)</f>
        <v>3.9355000000000002</v>
      </c>
      <c r="C209" s="58">
        <f>3.9355 * CHOOSE(CONTROL!$C$27, $C$14, 100%, $E$14)</f>
        <v>3.9355000000000002</v>
      </c>
      <c r="D209" s="58">
        <f>3.9395 * CHOOSE(CONTROL!$C$27, $C$14, 100%, $E$14)</f>
        <v>3.9394999999999998</v>
      </c>
      <c r="E209" s="59">
        <f>4.6626 * CHOOSE(CONTROL!$C$27, $C$14, 100%, $E$14)</f>
        <v>4.6626000000000003</v>
      </c>
      <c r="F209" s="59">
        <f>4.6626 * CHOOSE(CONTROL!$C$27, $C$14, 100%, $E$14)</f>
        <v>4.6626000000000003</v>
      </c>
      <c r="G209" s="59">
        <f>4.6675 * CHOOSE(CONTROL!$C$27, $C$14, 100%, $E$14)</f>
        <v>4.6675000000000004</v>
      </c>
      <c r="H209" s="59">
        <f>8.7798* CHOOSE(CONTROL!$C$27, $C$14, 100%, $E$14)</f>
        <v>8.7797999999999998</v>
      </c>
      <c r="I209" s="59">
        <f>8.7847 * CHOOSE(CONTROL!$C$27, $C$14, 100%, $E$14)</f>
        <v>8.7847000000000008</v>
      </c>
      <c r="J209" s="59">
        <f>8.7798 * CHOOSE(CONTROL!$C$27, $C$14, 100%, $E$14)</f>
        <v>8.7797999999999998</v>
      </c>
      <c r="K209" s="59">
        <f>8.7847 * CHOOSE(CONTROL!$C$27, $C$14, 100%, $E$14)</f>
        <v>8.7847000000000008</v>
      </c>
      <c r="L209" s="59">
        <f>4.6626 * CHOOSE(CONTROL!$C$27, $C$14, 100%, $E$14)</f>
        <v>4.6626000000000003</v>
      </c>
      <c r="M209" s="59">
        <f>4.6675 * CHOOSE(CONTROL!$C$27, $C$14, 100%, $E$14)</f>
        <v>4.6675000000000004</v>
      </c>
      <c r="N209" s="59">
        <f>4.6626 * CHOOSE(CONTROL!$C$27, $C$14, 100%, $E$14)</f>
        <v>4.6626000000000003</v>
      </c>
      <c r="O209" s="59">
        <f>4.6675 * CHOOSE(CONTROL!$C$27, $C$14, 100%, $E$14)</f>
        <v>4.6675000000000004</v>
      </c>
    </row>
    <row r="210" spans="1:15" ht="15">
      <c r="A210" s="11">
        <v>47484</v>
      </c>
      <c r="B210" s="58">
        <f>3.9695 * CHOOSE(CONTROL!$C$27, $C$14, 100%, $E$14)</f>
        <v>3.9695</v>
      </c>
      <c r="C210" s="58">
        <f>3.9695 * CHOOSE(CONTROL!$C$27, $C$14, 100%, $E$14)</f>
        <v>3.9695</v>
      </c>
      <c r="D210" s="58">
        <f>3.9735 * CHOOSE(CONTROL!$C$27, $C$14, 100%, $E$14)</f>
        <v>3.9735</v>
      </c>
      <c r="E210" s="59">
        <f>4.7284 * CHOOSE(CONTROL!$C$27, $C$14, 100%, $E$14)</f>
        <v>4.7283999999999997</v>
      </c>
      <c r="F210" s="59">
        <f>4.7284 * CHOOSE(CONTROL!$C$27, $C$14, 100%, $E$14)</f>
        <v>4.7283999999999997</v>
      </c>
      <c r="G210" s="59">
        <f>4.7333 * CHOOSE(CONTROL!$C$27, $C$14, 100%, $E$14)</f>
        <v>4.7332999999999998</v>
      </c>
      <c r="H210" s="59">
        <f>8.7981* CHOOSE(CONTROL!$C$27, $C$14, 100%, $E$14)</f>
        <v>8.7980999999999998</v>
      </c>
      <c r="I210" s="59">
        <f>8.803 * CHOOSE(CONTROL!$C$27, $C$14, 100%, $E$14)</f>
        <v>8.8030000000000008</v>
      </c>
      <c r="J210" s="59">
        <f>8.7981 * CHOOSE(CONTROL!$C$27, $C$14, 100%, $E$14)</f>
        <v>8.7980999999999998</v>
      </c>
      <c r="K210" s="59">
        <f>8.803 * CHOOSE(CONTROL!$C$27, $C$14, 100%, $E$14)</f>
        <v>8.8030000000000008</v>
      </c>
      <c r="L210" s="59">
        <f>4.7284 * CHOOSE(CONTROL!$C$27, $C$14, 100%, $E$14)</f>
        <v>4.7283999999999997</v>
      </c>
      <c r="M210" s="59">
        <f>4.7333 * CHOOSE(CONTROL!$C$27, $C$14, 100%, $E$14)</f>
        <v>4.7332999999999998</v>
      </c>
      <c r="N210" s="59">
        <f>4.7284 * CHOOSE(CONTROL!$C$27, $C$14, 100%, $E$14)</f>
        <v>4.7283999999999997</v>
      </c>
      <c r="O210" s="59">
        <f>4.7333 * CHOOSE(CONTROL!$C$27, $C$14, 100%, $E$14)</f>
        <v>4.7332999999999998</v>
      </c>
    </row>
    <row r="211" spans="1:15" ht="15">
      <c r="A211" s="11">
        <v>47515</v>
      </c>
      <c r="B211" s="58">
        <f>3.9664 * CHOOSE(CONTROL!$C$27, $C$14, 100%, $E$14)</f>
        <v>3.9664000000000001</v>
      </c>
      <c r="C211" s="58">
        <f>3.9664 * CHOOSE(CONTROL!$C$27, $C$14, 100%, $E$14)</f>
        <v>3.9664000000000001</v>
      </c>
      <c r="D211" s="58">
        <f>3.9704 * CHOOSE(CONTROL!$C$27, $C$14, 100%, $E$14)</f>
        <v>3.9704000000000002</v>
      </c>
      <c r="E211" s="59">
        <f>4.6508 * CHOOSE(CONTROL!$C$27, $C$14, 100%, $E$14)</f>
        <v>4.6508000000000003</v>
      </c>
      <c r="F211" s="59">
        <f>4.6508 * CHOOSE(CONTROL!$C$27, $C$14, 100%, $E$14)</f>
        <v>4.6508000000000003</v>
      </c>
      <c r="G211" s="59">
        <f>4.6557 * CHOOSE(CONTROL!$C$27, $C$14, 100%, $E$14)</f>
        <v>4.6557000000000004</v>
      </c>
      <c r="H211" s="59">
        <f>8.8164* CHOOSE(CONTROL!$C$27, $C$14, 100%, $E$14)</f>
        <v>8.8163999999999998</v>
      </c>
      <c r="I211" s="59">
        <f>8.8214 * CHOOSE(CONTROL!$C$27, $C$14, 100%, $E$14)</f>
        <v>8.8214000000000006</v>
      </c>
      <c r="J211" s="59">
        <f>8.8164 * CHOOSE(CONTROL!$C$27, $C$14, 100%, $E$14)</f>
        <v>8.8163999999999998</v>
      </c>
      <c r="K211" s="59">
        <f>8.8214 * CHOOSE(CONTROL!$C$27, $C$14, 100%, $E$14)</f>
        <v>8.8214000000000006</v>
      </c>
      <c r="L211" s="59">
        <f>4.6508 * CHOOSE(CONTROL!$C$27, $C$14, 100%, $E$14)</f>
        <v>4.6508000000000003</v>
      </c>
      <c r="M211" s="59">
        <f>4.6557 * CHOOSE(CONTROL!$C$27, $C$14, 100%, $E$14)</f>
        <v>4.6557000000000004</v>
      </c>
      <c r="N211" s="59">
        <f>4.6508 * CHOOSE(CONTROL!$C$27, $C$14, 100%, $E$14)</f>
        <v>4.6508000000000003</v>
      </c>
      <c r="O211" s="59">
        <f>4.6557 * CHOOSE(CONTROL!$C$27, $C$14, 100%, $E$14)</f>
        <v>4.6557000000000004</v>
      </c>
    </row>
    <row r="212" spans="1:15" ht="15">
      <c r="A212" s="11">
        <v>47543</v>
      </c>
      <c r="B212" s="58">
        <f>3.9634 * CHOOSE(CONTROL!$C$27, $C$14, 100%, $E$14)</f>
        <v>3.9634</v>
      </c>
      <c r="C212" s="58">
        <f>3.9634 * CHOOSE(CONTROL!$C$27, $C$14, 100%, $E$14)</f>
        <v>3.9634</v>
      </c>
      <c r="D212" s="58">
        <f>3.9674 * CHOOSE(CONTROL!$C$27, $C$14, 100%, $E$14)</f>
        <v>3.9674</v>
      </c>
      <c r="E212" s="59">
        <f>4.7082 * CHOOSE(CONTROL!$C$27, $C$14, 100%, $E$14)</f>
        <v>4.7081999999999997</v>
      </c>
      <c r="F212" s="59">
        <f>4.7082 * CHOOSE(CONTROL!$C$27, $C$14, 100%, $E$14)</f>
        <v>4.7081999999999997</v>
      </c>
      <c r="G212" s="59">
        <f>4.7131 * CHOOSE(CONTROL!$C$27, $C$14, 100%, $E$14)</f>
        <v>4.7130999999999998</v>
      </c>
      <c r="H212" s="59">
        <f>8.8348* CHOOSE(CONTROL!$C$27, $C$14, 100%, $E$14)</f>
        <v>8.8347999999999995</v>
      </c>
      <c r="I212" s="59">
        <f>8.8397 * CHOOSE(CONTROL!$C$27, $C$14, 100%, $E$14)</f>
        <v>8.8397000000000006</v>
      </c>
      <c r="J212" s="59">
        <f>8.8348 * CHOOSE(CONTROL!$C$27, $C$14, 100%, $E$14)</f>
        <v>8.8347999999999995</v>
      </c>
      <c r="K212" s="59">
        <f>8.8397 * CHOOSE(CONTROL!$C$27, $C$14, 100%, $E$14)</f>
        <v>8.8397000000000006</v>
      </c>
      <c r="L212" s="59">
        <f>4.7082 * CHOOSE(CONTROL!$C$27, $C$14, 100%, $E$14)</f>
        <v>4.7081999999999997</v>
      </c>
      <c r="M212" s="59">
        <f>4.7131 * CHOOSE(CONTROL!$C$27, $C$14, 100%, $E$14)</f>
        <v>4.7130999999999998</v>
      </c>
      <c r="N212" s="59">
        <f>4.7082 * CHOOSE(CONTROL!$C$27, $C$14, 100%, $E$14)</f>
        <v>4.7081999999999997</v>
      </c>
      <c r="O212" s="59">
        <f>4.7131 * CHOOSE(CONTROL!$C$27, $C$14, 100%, $E$14)</f>
        <v>4.7130999999999998</v>
      </c>
    </row>
    <row r="213" spans="1:15" ht="15">
      <c r="A213" s="11">
        <v>47574</v>
      </c>
      <c r="B213" s="58">
        <f>3.961 * CHOOSE(CONTROL!$C$27, $C$14, 100%, $E$14)</f>
        <v>3.9609999999999999</v>
      </c>
      <c r="C213" s="58">
        <f>3.961 * CHOOSE(CONTROL!$C$27, $C$14, 100%, $E$14)</f>
        <v>3.9609999999999999</v>
      </c>
      <c r="D213" s="58">
        <f>3.965 * CHOOSE(CONTROL!$C$27, $C$14, 100%, $E$14)</f>
        <v>3.9649999999999999</v>
      </c>
      <c r="E213" s="59">
        <f>4.7679 * CHOOSE(CONTROL!$C$27, $C$14, 100%, $E$14)</f>
        <v>4.7679</v>
      </c>
      <c r="F213" s="59">
        <f>4.7679 * CHOOSE(CONTROL!$C$27, $C$14, 100%, $E$14)</f>
        <v>4.7679</v>
      </c>
      <c r="G213" s="59">
        <f>4.7728 * CHOOSE(CONTROL!$C$27, $C$14, 100%, $E$14)</f>
        <v>4.7728000000000002</v>
      </c>
      <c r="H213" s="59">
        <f>8.8532* CHOOSE(CONTROL!$C$27, $C$14, 100%, $E$14)</f>
        <v>8.8531999999999993</v>
      </c>
      <c r="I213" s="59">
        <f>8.8581 * CHOOSE(CONTROL!$C$27, $C$14, 100%, $E$14)</f>
        <v>8.8581000000000003</v>
      </c>
      <c r="J213" s="59">
        <f>8.8532 * CHOOSE(CONTROL!$C$27, $C$14, 100%, $E$14)</f>
        <v>8.8531999999999993</v>
      </c>
      <c r="K213" s="59">
        <f>8.8581 * CHOOSE(CONTROL!$C$27, $C$14, 100%, $E$14)</f>
        <v>8.8581000000000003</v>
      </c>
      <c r="L213" s="59">
        <f>4.7679 * CHOOSE(CONTROL!$C$27, $C$14, 100%, $E$14)</f>
        <v>4.7679</v>
      </c>
      <c r="M213" s="59">
        <f>4.7728 * CHOOSE(CONTROL!$C$27, $C$14, 100%, $E$14)</f>
        <v>4.7728000000000002</v>
      </c>
      <c r="N213" s="59">
        <f>4.7679 * CHOOSE(CONTROL!$C$27, $C$14, 100%, $E$14)</f>
        <v>4.7679</v>
      </c>
      <c r="O213" s="59">
        <f>4.7728 * CHOOSE(CONTROL!$C$27, $C$14, 100%, $E$14)</f>
        <v>4.7728000000000002</v>
      </c>
    </row>
    <row r="214" spans="1:15" ht="15">
      <c r="A214" s="11">
        <v>47604</v>
      </c>
      <c r="B214" s="58">
        <f>3.961 * CHOOSE(CONTROL!$C$27, $C$14, 100%, $E$14)</f>
        <v>3.9609999999999999</v>
      </c>
      <c r="C214" s="58">
        <f>3.961 * CHOOSE(CONTROL!$C$27, $C$14, 100%, $E$14)</f>
        <v>3.9609999999999999</v>
      </c>
      <c r="D214" s="58">
        <f>3.9666 * CHOOSE(CONTROL!$C$27, $C$14, 100%, $E$14)</f>
        <v>3.9666000000000001</v>
      </c>
      <c r="E214" s="59">
        <f>4.7918 * CHOOSE(CONTROL!$C$27, $C$14, 100%, $E$14)</f>
        <v>4.7918000000000003</v>
      </c>
      <c r="F214" s="59">
        <f>4.7918 * CHOOSE(CONTROL!$C$27, $C$14, 100%, $E$14)</f>
        <v>4.7918000000000003</v>
      </c>
      <c r="G214" s="59">
        <f>4.7987 * CHOOSE(CONTROL!$C$27, $C$14, 100%, $E$14)</f>
        <v>4.7987000000000002</v>
      </c>
      <c r="H214" s="59">
        <f>8.8717* CHOOSE(CONTROL!$C$27, $C$14, 100%, $E$14)</f>
        <v>8.8717000000000006</v>
      </c>
      <c r="I214" s="59">
        <f>8.8785 * CHOOSE(CONTROL!$C$27, $C$14, 100%, $E$14)</f>
        <v>8.8785000000000007</v>
      </c>
      <c r="J214" s="59">
        <f>8.8717 * CHOOSE(CONTROL!$C$27, $C$14, 100%, $E$14)</f>
        <v>8.8717000000000006</v>
      </c>
      <c r="K214" s="59">
        <f>8.8785 * CHOOSE(CONTROL!$C$27, $C$14, 100%, $E$14)</f>
        <v>8.8785000000000007</v>
      </c>
      <c r="L214" s="59">
        <f>4.7918 * CHOOSE(CONTROL!$C$27, $C$14, 100%, $E$14)</f>
        <v>4.7918000000000003</v>
      </c>
      <c r="M214" s="59">
        <f>4.7987 * CHOOSE(CONTROL!$C$27, $C$14, 100%, $E$14)</f>
        <v>4.7987000000000002</v>
      </c>
      <c r="N214" s="59">
        <f>4.7918 * CHOOSE(CONTROL!$C$27, $C$14, 100%, $E$14)</f>
        <v>4.7918000000000003</v>
      </c>
      <c r="O214" s="59">
        <f>4.7987 * CHOOSE(CONTROL!$C$27, $C$14, 100%, $E$14)</f>
        <v>4.7987000000000002</v>
      </c>
    </row>
    <row r="215" spans="1:15" ht="15">
      <c r="A215" s="11">
        <v>47635</v>
      </c>
      <c r="B215" s="58">
        <f>3.9671 * CHOOSE(CONTROL!$C$27, $C$14, 100%, $E$14)</f>
        <v>3.9670999999999998</v>
      </c>
      <c r="C215" s="58">
        <f>3.9671 * CHOOSE(CONTROL!$C$27, $C$14, 100%, $E$14)</f>
        <v>3.9670999999999998</v>
      </c>
      <c r="D215" s="58">
        <f>3.9727 * CHOOSE(CONTROL!$C$27, $C$14, 100%, $E$14)</f>
        <v>3.9727000000000001</v>
      </c>
      <c r="E215" s="59">
        <f>4.7721 * CHOOSE(CONTROL!$C$27, $C$14, 100%, $E$14)</f>
        <v>4.7721</v>
      </c>
      <c r="F215" s="59">
        <f>4.7721 * CHOOSE(CONTROL!$C$27, $C$14, 100%, $E$14)</f>
        <v>4.7721</v>
      </c>
      <c r="G215" s="59">
        <f>4.779 * CHOOSE(CONTROL!$C$27, $C$14, 100%, $E$14)</f>
        <v>4.7789999999999999</v>
      </c>
      <c r="H215" s="59">
        <f>8.8901* CHOOSE(CONTROL!$C$27, $C$14, 100%, $E$14)</f>
        <v>8.8901000000000003</v>
      </c>
      <c r="I215" s="59">
        <f>8.897 * CHOOSE(CONTROL!$C$27, $C$14, 100%, $E$14)</f>
        <v>8.8970000000000002</v>
      </c>
      <c r="J215" s="59">
        <f>8.8901 * CHOOSE(CONTROL!$C$27, $C$14, 100%, $E$14)</f>
        <v>8.8901000000000003</v>
      </c>
      <c r="K215" s="59">
        <f>8.897 * CHOOSE(CONTROL!$C$27, $C$14, 100%, $E$14)</f>
        <v>8.8970000000000002</v>
      </c>
      <c r="L215" s="59">
        <f>4.7721 * CHOOSE(CONTROL!$C$27, $C$14, 100%, $E$14)</f>
        <v>4.7721</v>
      </c>
      <c r="M215" s="59">
        <f>4.779 * CHOOSE(CONTROL!$C$27, $C$14, 100%, $E$14)</f>
        <v>4.7789999999999999</v>
      </c>
      <c r="N215" s="59">
        <f>4.7721 * CHOOSE(CONTROL!$C$27, $C$14, 100%, $E$14)</f>
        <v>4.7721</v>
      </c>
      <c r="O215" s="59">
        <f>4.779 * CHOOSE(CONTROL!$C$27, $C$14, 100%, $E$14)</f>
        <v>4.7789999999999999</v>
      </c>
    </row>
    <row r="216" spans="1:15" ht="15">
      <c r="A216" s="11">
        <v>47665</v>
      </c>
      <c r="B216" s="58">
        <f>4.0298 * CHOOSE(CONTROL!$C$27, $C$14, 100%, $E$14)</f>
        <v>4.0297999999999998</v>
      </c>
      <c r="C216" s="58">
        <f>4.0298 * CHOOSE(CONTROL!$C$27, $C$14, 100%, $E$14)</f>
        <v>4.0297999999999998</v>
      </c>
      <c r="D216" s="58">
        <f>4.0354 * CHOOSE(CONTROL!$C$27, $C$14, 100%, $E$14)</f>
        <v>4.0354000000000001</v>
      </c>
      <c r="E216" s="59">
        <f>4.8562 * CHOOSE(CONTROL!$C$27, $C$14, 100%, $E$14)</f>
        <v>4.8562000000000003</v>
      </c>
      <c r="F216" s="59">
        <f>4.8562 * CHOOSE(CONTROL!$C$27, $C$14, 100%, $E$14)</f>
        <v>4.8562000000000003</v>
      </c>
      <c r="G216" s="59">
        <f>4.8631 * CHOOSE(CONTROL!$C$27, $C$14, 100%, $E$14)</f>
        <v>4.8631000000000002</v>
      </c>
      <c r="H216" s="59">
        <f>8.9087* CHOOSE(CONTROL!$C$27, $C$14, 100%, $E$14)</f>
        <v>8.9086999999999996</v>
      </c>
      <c r="I216" s="59">
        <f>8.9155 * CHOOSE(CONTROL!$C$27, $C$14, 100%, $E$14)</f>
        <v>8.9154999999999998</v>
      </c>
      <c r="J216" s="59">
        <f>8.9087 * CHOOSE(CONTROL!$C$27, $C$14, 100%, $E$14)</f>
        <v>8.9086999999999996</v>
      </c>
      <c r="K216" s="59">
        <f>8.9155 * CHOOSE(CONTROL!$C$27, $C$14, 100%, $E$14)</f>
        <v>8.9154999999999998</v>
      </c>
      <c r="L216" s="59">
        <f>4.8562 * CHOOSE(CONTROL!$C$27, $C$14, 100%, $E$14)</f>
        <v>4.8562000000000003</v>
      </c>
      <c r="M216" s="59">
        <f>4.8631 * CHOOSE(CONTROL!$C$27, $C$14, 100%, $E$14)</f>
        <v>4.8631000000000002</v>
      </c>
      <c r="N216" s="59">
        <f>4.8562 * CHOOSE(CONTROL!$C$27, $C$14, 100%, $E$14)</f>
        <v>4.8562000000000003</v>
      </c>
      <c r="O216" s="59">
        <f>4.8631 * CHOOSE(CONTROL!$C$27, $C$14, 100%, $E$14)</f>
        <v>4.8631000000000002</v>
      </c>
    </row>
    <row r="217" spans="1:15" ht="15">
      <c r="A217" s="11">
        <v>47696</v>
      </c>
      <c r="B217" s="58">
        <f>4.0365 * CHOOSE(CONTROL!$C$27, $C$14, 100%, $E$14)</f>
        <v>4.0365000000000002</v>
      </c>
      <c r="C217" s="58">
        <f>4.0365 * CHOOSE(CONTROL!$C$27, $C$14, 100%, $E$14)</f>
        <v>4.0365000000000002</v>
      </c>
      <c r="D217" s="58">
        <f>4.0421 * CHOOSE(CONTROL!$C$27, $C$14, 100%, $E$14)</f>
        <v>4.0420999999999996</v>
      </c>
      <c r="E217" s="59">
        <f>4.7889 * CHOOSE(CONTROL!$C$27, $C$14, 100%, $E$14)</f>
        <v>4.7888999999999999</v>
      </c>
      <c r="F217" s="59">
        <f>4.7889 * CHOOSE(CONTROL!$C$27, $C$14, 100%, $E$14)</f>
        <v>4.7888999999999999</v>
      </c>
      <c r="G217" s="59">
        <f>4.7958 * CHOOSE(CONTROL!$C$27, $C$14, 100%, $E$14)</f>
        <v>4.7957999999999998</v>
      </c>
      <c r="H217" s="59">
        <f>8.9272* CHOOSE(CONTROL!$C$27, $C$14, 100%, $E$14)</f>
        <v>8.9271999999999991</v>
      </c>
      <c r="I217" s="59">
        <f>8.9341 * CHOOSE(CONTROL!$C$27, $C$14, 100%, $E$14)</f>
        <v>8.9341000000000008</v>
      </c>
      <c r="J217" s="59">
        <f>8.9272 * CHOOSE(CONTROL!$C$27, $C$14, 100%, $E$14)</f>
        <v>8.9271999999999991</v>
      </c>
      <c r="K217" s="59">
        <f>8.9341 * CHOOSE(CONTROL!$C$27, $C$14, 100%, $E$14)</f>
        <v>8.9341000000000008</v>
      </c>
      <c r="L217" s="59">
        <f>4.7889 * CHOOSE(CONTROL!$C$27, $C$14, 100%, $E$14)</f>
        <v>4.7888999999999999</v>
      </c>
      <c r="M217" s="59">
        <f>4.7958 * CHOOSE(CONTROL!$C$27, $C$14, 100%, $E$14)</f>
        <v>4.7957999999999998</v>
      </c>
      <c r="N217" s="59">
        <f>4.7889 * CHOOSE(CONTROL!$C$27, $C$14, 100%, $E$14)</f>
        <v>4.7888999999999999</v>
      </c>
      <c r="O217" s="59">
        <f>4.7958 * CHOOSE(CONTROL!$C$27, $C$14, 100%, $E$14)</f>
        <v>4.7957999999999998</v>
      </c>
    </row>
    <row r="218" spans="1:15" ht="15">
      <c r="A218" s="11">
        <v>47727</v>
      </c>
      <c r="B218" s="58">
        <f>4.0334 * CHOOSE(CONTROL!$C$27, $C$14, 100%, $E$14)</f>
        <v>4.0334000000000003</v>
      </c>
      <c r="C218" s="58">
        <f>4.0334 * CHOOSE(CONTROL!$C$27, $C$14, 100%, $E$14)</f>
        <v>4.0334000000000003</v>
      </c>
      <c r="D218" s="58">
        <f>4.0391 * CHOOSE(CONTROL!$C$27, $C$14, 100%, $E$14)</f>
        <v>4.0391000000000004</v>
      </c>
      <c r="E218" s="59">
        <f>4.7788 * CHOOSE(CONTROL!$C$27, $C$14, 100%, $E$14)</f>
        <v>4.7788000000000004</v>
      </c>
      <c r="F218" s="59">
        <f>4.7788 * CHOOSE(CONTROL!$C$27, $C$14, 100%, $E$14)</f>
        <v>4.7788000000000004</v>
      </c>
      <c r="G218" s="59">
        <f>4.7857 * CHOOSE(CONTROL!$C$27, $C$14, 100%, $E$14)</f>
        <v>4.7857000000000003</v>
      </c>
      <c r="H218" s="59">
        <f>8.9458* CHOOSE(CONTROL!$C$27, $C$14, 100%, $E$14)</f>
        <v>8.9458000000000002</v>
      </c>
      <c r="I218" s="59">
        <f>8.9527 * CHOOSE(CONTROL!$C$27, $C$14, 100%, $E$14)</f>
        <v>8.9527000000000001</v>
      </c>
      <c r="J218" s="59">
        <f>8.9458 * CHOOSE(CONTROL!$C$27, $C$14, 100%, $E$14)</f>
        <v>8.9458000000000002</v>
      </c>
      <c r="K218" s="59">
        <f>8.9527 * CHOOSE(CONTROL!$C$27, $C$14, 100%, $E$14)</f>
        <v>8.9527000000000001</v>
      </c>
      <c r="L218" s="59">
        <f>4.7788 * CHOOSE(CONTROL!$C$27, $C$14, 100%, $E$14)</f>
        <v>4.7788000000000004</v>
      </c>
      <c r="M218" s="59">
        <f>4.7857 * CHOOSE(CONTROL!$C$27, $C$14, 100%, $E$14)</f>
        <v>4.7857000000000003</v>
      </c>
      <c r="N218" s="59">
        <f>4.7788 * CHOOSE(CONTROL!$C$27, $C$14, 100%, $E$14)</f>
        <v>4.7788000000000004</v>
      </c>
      <c r="O218" s="59">
        <f>4.7857 * CHOOSE(CONTROL!$C$27, $C$14, 100%, $E$14)</f>
        <v>4.7857000000000003</v>
      </c>
    </row>
    <row r="219" spans="1:15" ht="15">
      <c r="A219" s="11">
        <v>47757</v>
      </c>
      <c r="B219" s="58">
        <f>4.0286 * CHOOSE(CONTROL!$C$27, $C$14, 100%, $E$14)</f>
        <v>4.0286</v>
      </c>
      <c r="C219" s="58">
        <f>4.0286 * CHOOSE(CONTROL!$C$27, $C$14, 100%, $E$14)</f>
        <v>4.0286</v>
      </c>
      <c r="D219" s="58">
        <f>4.0326 * CHOOSE(CONTROL!$C$27, $C$14, 100%, $E$14)</f>
        <v>4.0326000000000004</v>
      </c>
      <c r="E219" s="59">
        <f>4.7974 * CHOOSE(CONTROL!$C$27, $C$14, 100%, $E$14)</f>
        <v>4.7973999999999997</v>
      </c>
      <c r="F219" s="59">
        <f>4.7974 * CHOOSE(CONTROL!$C$27, $C$14, 100%, $E$14)</f>
        <v>4.7973999999999997</v>
      </c>
      <c r="G219" s="59">
        <f>4.8023 * CHOOSE(CONTROL!$C$27, $C$14, 100%, $E$14)</f>
        <v>4.8022999999999998</v>
      </c>
      <c r="H219" s="59">
        <f>8.9645* CHOOSE(CONTROL!$C$27, $C$14, 100%, $E$14)</f>
        <v>8.9644999999999992</v>
      </c>
      <c r="I219" s="59">
        <f>8.9694 * CHOOSE(CONTROL!$C$27, $C$14, 100%, $E$14)</f>
        <v>8.9694000000000003</v>
      </c>
      <c r="J219" s="59">
        <f>8.9645 * CHOOSE(CONTROL!$C$27, $C$14, 100%, $E$14)</f>
        <v>8.9644999999999992</v>
      </c>
      <c r="K219" s="59">
        <f>8.9694 * CHOOSE(CONTROL!$C$27, $C$14, 100%, $E$14)</f>
        <v>8.9694000000000003</v>
      </c>
      <c r="L219" s="59">
        <f>4.7974 * CHOOSE(CONTROL!$C$27, $C$14, 100%, $E$14)</f>
        <v>4.7973999999999997</v>
      </c>
      <c r="M219" s="59">
        <f>4.8023 * CHOOSE(CONTROL!$C$27, $C$14, 100%, $E$14)</f>
        <v>4.8022999999999998</v>
      </c>
      <c r="N219" s="59">
        <f>4.7974 * CHOOSE(CONTROL!$C$27, $C$14, 100%, $E$14)</f>
        <v>4.7973999999999997</v>
      </c>
      <c r="O219" s="59">
        <f>4.8023 * CHOOSE(CONTROL!$C$27, $C$14, 100%, $E$14)</f>
        <v>4.8022999999999998</v>
      </c>
    </row>
    <row r="220" spans="1:15" ht="15">
      <c r="A220" s="11">
        <v>47788</v>
      </c>
      <c r="B220" s="58">
        <f>4.0316 * CHOOSE(CONTROL!$C$27, $C$14, 100%, $E$14)</f>
        <v>4.0316000000000001</v>
      </c>
      <c r="C220" s="58">
        <f>4.0316 * CHOOSE(CONTROL!$C$27, $C$14, 100%, $E$14)</f>
        <v>4.0316000000000001</v>
      </c>
      <c r="D220" s="58">
        <f>4.0356 * CHOOSE(CONTROL!$C$27, $C$14, 100%, $E$14)</f>
        <v>4.0355999999999996</v>
      </c>
      <c r="E220" s="59">
        <f>4.8155 * CHOOSE(CONTROL!$C$27, $C$14, 100%, $E$14)</f>
        <v>4.8155000000000001</v>
      </c>
      <c r="F220" s="59">
        <f>4.8155 * CHOOSE(CONTROL!$C$27, $C$14, 100%, $E$14)</f>
        <v>4.8155000000000001</v>
      </c>
      <c r="G220" s="59">
        <f>4.8204 * CHOOSE(CONTROL!$C$27, $C$14, 100%, $E$14)</f>
        <v>4.8204000000000002</v>
      </c>
      <c r="H220" s="59">
        <f>8.9831* CHOOSE(CONTROL!$C$27, $C$14, 100%, $E$14)</f>
        <v>8.9831000000000003</v>
      </c>
      <c r="I220" s="59">
        <f>8.988 * CHOOSE(CONTROL!$C$27, $C$14, 100%, $E$14)</f>
        <v>8.9879999999999995</v>
      </c>
      <c r="J220" s="59">
        <f>8.9831 * CHOOSE(CONTROL!$C$27, $C$14, 100%, $E$14)</f>
        <v>8.9831000000000003</v>
      </c>
      <c r="K220" s="59">
        <f>8.988 * CHOOSE(CONTROL!$C$27, $C$14, 100%, $E$14)</f>
        <v>8.9879999999999995</v>
      </c>
      <c r="L220" s="59">
        <f>4.8155 * CHOOSE(CONTROL!$C$27, $C$14, 100%, $E$14)</f>
        <v>4.8155000000000001</v>
      </c>
      <c r="M220" s="59">
        <f>4.8204 * CHOOSE(CONTROL!$C$27, $C$14, 100%, $E$14)</f>
        <v>4.8204000000000002</v>
      </c>
      <c r="N220" s="59">
        <f>4.8155 * CHOOSE(CONTROL!$C$27, $C$14, 100%, $E$14)</f>
        <v>4.8155000000000001</v>
      </c>
      <c r="O220" s="59">
        <f>4.8204 * CHOOSE(CONTROL!$C$27, $C$14, 100%, $E$14)</f>
        <v>4.8204000000000002</v>
      </c>
    </row>
    <row r="221" spans="1:15" ht="15">
      <c r="A221" s="11">
        <v>47818</v>
      </c>
      <c r="B221" s="58">
        <f>4.0316 * CHOOSE(CONTROL!$C$27, $C$14, 100%, $E$14)</f>
        <v>4.0316000000000001</v>
      </c>
      <c r="C221" s="58">
        <f>4.0316 * CHOOSE(CONTROL!$C$27, $C$14, 100%, $E$14)</f>
        <v>4.0316000000000001</v>
      </c>
      <c r="D221" s="58">
        <f>4.0356 * CHOOSE(CONTROL!$C$27, $C$14, 100%, $E$14)</f>
        <v>4.0355999999999996</v>
      </c>
      <c r="E221" s="59">
        <f>4.7755 * CHOOSE(CONTROL!$C$27, $C$14, 100%, $E$14)</f>
        <v>4.7755000000000001</v>
      </c>
      <c r="F221" s="59">
        <f>4.7755 * CHOOSE(CONTROL!$C$27, $C$14, 100%, $E$14)</f>
        <v>4.7755000000000001</v>
      </c>
      <c r="G221" s="59">
        <f>4.7804 * CHOOSE(CONTROL!$C$27, $C$14, 100%, $E$14)</f>
        <v>4.7804000000000002</v>
      </c>
      <c r="H221" s="59">
        <f>9.0018* CHOOSE(CONTROL!$C$27, $C$14, 100%, $E$14)</f>
        <v>9.0017999999999994</v>
      </c>
      <c r="I221" s="59">
        <f>9.0068 * CHOOSE(CONTROL!$C$27, $C$14, 100%, $E$14)</f>
        <v>9.0068000000000001</v>
      </c>
      <c r="J221" s="59">
        <f>9.0018 * CHOOSE(CONTROL!$C$27, $C$14, 100%, $E$14)</f>
        <v>9.0017999999999994</v>
      </c>
      <c r="K221" s="59">
        <f>9.0068 * CHOOSE(CONTROL!$C$27, $C$14, 100%, $E$14)</f>
        <v>9.0068000000000001</v>
      </c>
      <c r="L221" s="59">
        <f>4.7755 * CHOOSE(CONTROL!$C$27, $C$14, 100%, $E$14)</f>
        <v>4.7755000000000001</v>
      </c>
      <c r="M221" s="59">
        <f>4.7804 * CHOOSE(CONTROL!$C$27, $C$14, 100%, $E$14)</f>
        <v>4.7804000000000002</v>
      </c>
      <c r="N221" s="59">
        <f>4.7755 * CHOOSE(CONTROL!$C$27, $C$14, 100%, $E$14)</f>
        <v>4.7755000000000001</v>
      </c>
      <c r="O221" s="59">
        <f>4.7804 * CHOOSE(CONTROL!$C$27, $C$14, 100%, $E$14)</f>
        <v>4.7804000000000002</v>
      </c>
    </row>
    <row r="222" spans="1:15" ht="15">
      <c r="A222" s="11">
        <v>47849</v>
      </c>
      <c r="B222" s="58">
        <f>4.065 * CHOOSE(CONTROL!$C$27, $C$14, 100%, $E$14)</f>
        <v>4.0650000000000004</v>
      </c>
      <c r="C222" s="58">
        <f>4.065 * CHOOSE(CONTROL!$C$27, $C$14, 100%, $E$14)</f>
        <v>4.0650000000000004</v>
      </c>
      <c r="D222" s="58">
        <f>4.069 * CHOOSE(CONTROL!$C$27, $C$14, 100%, $E$14)</f>
        <v>4.069</v>
      </c>
      <c r="E222" s="59">
        <f>4.8568 * CHOOSE(CONTROL!$C$27, $C$14, 100%, $E$14)</f>
        <v>4.8567999999999998</v>
      </c>
      <c r="F222" s="59">
        <f>4.8568 * CHOOSE(CONTROL!$C$27, $C$14, 100%, $E$14)</f>
        <v>4.8567999999999998</v>
      </c>
      <c r="G222" s="59">
        <f>4.8617 * CHOOSE(CONTROL!$C$27, $C$14, 100%, $E$14)</f>
        <v>4.8616999999999999</v>
      </c>
      <c r="H222" s="59">
        <f>9.0206* CHOOSE(CONTROL!$C$27, $C$14, 100%, $E$14)</f>
        <v>9.0206</v>
      </c>
      <c r="I222" s="59">
        <f>9.0255 * CHOOSE(CONTROL!$C$27, $C$14, 100%, $E$14)</f>
        <v>9.0254999999999992</v>
      </c>
      <c r="J222" s="59">
        <f>9.0206 * CHOOSE(CONTROL!$C$27, $C$14, 100%, $E$14)</f>
        <v>9.0206</v>
      </c>
      <c r="K222" s="59">
        <f>9.0255 * CHOOSE(CONTROL!$C$27, $C$14, 100%, $E$14)</f>
        <v>9.0254999999999992</v>
      </c>
      <c r="L222" s="59">
        <f>4.8568 * CHOOSE(CONTROL!$C$27, $C$14, 100%, $E$14)</f>
        <v>4.8567999999999998</v>
      </c>
      <c r="M222" s="59">
        <f>4.8617 * CHOOSE(CONTROL!$C$27, $C$14, 100%, $E$14)</f>
        <v>4.8616999999999999</v>
      </c>
      <c r="N222" s="59">
        <f>4.8568 * CHOOSE(CONTROL!$C$27, $C$14, 100%, $E$14)</f>
        <v>4.8567999999999998</v>
      </c>
      <c r="O222" s="59">
        <f>4.8617 * CHOOSE(CONTROL!$C$27, $C$14, 100%, $E$14)</f>
        <v>4.8616999999999999</v>
      </c>
    </row>
    <row r="223" spans="1:15" ht="15">
      <c r="A223" s="11">
        <v>47880</v>
      </c>
      <c r="B223" s="58">
        <f>4.062 * CHOOSE(CONTROL!$C$27, $C$14, 100%, $E$14)</f>
        <v>4.0620000000000003</v>
      </c>
      <c r="C223" s="58">
        <f>4.062 * CHOOSE(CONTROL!$C$27, $C$14, 100%, $E$14)</f>
        <v>4.0620000000000003</v>
      </c>
      <c r="D223" s="58">
        <f>4.066 * CHOOSE(CONTROL!$C$27, $C$14, 100%, $E$14)</f>
        <v>4.0659999999999998</v>
      </c>
      <c r="E223" s="59">
        <f>4.7772 * CHOOSE(CONTROL!$C$27, $C$14, 100%, $E$14)</f>
        <v>4.7771999999999997</v>
      </c>
      <c r="F223" s="59">
        <f>4.7772 * CHOOSE(CONTROL!$C$27, $C$14, 100%, $E$14)</f>
        <v>4.7771999999999997</v>
      </c>
      <c r="G223" s="59">
        <f>4.7822 * CHOOSE(CONTROL!$C$27, $C$14, 100%, $E$14)</f>
        <v>4.7821999999999996</v>
      </c>
      <c r="H223" s="59">
        <f>9.0394* CHOOSE(CONTROL!$C$27, $C$14, 100%, $E$14)</f>
        <v>9.0394000000000005</v>
      </c>
      <c r="I223" s="59">
        <f>9.0443 * CHOOSE(CONTROL!$C$27, $C$14, 100%, $E$14)</f>
        <v>9.0442999999999998</v>
      </c>
      <c r="J223" s="59">
        <f>9.0394 * CHOOSE(CONTROL!$C$27, $C$14, 100%, $E$14)</f>
        <v>9.0394000000000005</v>
      </c>
      <c r="K223" s="59">
        <f>9.0443 * CHOOSE(CONTROL!$C$27, $C$14, 100%, $E$14)</f>
        <v>9.0442999999999998</v>
      </c>
      <c r="L223" s="59">
        <f>4.7772 * CHOOSE(CONTROL!$C$27, $C$14, 100%, $E$14)</f>
        <v>4.7771999999999997</v>
      </c>
      <c r="M223" s="59">
        <f>4.7822 * CHOOSE(CONTROL!$C$27, $C$14, 100%, $E$14)</f>
        <v>4.7821999999999996</v>
      </c>
      <c r="N223" s="59">
        <f>4.7772 * CHOOSE(CONTROL!$C$27, $C$14, 100%, $E$14)</f>
        <v>4.7771999999999997</v>
      </c>
      <c r="O223" s="59">
        <f>4.7822 * CHOOSE(CONTROL!$C$27, $C$14, 100%, $E$14)</f>
        <v>4.7821999999999996</v>
      </c>
    </row>
    <row r="224" spans="1:15" ht="15">
      <c r="A224" s="11">
        <v>47908</v>
      </c>
      <c r="B224" s="58">
        <f>4.059 * CHOOSE(CONTROL!$C$27, $C$14, 100%, $E$14)</f>
        <v>4.0590000000000002</v>
      </c>
      <c r="C224" s="58">
        <f>4.059 * CHOOSE(CONTROL!$C$27, $C$14, 100%, $E$14)</f>
        <v>4.0590000000000002</v>
      </c>
      <c r="D224" s="58">
        <f>4.063 * CHOOSE(CONTROL!$C$27, $C$14, 100%, $E$14)</f>
        <v>4.0629999999999997</v>
      </c>
      <c r="E224" s="59">
        <f>4.8362 * CHOOSE(CONTROL!$C$27, $C$14, 100%, $E$14)</f>
        <v>4.8361999999999998</v>
      </c>
      <c r="F224" s="59">
        <f>4.8362 * CHOOSE(CONTROL!$C$27, $C$14, 100%, $E$14)</f>
        <v>4.8361999999999998</v>
      </c>
      <c r="G224" s="59">
        <f>4.8411 * CHOOSE(CONTROL!$C$27, $C$14, 100%, $E$14)</f>
        <v>4.8411</v>
      </c>
      <c r="H224" s="59">
        <f>9.0582* CHOOSE(CONTROL!$C$27, $C$14, 100%, $E$14)</f>
        <v>9.0581999999999994</v>
      </c>
      <c r="I224" s="59">
        <f>9.0631 * CHOOSE(CONTROL!$C$27, $C$14, 100%, $E$14)</f>
        <v>9.0631000000000004</v>
      </c>
      <c r="J224" s="59">
        <f>9.0582 * CHOOSE(CONTROL!$C$27, $C$14, 100%, $E$14)</f>
        <v>9.0581999999999994</v>
      </c>
      <c r="K224" s="59">
        <f>9.0631 * CHOOSE(CONTROL!$C$27, $C$14, 100%, $E$14)</f>
        <v>9.0631000000000004</v>
      </c>
      <c r="L224" s="59">
        <f>4.8362 * CHOOSE(CONTROL!$C$27, $C$14, 100%, $E$14)</f>
        <v>4.8361999999999998</v>
      </c>
      <c r="M224" s="59">
        <f>4.8411 * CHOOSE(CONTROL!$C$27, $C$14, 100%, $E$14)</f>
        <v>4.8411</v>
      </c>
      <c r="N224" s="59">
        <f>4.8362 * CHOOSE(CONTROL!$C$27, $C$14, 100%, $E$14)</f>
        <v>4.8361999999999998</v>
      </c>
      <c r="O224" s="59">
        <f>4.8411 * CHOOSE(CONTROL!$C$27, $C$14, 100%, $E$14)</f>
        <v>4.8411</v>
      </c>
    </row>
    <row r="225" spans="1:15" ht="15">
      <c r="A225" s="11">
        <v>47939</v>
      </c>
      <c r="B225" s="58">
        <f>4.0567 * CHOOSE(CONTROL!$C$27, $C$14, 100%, $E$14)</f>
        <v>4.0567000000000002</v>
      </c>
      <c r="C225" s="58">
        <f>4.0567 * CHOOSE(CONTROL!$C$27, $C$14, 100%, $E$14)</f>
        <v>4.0567000000000002</v>
      </c>
      <c r="D225" s="58">
        <f>4.0607 * CHOOSE(CONTROL!$C$27, $C$14, 100%, $E$14)</f>
        <v>4.0606999999999998</v>
      </c>
      <c r="E225" s="59">
        <f>4.8975 * CHOOSE(CONTROL!$C$27, $C$14, 100%, $E$14)</f>
        <v>4.8975</v>
      </c>
      <c r="F225" s="59">
        <f>4.8975 * CHOOSE(CONTROL!$C$27, $C$14, 100%, $E$14)</f>
        <v>4.8975</v>
      </c>
      <c r="G225" s="59">
        <f>4.9024 * CHOOSE(CONTROL!$C$27, $C$14, 100%, $E$14)</f>
        <v>4.9024000000000001</v>
      </c>
      <c r="H225" s="59">
        <f>9.0771* CHOOSE(CONTROL!$C$27, $C$14, 100%, $E$14)</f>
        <v>9.0770999999999997</v>
      </c>
      <c r="I225" s="59">
        <f>9.082 * CHOOSE(CONTROL!$C$27, $C$14, 100%, $E$14)</f>
        <v>9.0820000000000007</v>
      </c>
      <c r="J225" s="59">
        <f>9.0771 * CHOOSE(CONTROL!$C$27, $C$14, 100%, $E$14)</f>
        <v>9.0770999999999997</v>
      </c>
      <c r="K225" s="59">
        <f>9.082 * CHOOSE(CONTROL!$C$27, $C$14, 100%, $E$14)</f>
        <v>9.0820000000000007</v>
      </c>
      <c r="L225" s="59">
        <f>4.8975 * CHOOSE(CONTROL!$C$27, $C$14, 100%, $E$14)</f>
        <v>4.8975</v>
      </c>
      <c r="M225" s="59">
        <f>4.9024 * CHOOSE(CONTROL!$C$27, $C$14, 100%, $E$14)</f>
        <v>4.9024000000000001</v>
      </c>
      <c r="N225" s="59">
        <f>4.8975 * CHOOSE(CONTROL!$C$27, $C$14, 100%, $E$14)</f>
        <v>4.8975</v>
      </c>
      <c r="O225" s="59">
        <f>4.9024 * CHOOSE(CONTROL!$C$27, $C$14, 100%, $E$14)</f>
        <v>4.9024000000000001</v>
      </c>
    </row>
    <row r="226" spans="1:15" ht="15">
      <c r="A226" s="11">
        <v>47969</v>
      </c>
      <c r="B226" s="58">
        <f>4.0567 * CHOOSE(CONTROL!$C$27, $C$14, 100%, $E$14)</f>
        <v>4.0567000000000002</v>
      </c>
      <c r="C226" s="58">
        <f>4.0567 * CHOOSE(CONTROL!$C$27, $C$14, 100%, $E$14)</f>
        <v>4.0567000000000002</v>
      </c>
      <c r="D226" s="58">
        <f>4.0623 * CHOOSE(CONTROL!$C$27, $C$14, 100%, $E$14)</f>
        <v>4.0622999999999996</v>
      </c>
      <c r="E226" s="59">
        <f>4.9221 * CHOOSE(CONTROL!$C$27, $C$14, 100%, $E$14)</f>
        <v>4.9221000000000004</v>
      </c>
      <c r="F226" s="59">
        <f>4.9221 * CHOOSE(CONTROL!$C$27, $C$14, 100%, $E$14)</f>
        <v>4.9221000000000004</v>
      </c>
      <c r="G226" s="59">
        <f>4.929 * CHOOSE(CONTROL!$C$27, $C$14, 100%, $E$14)</f>
        <v>4.9290000000000003</v>
      </c>
      <c r="H226" s="59">
        <f>9.096* CHOOSE(CONTROL!$C$27, $C$14, 100%, $E$14)</f>
        <v>9.0960000000000001</v>
      </c>
      <c r="I226" s="59">
        <f>9.1029 * CHOOSE(CONTROL!$C$27, $C$14, 100%, $E$14)</f>
        <v>9.1029</v>
      </c>
      <c r="J226" s="59">
        <f>9.096 * CHOOSE(CONTROL!$C$27, $C$14, 100%, $E$14)</f>
        <v>9.0960000000000001</v>
      </c>
      <c r="K226" s="59">
        <f>9.1029 * CHOOSE(CONTROL!$C$27, $C$14, 100%, $E$14)</f>
        <v>9.1029</v>
      </c>
      <c r="L226" s="59">
        <f>4.9221 * CHOOSE(CONTROL!$C$27, $C$14, 100%, $E$14)</f>
        <v>4.9221000000000004</v>
      </c>
      <c r="M226" s="59">
        <f>4.929 * CHOOSE(CONTROL!$C$27, $C$14, 100%, $E$14)</f>
        <v>4.9290000000000003</v>
      </c>
      <c r="N226" s="59">
        <f>4.9221 * CHOOSE(CONTROL!$C$27, $C$14, 100%, $E$14)</f>
        <v>4.9221000000000004</v>
      </c>
      <c r="O226" s="59">
        <f>4.929 * CHOOSE(CONTROL!$C$27, $C$14, 100%, $E$14)</f>
        <v>4.9290000000000003</v>
      </c>
    </row>
    <row r="227" spans="1:15" ht="15">
      <c r="A227" s="11">
        <v>48000</v>
      </c>
      <c r="B227" s="58">
        <f>4.0627 * CHOOSE(CONTROL!$C$27, $C$14, 100%, $E$14)</f>
        <v>4.0627000000000004</v>
      </c>
      <c r="C227" s="58">
        <f>4.0627 * CHOOSE(CONTROL!$C$27, $C$14, 100%, $E$14)</f>
        <v>4.0627000000000004</v>
      </c>
      <c r="D227" s="58">
        <f>4.0684 * CHOOSE(CONTROL!$C$27, $C$14, 100%, $E$14)</f>
        <v>4.0683999999999996</v>
      </c>
      <c r="E227" s="59">
        <f>4.9017 * CHOOSE(CONTROL!$C$27, $C$14, 100%, $E$14)</f>
        <v>4.9016999999999999</v>
      </c>
      <c r="F227" s="59">
        <f>4.9017 * CHOOSE(CONTROL!$C$27, $C$14, 100%, $E$14)</f>
        <v>4.9016999999999999</v>
      </c>
      <c r="G227" s="59">
        <f>4.9086 * CHOOSE(CONTROL!$C$27, $C$14, 100%, $E$14)</f>
        <v>4.9085999999999999</v>
      </c>
      <c r="H227" s="59">
        <f>9.115* CHOOSE(CONTROL!$C$27, $C$14, 100%, $E$14)</f>
        <v>9.1150000000000002</v>
      </c>
      <c r="I227" s="59">
        <f>9.1218 * CHOOSE(CONTROL!$C$27, $C$14, 100%, $E$14)</f>
        <v>9.1218000000000004</v>
      </c>
      <c r="J227" s="59">
        <f>9.115 * CHOOSE(CONTROL!$C$27, $C$14, 100%, $E$14)</f>
        <v>9.1150000000000002</v>
      </c>
      <c r="K227" s="59">
        <f>9.1218 * CHOOSE(CONTROL!$C$27, $C$14, 100%, $E$14)</f>
        <v>9.1218000000000004</v>
      </c>
      <c r="L227" s="59">
        <f>4.9017 * CHOOSE(CONTROL!$C$27, $C$14, 100%, $E$14)</f>
        <v>4.9016999999999999</v>
      </c>
      <c r="M227" s="59">
        <f>4.9086 * CHOOSE(CONTROL!$C$27, $C$14, 100%, $E$14)</f>
        <v>4.9085999999999999</v>
      </c>
      <c r="N227" s="59">
        <f>4.9017 * CHOOSE(CONTROL!$C$27, $C$14, 100%, $E$14)</f>
        <v>4.9016999999999999</v>
      </c>
      <c r="O227" s="59">
        <f>4.9086 * CHOOSE(CONTROL!$C$27, $C$14, 100%, $E$14)</f>
        <v>4.9085999999999999</v>
      </c>
    </row>
    <row r="228" spans="1:15" ht="15">
      <c r="A228" s="11">
        <v>48030</v>
      </c>
      <c r="B228" s="58">
        <f>4.1241 * CHOOSE(CONTROL!$C$27, $C$14, 100%, $E$14)</f>
        <v>4.1241000000000003</v>
      </c>
      <c r="C228" s="58">
        <f>4.1241 * CHOOSE(CONTROL!$C$27, $C$14, 100%, $E$14)</f>
        <v>4.1241000000000003</v>
      </c>
      <c r="D228" s="58">
        <f>4.1297 * CHOOSE(CONTROL!$C$27, $C$14, 100%, $E$14)</f>
        <v>4.1296999999999997</v>
      </c>
      <c r="E228" s="59">
        <f>5.0209 * CHOOSE(CONTROL!$C$27, $C$14, 100%, $E$14)</f>
        <v>5.0209000000000001</v>
      </c>
      <c r="F228" s="59">
        <f>5.0209 * CHOOSE(CONTROL!$C$27, $C$14, 100%, $E$14)</f>
        <v>5.0209000000000001</v>
      </c>
      <c r="G228" s="59">
        <f>5.0278 * CHOOSE(CONTROL!$C$27, $C$14, 100%, $E$14)</f>
        <v>5.0278</v>
      </c>
      <c r="H228" s="59">
        <f>9.1339* CHOOSE(CONTROL!$C$27, $C$14, 100%, $E$14)</f>
        <v>9.1339000000000006</v>
      </c>
      <c r="I228" s="59">
        <f>9.1408 * CHOOSE(CONTROL!$C$27, $C$14, 100%, $E$14)</f>
        <v>9.1408000000000005</v>
      </c>
      <c r="J228" s="59">
        <f>9.1339 * CHOOSE(CONTROL!$C$27, $C$14, 100%, $E$14)</f>
        <v>9.1339000000000006</v>
      </c>
      <c r="K228" s="59">
        <f>9.1408 * CHOOSE(CONTROL!$C$27, $C$14, 100%, $E$14)</f>
        <v>9.1408000000000005</v>
      </c>
      <c r="L228" s="59">
        <f>5.0209 * CHOOSE(CONTROL!$C$27, $C$14, 100%, $E$14)</f>
        <v>5.0209000000000001</v>
      </c>
      <c r="M228" s="59">
        <f>5.0278 * CHOOSE(CONTROL!$C$27, $C$14, 100%, $E$14)</f>
        <v>5.0278</v>
      </c>
      <c r="N228" s="59">
        <f>5.0209 * CHOOSE(CONTROL!$C$27, $C$14, 100%, $E$14)</f>
        <v>5.0209000000000001</v>
      </c>
      <c r="O228" s="59">
        <f>5.0278 * CHOOSE(CONTROL!$C$27, $C$14, 100%, $E$14)</f>
        <v>5.0278</v>
      </c>
    </row>
    <row r="229" spans="1:15" ht="15">
      <c r="A229" s="11">
        <v>48061</v>
      </c>
      <c r="B229" s="58">
        <f>4.1308 * CHOOSE(CONTROL!$C$27, $C$14, 100%, $E$14)</f>
        <v>4.1307999999999998</v>
      </c>
      <c r="C229" s="58">
        <f>4.1308 * CHOOSE(CONTROL!$C$27, $C$14, 100%, $E$14)</f>
        <v>4.1307999999999998</v>
      </c>
      <c r="D229" s="58">
        <f>4.1364 * CHOOSE(CONTROL!$C$27, $C$14, 100%, $E$14)</f>
        <v>4.1364000000000001</v>
      </c>
      <c r="E229" s="59">
        <f>4.9519 * CHOOSE(CONTROL!$C$27, $C$14, 100%, $E$14)</f>
        <v>4.9519000000000002</v>
      </c>
      <c r="F229" s="59">
        <f>4.9519 * CHOOSE(CONTROL!$C$27, $C$14, 100%, $E$14)</f>
        <v>4.9519000000000002</v>
      </c>
      <c r="G229" s="59">
        <f>4.9587 * CHOOSE(CONTROL!$C$27, $C$14, 100%, $E$14)</f>
        <v>4.9587000000000003</v>
      </c>
      <c r="H229" s="59">
        <f>9.153* CHOOSE(CONTROL!$C$27, $C$14, 100%, $E$14)</f>
        <v>9.1530000000000005</v>
      </c>
      <c r="I229" s="59">
        <f>9.1599 * CHOOSE(CONTROL!$C$27, $C$14, 100%, $E$14)</f>
        <v>9.1599000000000004</v>
      </c>
      <c r="J229" s="59">
        <f>9.153 * CHOOSE(CONTROL!$C$27, $C$14, 100%, $E$14)</f>
        <v>9.1530000000000005</v>
      </c>
      <c r="K229" s="59">
        <f>9.1599 * CHOOSE(CONTROL!$C$27, $C$14, 100%, $E$14)</f>
        <v>9.1599000000000004</v>
      </c>
      <c r="L229" s="59">
        <f>4.9519 * CHOOSE(CONTROL!$C$27, $C$14, 100%, $E$14)</f>
        <v>4.9519000000000002</v>
      </c>
      <c r="M229" s="59">
        <f>4.9587 * CHOOSE(CONTROL!$C$27, $C$14, 100%, $E$14)</f>
        <v>4.9587000000000003</v>
      </c>
      <c r="N229" s="59">
        <f>4.9519 * CHOOSE(CONTROL!$C$27, $C$14, 100%, $E$14)</f>
        <v>4.9519000000000002</v>
      </c>
      <c r="O229" s="59">
        <f>4.9587 * CHOOSE(CONTROL!$C$27, $C$14, 100%, $E$14)</f>
        <v>4.9587000000000003</v>
      </c>
    </row>
    <row r="230" spans="1:15" ht="15">
      <c r="A230" s="11">
        <v>48092</v>
      </c>
      <c r="B230" s="58">
        <f>4.1278 * CHOOSE(CONTROL!$C$27, $C$14, 100%, $E$14)</f>
        <v>4.1277999999999997</v>
      </c>
      <c r="C230" s="58">
        <f>4.1278 * CHOOSE(CONTROL!$C$27, $C$14, 100%, $E$14)</f>
        <v>4.1277999999999997</v>
      </c>
      <c r="D230" s="58">
        <f>4.1334 * CHOOSE(CONTROL!$C$27, $C$14, 100%, $E$14)</f>
        <v>4.1334</v>
      </c>
      <c r="E230" s="59">
        <f>4.9415 * CHOOSE(CONTROL!$C$27, $C$14, 100%, $E$14)</f>
        <v>4.9414999999999996</v>
      </c>
      <c r="F230" s="59">
        <f>4.9415 * CHOOSE(CONTROL!$C$27, $C$14, 100%, $E$14)</f>
        <v>4.9414999999999996</v>
      </c>
      <c r="G230" s="59">
        <f>4.9484 * CHOOSE(CONTROL!$C$27, $C$14, 100%, $E$14)</f>
        <v>4.9484000000000004</v>
      </c>
      <c r="H230" s="59">
        <f>9.172* CHOOSE(CONTROL!$C$27, $C$14, 100%, $E$14)</f>
        <v>9.1720000000000006</v>
      </c>
      <c r="I230" s="59">
        <f>9.1789 * CHOOSE(CONTROL!$C$27, $C$14, 100%, $E$14)</f>
        <v>9.1789000000000005</v>
      </c>
      <c r="J230" s="59">
        <f>9.172 * CHOOSE(CONTROL!$C$27, $C$14, 100%, $E$14)</f>
        <v>9.1720000000000006</v>
      </c>
      <c r="K230" s="59">
        <f>9.1789 * CHOOSE(CONTROL!$C$27, $C$14, 100%, $E$14)</f>
        <v>9.1789000000000005</v>
      </c>
      <c r="L230" s="59">
        <f>4.9415 * CHOOSE(CONTROL!$C$27, $C$14, 100%, $E$14)</f>
        <v>4.9414999999999996</v>
      </c>
      <c r="M230" s="59">
        <f>4.9484 * CHOOSE(CONTROL!$C$27, $C$14, 100%, $E$14)</f>
        <v>4.9484000000000004</v>
      </c>
      <c r="N230" s="59">
        <f>4.9415 * CHOOSE(CONTROL!$C$27, $C$14, 100%, $E$14)</f>
        <v>4.9414999999999996</v>
      </c>
      <c r="O230" s="59">
        <f>4.9484 * CHOOSE(CONTROL!$C$27, $C$14, 100%, $E$14)</f>
        <v>4.9484000000000004</v>
      </c>
    </row>
    <row r="231" spans="1:15" ht="15">
      <c r="A231" s="11">
        <v>48122</v>
      </c>
      <c r="B231" s="58">
        <f>4.1232 * CHOOSE(CONTROL!$C$27, $C$14, 100%, $E$14)</f>
        <v>4.1231999999999998</v>
      </c>
      <c r="C231" s="58">
        <f>4.1232 * CHOOSE(CONTROL!$C$27, $C$14, 100%, $E$14)</f>
        <v>4.1231999999999998</v>
      </c>
      <c r="D231" s="58">
        <f>4.1272 * CHOOSE(CONTROL!$C$27, $C$14, 100%, $E$14)</f>
        <v>4.1272000000000002</v>
      </c>
      <c r="E231" s="59">
        <f>4.9609 * CHOOSE(CONTROL!$C$27, $C$14, 100%, $E$14)</f>
        <v>4.9608999999999996</v>
      </c>
      <c r="F231" s="59">
        <f>4.9609 * CHOOSE(CONTROL!$C$27, $C$14, 100%, $E$14)</f>
        <v>4.9608999999999996</v>
      </c>
      <c r="G231" s="59">
        <f>4.9658 * CHOOSE(CONTROL!$C$27, $C$14, 100%, $E$14)</f>
        <v>4.9657999999999998</v>
      </c>
      <c r="H231" s="59">
        <f>9.1911* CHOOSE(CONTROL!$C$27, $C$14, 100%, $E$14)</f>
        <v>9.1911000000000005</v>
      </c>
      <c r="I231" s="59">
        <f>9.1961 * CHOOSE(CONTROL!$C$27, $C$14, 100%, $E$14)</f>
        <v>9.1960999999999995</v>
      </c>
      <c r="J231" s="59">
        <f>9.1911 * CHOOSE(CONTROL!$C$27, $C$14, 100%, $E$14)</f>
        <v>9.1911000000000005</v>
      </c>
      <c r="K231" s="59">
        <f>9.1961 * CHOOSE(CONTROL!$C$27, $C$14, 100%, $E$14)</f>
        <v>9.1960999999999995</v>
      </c>
      <c r="L231" s="59">
        <f>4.9609 * CHOOSE(CONTROL!$C$27, $C$14, 100%, $E$14)</f>
        <v>4.9608999999999996</v>
      </c>
      <c r="M231" s="59">
        <f>4.9658 * CHOOSE(CONTROL!$C$27, $C$14, 100%, $E$14)</f>
        <v>4.9657999999999998</v>
      </c>
      <c r="N231" s="59">
        <f>4.9609 * CHOOSE(CONTROL!$C$27, $C$14, 100%, $E$14)</f>
        <v>4.9608999999999996</v>
      </c>
      <c r="O231" s="59">
        <f>4.9658 * CHOOSE(CONTROL!$C$27, $C$14, 100%, $E$14)</f>
        <v>4.9657999999999998</v>
      </c>
    </row>
    <row r="232" spans="1:15" ht="15">
      <c r="A232" s="11">
        <v>48153</v>
      </c>
      <c r="B232" s="58">
        <f>4.1263 * CHOOSE(CONTROL!$C$27, $C$14, 100%, $E$14)</f>
        <v>4.1262999999999996</v>
      </c>
      <c r="C232" s="58">
        <f>4.1263 * CHOOSE(CONTROL!$C$27, $C$14, 100%, $E$14)</f>
        <v>4.1262999999999996</v>
      </c>
      <c r="D232" s="58">
        <f>4.1303 * CHOOSE(CONTROL!$C$27, $C$14, 100%, $E$14)</f>
        <v>4.1303000000000001</v>
      </c>
      <c r="E232" s="59">
        <f>4.9794 * CHOOSE(CONTROL!$C$27, $C$14, 100%, $E$14)</f>
        <v>4.9794</v>
      </c>
      <c r="F232" s="59">
        <f>4.9794 * CHOOSE(CONTROL!$C$27, $C$14, 100%, $E$14)</f>
        <v>4.9794</v>
      </c>
      <c r="G232" s="59">
        <f>4.9843 * CHOOSE(CONTROL!$C$27, $C$14, 100%, $E$14)</f>
        <v>4.9843000000000002</v>
      </c>
      <c r="H232" s="59">
        <f>9.2103* CHOOSE(CONTROL!$C$27, $C$14, 100%, $E$14)</f>
        <v>9.2103000000000002</v>
      </c>
      <c r="I232" s="59">
        <f>9.2152 * CHOOSE(CONTROL!$C$27, $C$14, 100%, $E$14)</f>
        <v>9.2151999999999994</v>
      </c>
      <c r="J232" s="59">
        <f>9.2103 * CHOOSE(CONTROL!$C$27, $C$14, 100%, $E$14)</f>
        <v>9.2103000000000002</v>
      </c>
      <c r="K232" s="59">
        <f>9.2152 * CHOOSE(CONTROL!$C$27, $C$14, 100%, $E$14)</f>
        <v>9.2151999999999994</v>
      </c>
      <c r="L232" s="59">
        <f>4.9794 * CHOOSE(CONTROL!$C$27, $C$14, 100%, $E$14)</f>
        <v>4.9794</v>
      </c>
      <c r="M232" s="59">
        <f>4.9843 * CHOOSE(CONTROL!$C$27, $C$14, 100%, $E$14)</f>
        <v>4.9843000000000002</v>
      </c>
      <c r="N232" s="59">
        <f>4.9794 * CHOOSE(CONTROL!$C$27, $C$14, 100%, $E$14)</f>
        <v>4.9794</v>
      </c>
      <c r="O232" s="59">
        <f>4.9843 * CHOOSE(CONTROL!$C$27, $C$14, 100%, $E$14)</f>
        <v>4.9843000000000002</v>
      </c>
    </row>
    <row r="233" spans="1:15" ht="15">
      <c r="A233" s="11">
        <v>48183</v>
      </c>
      <c r="B233" s="58">
        <f>4.1263 * CHOOSE(CONTROL!$C$27, $C$14, 100%, $E$14)</f>
        <v>4.1262999999999996</v>
      </c>
      <c r="C233" s="58">
        <f>4.1263 * CHOOSE(CONTROL!$C$27, $C$14, 100%, $E$14)</f>
        <v>4.1262999999999996</v>
      </c>
      <c r="D233" s="58">
        <f>4.1303 * CHOOSE(CONTROL!$C$27, $C$14, 100%, $E$14)</f>
        <v>4.1303000000000001</v>
      </c>
      <c r="E233" s="59">
        <f>4.9384 * CHOOSE(CONTROL!$C$27, $C$14, 100%, $E$14)</f>
        <v>4.9383999999999997</v>
      </c>
      <c r="F233" s="59">
        <f>4.9384 * CHOOSE(CONTROL!$C$27, $C$14, 100%, $E$14)</f>
        <v>4.9383999999999997</v>
      </c>
      <c r="G233" s="59">
        <f>4.9434 * CHOOSE(CONTROL!$C$27, $C$14, 100%, $E$14)</f>
        <v>4.9433999999999996</v>
      </c>
      <c r="H233" s="59">
        <f>9.2295* CHOOSE(CONTROL!$C$27, $C$14, 100%, $E$14)</f>
        <v>9.2294999999999998</v>
      </c>
      <c r="I233" s="59">
        <f>9.2344 * CHOOSE(CONTROL!$C$27, $C$14, 100%, $E$14)</f>
        <v>9.2344000000000008</v>
      </c>
      <c r="J233" s="59">
        <f>9.2295 * CHOOSE(CONTROL!$C$27, $C$14, 100%, $E$14)</f>
        <v>9.2294999999999998</v>
      </c>
      <c r="K233" s="59">
        <f>9.2344 * CHOOSE(CONTROL!$C$27, $C$14, 100%, $E$14)</f>
        <v>9.2344000000000008</v>
      </c>
      <c r="L233" s="59">
        <f>4.9384 * CHOOSE(CONTROL!$C$27, $C$14, 100%, $E$14)</f>
        <v>4.9383999999999997</v>
      </c>
      <c r="M233" s="59">
        <f>4.9434 * CHOOSE(CONTROL!$C$27, $C$14, 100%, $E$14)</f>
        <v>4.9433999999999996</v>
      </c>
      <c r="N233" s="59">
        <f>4.9384 * CHOOSE(CONTROL!$C$27, $C$14, 100%, $E$14)</f>
        <v>4.9383999999999997</v>
      </c>
      <c r="O233" s="59">
        <f>4.9434 * CHOOSE(CONTROL!$C$27, $C$14, 100%, $E$14)</f>
        <v>4.9433999999999996</v>
      </c>
    </row>
    <row r="234" spans="1:15" ht="15">
      <c r="A234" s="11">
        <v>48214</v>
      </c>
      <c r="B234" s="58">
        <f>4.1645 * CHOOSE(CONTROL!$C$27, $C$14, 100%, $E$14)</f>
        <v>4.1645000000000003</v>
      </c>
      <c r="C234" s="58">
        <f>4.1645 * CHOOSE(CONTROL!$C$27, $C$14, 100%, $E$14)</f>
        <v>4.1645000000000003</v>
      </c>
      <c r="D234" s="58">
        <f>4.1685 * CHOOSE(CONTROL!$C$27, $C$14, 100%, $E$14)</f>
        <v>4.1684999999999999</v>
      </c>
      <c r="E234" s="59">
        <f>5.0152 * CHOOSE(CONTROL!$C$27, $C$14, 100%, $E$14)</f>
        <v>5.0152000000000001</v>
      </c>
      <c r="F234" s="59">
        <f>5.0152 * CHOOSE(CONTROL!$C$27, $C$14, 100%, $E$14)</f>
        <v>5.0152000000000001</v>
      </c>
      <c r="G234" s="59">
        <f>5.0201 * CHOOSE(CONTROL!$C$27, $C$14, 100%, $E$14)</f>
        <v>5.0201000000000002</v>
      </c>
      <c r="H234" s="59">
        <f>9.2487* CHOOSE(CONTROL!$C$27, $C$14, 100%, $E$14)</f>
        <v>9.2486999999999995</v>
      </c>
      <c r="I234" s="59">
        <f>9.2536 * CHOOSE(CONTROL!$C$27, $C$14, 100%, $E$14)</f>
        <v>9.2536000000000005</v>
      </c>
      <c r="J234" s="59">
        <f>9.2487 * CHOOSE(CONTROL!$C$27, $C$14, 100%, $E$14)</f>
        <v>9.2486999999999995</v>
      </c>
      <c r="K234" s="59">
        <f>9.2536 * CHOOSE(CONTROL!$C$27, $C$14, 100%, $E$14)</f>
        <v>9.2536000000000005</v>
      </c>
      <c r="L234" s="59">
        <f>5.0152 * CHOOSE(CONTROL!$C$27, $C$14, 100%, $E$14)</f>
        <v>5.0152000000000001</v>
      </c>
      <c r="M234" s="59">
        <f>5.0201 * CHOOSE(CONTROL!$C$27, $C$14, 100%, $E$14)</f>
        <v>5.0201000000000002</v>
      </c>
      <c r="N234" s="59">
        <f>5.0152 * CHOOSE(CONTROL!$C$27, $C$14, 100%, $E$14)</f>
        <v>5.0152000000000001</v>
      </c>
      <c r="O234" s="59">
        <f>5.0201 * CHOOSE(CONTROL!$C$27, $C$14, 100%, $E$14)</f>
        <v>5.0201000000000002</v>
      </c>
    </row>
    <row r="235" spans="1:15" ht="15">
      <c r="A235" s="11">
        <v>48245</v>
      </c>
      <c r="B235" s="58">
        <f>4.1614 * CHOOSE(CONTROL!$C$27, $C$14, 100%, $E$14)</f>
        <v>4.1614000000000004</v>
      </c>
      <c r="C235" s="58">
        <f>4.1614 * CHOOSE(CONTROL!$C$27, $C$14, 100%, $E$14)</f>
        <v>4.1614000000000004</v>
      </c>
      <c r="D235" s="58">
        <f>4.1654 * CHOOSE(CONTROL!$C$27, $C$14, 100%, $E$14)</f>
        <v>4.1654</v>
      </c>
      <c r="E235" s="59">
        <f>4.9336 * CHOOSE(CONTROL!$C$27, $C$14, 100%, $E$14)</f>
        <v>4.9336000000000002</v>
      </c>
      <c r="F235" s="59">
        <f>4.9336 * CHOOSE(CONTROL!$C$27, $C$14, 100%, $E$14)</f>
        <v>4.9336000000000002</v>
      </c>
      <c r="G235" s="59">
        <f>4.9385 * CHOOSE(CONTROL!$C$27, $C$14, 100%, $E$14)</f>
        <v>4.9385000000000003</v>
      </c>
      <c r="H235" s="59">
        <f>9.268* CHOOSE(CONTROL!$C$27, $C$14, 100%, $E$14)</f>
        <v>9.2680000000000007</v>
      </c>
      <c r="I235" s="59">
        <f>9.2729 * CHOOSE(CONTROL!$C$27, $C$14, 100%, $E$14)</f>
        <v>9.2728999999999999</v>
      </c>
      <c r="J235" s="59">
        <f>9.268 * CHOOSE(CONTROL!$C$27, $C$14, 100%, $E$14)</f>
        <v>9.2680000000000007</v>
      </c>
      <c r="K235" s="59">
        <f>9.2729 * CHOOSE(CONTROL!$C$27, $C$14, 100%, $E$14)</f>
        <v>9.2728999999999999</v>
      </c>
      <c r="L235" s="59">
        <f>4.9336 * CHOOSE(CONTROL!$C$27, $C$14, 100%, $E$14)</f>
        <v>4.9336000000000002</v>
      </c>
      <c r="M235" s="59">
        <f>4.9385 * CHOOSE(CONTROL!$C$27, $C$14, 100%, $E$14)</f>
        <v>4.9385000000000003</v>
      </c>
      <c r="N235" s="59">
        <f>4.9336 * CHOOSE(CONTROL!$C$27, $C$14, 100%, $E$14)</f>
        <v>4.9336000000000002</v>
      </c>
      <c r="O235" s="59">
        <f>4.9385 * CHOOSE(CONTROL!$C$27, $C$14, 100%, $E$14)</f>
        <v>4.9385000000000003</v>
      </c>
    </row>
    <row r="236" spans="1:15" ht="15">
      <c r="A236" s="11">
        <v>48274</v>
      </c>
      <c r="B236" s="58">
        <f>4.1584 * CHOOSE(CONTROL!$C$27, $C$14, 100%, $E$14)</f>
        <v>4.1584000000000003</v>
      </c>
      <c r="C236" s="58">
        <f>4.1584 * CHOOSE(CONTROL!$C$27, $C$14, 100%, $E$14)</f>
        <v>4.1584000000000003</v>
      </c>
      <c r="D236" s="58">
        <f>4.1624 * CHOOSE(CONTROL!$C$27, $C$14, 100%, $E$14)</f>
        <v>4.1623999999999999</v>
      </c>
      <c r="E236" s="59">
        <f>4.9942 * CHOOSE(CONTROL!$C$27, $C$14, 100%, $E$14)</f>
        <v>4.9942000000000002</v>
      </c>
      <c r="F236" s="59">
        <f>4.9942 * CHOOSE(CONTROL!$C$27, $C$14, 100%, $E$14)</f>
        <v>4.9942000000000002</v>
      </c>
      <c r="G236" s="59">
        <f>4.9991 * CHOOSE(CONTROL!$C$27, $C$14, 100%, $E$14)</f>
        <v>4.9991000000000003</v>
      </c>
      <c r="H236" s="59">
        <f>9.2873* CHOOSE(CONTROL!$C$27, $C$14, 100%, $E$14)</f>
        <v>9.2873000000000001</v>
      </c>
      <c r="I236" s="59">
        <f>9.2922 * CHOOSE(CONTROL!$C$27, $C$14, 100%, $E$14)</f>
        <v>9.2921999999999993</v>
      </c>
      <c r="J236" s="59">
        <f>9.2873 * CHOOSE(CONTROL!$C$27, $C$14, 100%, $E$14)</f>
        <v>9.2873000000000001</v>
      </c>
      <c r="K236" s="59">
        <f>9.2922 * CHOOSE(CONTROL!$C$27, $C$14, 100%, $E$14)</f>
        <v>9.2921999999999993</v>
      </c>
      <c r="L236" s="59">
        <f>4.9942 * CHOOSE(CONTROL!$C$27, $C$14, 100%, $E$14)</f>
        <v>4.9942000000000002</v>
      </c>
      <c r="M236" s="59">
        <f>4.9991 * CHOOSE(CONTROL!$C$27, $C$14, 100%, $E$14)</f>
        <v>4.9991000000000003</v>
      </c>
      <c r="N236" s="59">
        <f>4.9942 * CHOOSE(CONTROL!$C$27, $C$14, 100%, $E$14)</f>
        <v>4.9942000000000002</v>
      </c>
      <c r="O236" s="59">
        <f>4.9991 * CHOOSE(CONTROL!$C$27, $C$14, 100%, $E$14)</f>
        <v>4.9991000000000003</v>
      </c>
    </row>
    <row r="237" spans="1:15" ht="15">
      <c r="A237" s="11">
        <v>48305</v>
      </c>
      <c r="B237" s="58">
        <f>4.1562 * CHOOSE(CONTROL!$C$27, $C$14, 100%, $E$14)</f>
        <v>4.1562000000000001</v>
      </c>
      <c r="C237" s="58">
        <f>4.1562 * CHOOSE(CONTROL!$C$27, $C$14, 100%, $E$14)</f>
        <v>4.1562000000000001</v>
      </c>
      <c r="D237" s="58">
        <f>4.1602 * CHOOSE(CONTROL!$C$27, $C$14, 100%, $E$14)</f>
        <v>4.1601999999999997</v>
      </c>
      <c r="E237" s="59">
        <f>5.0572 * CHOOSE(CONTROL!$C$27, $C$14, 100%, $E$14)</f>
        <v>5.0571999999999999</v>
      </c>
      <c r="F237" s="59">
        <f>5.0572 * CHOOSE(CONTROL!$C$27, $C$14, 100%, $E$14)</f>
        <v>5.0571999999999999</v>
      </c>
      <c r="G237" s="59">
        <f>5.0622 * CHOOSE(CONTROL!$C$27, $C$14, 100%, $E$14)</f>
        <v>5.0621999999999998</v>
      </c>
      <c r="H237" s="59">
        <f>9.3066* CHOOSE(CONTROL!$C$27, $C$14, 100%, $E$14)</f>
        <v>9.3065999999999995</v>
      </c>
      <c r="I237" s="59">
        <f>9.3116 * CHOOSE(CONTROL!$C$27, $C$14, 100%, $E$14)</f>
        <v>9.3116000000000003</v>
      </c>
      <c r="J237" s="59">
        <f>9.3066 * CHOOSE(CONTROL!$C$27, $C$14, 100%, $E$14)</f>
        <v>9.3065999999999995</v>
      </c>
      <c r="K237" s="59">
        <f>9.3116 * CHOOSE(CONTROL!$C$27, $C$14, 100%, $E$14)</f>
        <v>9.3116000000000003</v>
      </c>
      <c r="L237" s="59">
        <f>5.0572 * CHOOSE(CONTROL!$C$27, $C$14, 100%, $E$14)</f>
        <v>5.0571999999999999</v>
      </c>
      <c r="M237" s="59">
        <f>5.0622 * CHOOSE(CONTROL!$C$27, $C$14, 100%, $E$14)</f>
        <v>5.0621999999999998</v>
      </c>
      <c r="N237" s="59">
        <f>5.0572 * CHOOSE(CONTROL!$C$27, $C$14, 100%, $E$14)</f>
        <v>5.0571999999999999</v>
      </c>
      <c r="O237" s="59">
        <f>5.0622 * CHOOSE(CONTROL!$C$27, $C$14, 100%, $E$14)</f>
        <v>5.0621999999999998</v>
      </c>
    </row>
    <row r="238" spans="1:15" ht="15">
      <c r="A238" s="11">
        <v>48335</v>
      </c>
      <c r="B238" s="58">
        <f>4.1562 * CHOOSE(CONTROL!$C$27, $C$14, 100%, $E$14)</f>
        <v>4.1562000000000001</v>
      </c>
      <c r="C238" s="58">
        <f>4.1562 * CHOOSE(CONTROL!$C$27, $C$14, 100%, $E$14)</f>
        <v>4.1562000000000001</v>
      </c>
      <c r="D238" s="58">
        <f>4.1618 * CHOOSE(CONTROL!$C$27, $C$14, 100%, $E$14)</f>
        <v>4.1618000000000004</v>
      </c>
      <c r="E238" s="59">
        <f>5.0825 * CHOOSE(CONTROL!$C$27, $C$14, 100%, $E$14)</f>
        <v>5.0824999999999996</v>
      </c>
      <c r="F238" s="59">
        <f>5.0825 * CHOOSE(CONTROL!$C$27, $C$14, 100%, $E$14)</f>
        <v>5.0824999999999996</v>
      </c>
      <c r="G238" s="59">
        <f>5.0894 * CHOOSE(CONTROL!$C$27, $C$14, 100%, $E$14)</f>
        <v>5.0894000000000004</v>
      </c>
      <c r="H238" s="59">
        <f>9.326* CHOOSE(CONTROL!$C$27, $C$14, 100%, $E$14)</f>
        <v>9.3260000000000005</v>
      </c>
      <c r="I238" s="59">
        <f>9.3329 * CHOOSE(CONTROL!$C$27, $C$14, 100%, $E$14)</f>
        <v>9.3329000000000004</v>
      </c>
      <c r="J238" s="59">
        <f>9.326 * CHOOSE(CONTROL!$C$27, $C$14, 100%, $E$14)</f>
        <v>9.3260000000000005</v>
      </c>
      <c r="K238" s="59">
        <f>9.3329 * CHOOSE(CONTROL!$C$27, $C$14, 100%, $E$14)</f>
        <v>9.3329000000000004</v>
      </c>
      <c r="L238" s="59">
        <f>5.0825 * CHOOSE(CONTROL!$C$27, $C$14, 100%, $E$14)</f>
        <v>5.0824999999999996</v>
      </c>
      <c r="M238" s="59">
        <f>5.0894 * CHOOSE(CONTROL!$C$27, $C$14, 100%, $E$14)</f>
        <v>5.0894000000000004</v>
      </c>
      <c r="N238" s="59">
        <f>5.0825 * CHOOSE(CONTROL!$C$27, $C$14, 100%, $E$14)</f>
        <v>5.0824999999999996</v>
      </c>
      <c r="O238" s="59">
        <f>5.0894 * CHOOSE(CONTROL!$C$27, $C$14, 100%, $E$14)</f>
        <v>5.0894000000000004</v>
      </c>
    </row>
    <row r="239" spans="1:15" ht="15">
      <c r="A239" s="11">
        <v>48366</v>
      </c>
      <c r="B239" s="58">
        <f>4.1623 * CHOOSE(CONTROL!$C$27, $C$14, 100%, $E$14)</f>
        <v>4.1623000000000001</v>
      </c>
      <c r="C239" s="58">
        <f>4.1623 * CHOOSE(CONTROL!$C$27, $C$14, 100%, $E$14)</f>
        <v>4.1623000000000001</v>
      </c>
      <c r="D239" s="58">
        <f>4.1679 * CHOOSE(CONTROL!$C$27, $C$14, 100%, $E$14)</f>
        <v>4.1679000000000004</v>
      </c>
      <c r="E239" s="59">
        <f>5.0615 * CHOOSE(CONTROL!$C$27, $C$14, 100%, $E$14)</f>
        <v>5.0614999999999997</v>
      </c>
      <c r="F239" s="59">
        <f>5.0615 * CHOOSE(CONTROL!$C$27, $C$14, 100%, $E$14)</f>
        <v>5.0614999999999997</v>
      </c>
      <c r="G239" s="59">
        <f>5.0684 * CHOOSE(CONTROL!$C$27, $C$14, 100%, $E$14)</f>
        <v>5.0683999999999996</v>
      </c>
      <c r="H239" s="59">
        <f>9.3455* CHOOSE(CONTROL!$C$27, $C$14, 100%, $E$14)</f>
        <v>9.3454999999999995</v>
      </c>
      <c r="I239" s="59">
        <f>9.3523 * CHOOSE(CONTROL!$C$27, $C$14, 100%, $E$14)</f>
        <v>9.3522999999999996</v>
      </c>
      <c r="J239" s="59">
        <f>9.3455 * CHOOSE(CONTROL!$C$27, $C$14, 100%, $E$14)</f>
        <v>9.3454999999999995</v>
      </c>
      <c r="K239" s="59">
        <f>9.3523 * CHOOSE(CONTROL!$C$27, $C$14, 100%, $E$14)</f>
        <v>9.3522999999999996</v>
      </c>
      <c r="L239" s="59">
        <f>5.0615 * CHOOSE(CONTROL!$C$27, $C$14, 100%, $E$14)</f>
        <v>5.0614999999999997</v>
      </c>
      <c r="M239" s="59">
        <f>5.0684 * CHOOSE(CONTROL!$C$27, $C$14, 100%, $E$14)</f>
        <v>5.0683999999999996</v>
      </c>
      <c r="N239" s="59">
        <f>5.0615 * CHOOSE(CONTROL!$C$27, $C$14, 100%, $E$14)</f>
        <v>5.0614999999999997</v>
      </c>
      <c r="O239" s="59">
        <f>5.0684 * CHOOSE(CONTROL!$C$27, $C$14, 100%, $E$14)</f>
        <v>5.0683999999999996</v>
      </c>
    </row>
    <row r="240" spans="1:15" ht="15">
      <c r="A240" s="11">
        <v>48396</v>
      </c>
      <c r="B240" s="58">
        <f>4.2341 * CHOOSE(CONTROL!$C$27, $C$14, 100%, $E$14)</f>
        <v>4.2340999999999998</v>
      </c>
      <c r="C240" s="58">
        <f>4.2341 * CHOOSE(CONTROL!$C$27, $C$14, 100%, $E$14)</f>
        <v>4.2340999999999998</v>
      </c>
      <c r="D240" s="58">
        <f>4.2398 * CHOOSE(CONTROL!$C$27, $C$14, 100%, $E$14)</f>
        <v>4.2397999999999998</v>
      </c>
      <c r="E240" s="59">
        <f>5.166 * CHOOSE(CONTROL!$C$27, $C$14, 100%, $E$14)</f>
        <v>5.1660000000000004</v>
      </c>
      <c r="F240" s="59">
        <f>5.166 * CHOOSE(CONTROL!$C$27, $C$14, 100%, $E$14)</f>
        <v>5.1660000000000004</v>
      </c>
      <c r="G240" s="59">
        <f>5.1729 * CHOOSE(CONTROL!$C$27, $C$14, 100%, $E$14)</f>
        <v>5.1729000000000003</v>
      </c>
      <c r="H240" s="59">
        <f>9.3649* CHOOSE(CONTROL!$C$27, $C$14, 100%, $E$14)</f>
        <v>9.3649000000000004</v>
      </c>
      <c r="I240" s="59">
        <f>9.3718 * CHOOSE(CONTROL!$C$27, $C$14, 100%, $E$14)</f>
        <v>9.3718000000000004</v>
      </c>
      <c r="J240" s="59">
        <f>9.3649 * CHOOSE(CONTROL!$C$27, $C$14, 100%, $E$14)</f>
        <v>9.3649000000000004</v>
      </c>
      <c r="K240" s="59">
        <f>9.3718 * CHOOSE(CONTROL!$C$27, $C$14, 100%, $E$14)</f>
        <v>9.3718000000000004</v>
      </c>
      <c r="L240" s="59">
        <f>5.166 * CHOOSE(CONTROL!$C$27, $C$14, 100%, $E$14)</f>
        <v>5.1660000000000004</v>
      </c>
      <c r="M240" s="59">
        <f>5.1729 * CHOOSE(CONTROL!$C$27, $C$14, 100%, $E$14)</f>
        <v>5.1729000000000003</v>
      </c>
      <c r="N240" s="59">
        <f>5.166 * CHOOSE(CONTROL!$C$27, $C$14, 100%, $E$14)</f>
        <v>5.1660000000000004</v>
      </c>
      <c r="O240" s="59">
        <f>5.1729 * CHOOSE(CONTROL!$C$27, $C$14, 100%, $E$14)</f>
        <v>5.1729000000000003</v>
      </c>
    </row>
    <row r="241" spans="1:15" ht="15">
      <c r="A241" s="11">
        <v>48427</v>
      </c>
      <c r="B241" s="58">
        <f>4.2408 * CHOOSE(CONTROL!$C$27, $C$14, 100%, $E$14)</f>
        <v>4.2408000000000001</v>
      </c>
      <c r="C241" s="58">
        <f>4.2408 * CHOOSE(CONTROL!$C$27, $C$14, 100%, $E$14)</f>
        <v>4.2408000000000001</v>
      </c>
      <c r="D241" s="58">
        <f>4.2464 * CHOOSE(CONTROL!$C$27, $C$14, 100%, $E$14)</f>
        <v>4.2464000000000004</v>
      </c>
      <c r="E241" s="59">
        <f>5.095 * CHOOSE(CONTROL!$C$27, $C$14, 100%, $E$14)</f>
        <v>5.0949999999999998</v>
      </c>
      <c r="F241" s="59">
        <f>5.095 * CHOOSE(CONTROL!$C$27, $C$14, 100%, $E$14)</f>
        <v>5.0949999999999998</v>
      </c>
      <c r="G241" s="59">
        <f>5.1018 * CHOOSE(CONTROL!$C$27, $C$14, 100%, $E$14)</f>
        <v>5.1017999999999999</v>
      </c>
      <c r="H241" s="59">
        <f>9.3844* CHOOSE(CONTROL!$C$27, $C$14, 100%, $E$14)</f>
        <v>9.3843999999999994</v>
      </c>
      <c r="I241" s="59">
        <f>9.3913 * CHOOSE(CONTROL!$C$27, $C$14, 100%, $E$14)</f>
        <v>9.3912999999999993</v>
      </c>
      <c r="J241" s="59">
        <f>9.3844 * CHOOSE(CONTROL!$C$27, $C$14, 100%, $E$14)</f>
        <v>9.3843999999999994</v>
      </c>
      <c r="K241" s="59">
        <f>9.3913 * CHOOSE(CONTROL!$C$27, $C$14, 100%, $E$14)</f>
        <v>9.3912999999999993</v>
      </c>
      <c r="L241" s="59">
        <f>5.095 * CHOOSE(CONTROL!$C$27, $C$14, 100%, $E$14)</f>
        <v>5.0949999999999998</v>
      </c>
      <c r="M241" s="59">
        <f>5.1018 * CHOOSE(CONTROL!$C$27, $C$14, 100%, $E$14)</f>
        <v>5.1017999999999999</v>
      </c>
      <c r="N241" s="59">
        <f>5.095 * CHOOSE(CONTROL!$C$27, $C$14, 100%, $E$14)</f>
        <v>5.0949999999999998</v>
      </c>
      <c r="O241" s="59">
        <f>5.1018 * CHOOSE(CONTROL!$C$27, $C$14, 100%, $E$14)</f>
        <v>5.1017999999999999</v>
      </c>
    </row>
    <row r="242" spans="1:15" ht="15">
      <c r="A242" s="11">
        <v>48458</v>
      </c>
      <c r="B242" s="58">
        <f>4.2378 * CHOOSE(CONTROL!$C$27, $C$14, 100%, $E$14)</f>
        <v>4.2378</v>
      </c>
      <c r="C242" s="58">
        <f>4.2378 * CHOOSE(CONTROL!$C$27, $C$14, 100%, $E$14)</f>
        <v>4.2378</v>
      </c>
      <c r="D242" s="58">
        <f>4.2434 * CHOOSE(CONTROL!$C$27, $C$14, 100%, $E$14)</f>
        <v>4.2434000000000003</v>
      </c>
      <c r="E242" s="59">
        <f>5.0844 * CHOOSE(CONTROL!$C$27, $C$14, 100%, $E$14)</f>
        <v>5.0843999999999996</v>
      </c>
      <c r="F242" s="59">
        <f>5.0844 * CHOOSE(CONTROL!$C$27, $C$14, 100%, $E$14)</f>
        <v>5.0843999999999996</v>
      </c>
      <c r="G242" s="59">
        <f>5.0913 * CHOOSE(CONTROL!$C$27, $C$14, 100%, $E$14)</f>
        <v>5.0913000000000004</v>
      </c>
      <c r="H242" s="59">
        <f>9.404* CHOOSE(CONTROL!$C$27, $C$14, 100%, $E$14)</f>
        <v>9.4039999999999999</v>
      </c>
      <c r="I242" s="59">
        <f>9.4109 * CHOOSE(CONTROL!$C$27, $C$14, 100%, $E$14)</f>
        <v>9.4108999999999998</v>
      </c>
      <c r="J242" s="59">
        <f>9.404 * CHOOSE(CONTROL!$C$27, $C$14, 100%, $E$14)</f>
        <v>9.4039999999999999</v>
      </c>
      <c r="K242" s="59">
        <f>9.4109 * CHOOSE(CONTROL!$C$27, $C$14, 100%, $E$14)</f>
        <v>9.4108999999999998</v>
      </c>
      <c r="L242" s="59">
        <f>5.0844 * CHOOSE(CONTROL!$C$27, $C$14, 100%, $E$14)</f>
        <v>5.0843999999999996</v>
      </c>
      <c r="M242" s="59">
        <f>5.0913 * CHOOSE(CONTROL!$C$27, $C$14, 100%, $E$14)</f>
        <v>5.0913000000000004</v>
      </c>
      <c r="N242" s="59">
        <f>5.0844 * CHOOSE(CONTROL!$C$27, $C$14, 100%, $E$14)</f>
        <v>5.0843999999999996</v>
      </c>
      <c r="O242" s="59">
        <f>5.0913 * CHOOSE(CONTROL!$C$27, $C$14, 100%, $E$14)</f>
        <v>5.0913000000000004</v>
      </c>
    </row>
    <row r="243" spans="1:15" ht="15">
      <c r="A243" s="11">
        <v>48488</v>
      </c>
      <c r="B243" s="58">
        <f>4.2336 * CHOOSE(CONTROL!$C$27, $C$14, 100%, $E$14)</f>
        <v>4.2336</v>
      </c>
      <c r="C243" s="58">
        <f>4.2336 * CHOOSE(CONTROL!$C$27, $C$14, 100%, $E$14)</f>
        <v>4.2336</v>
      </c>
      <c r="D243" s="58">
        <f>4.2376 * CHOOSE(CONTROL!$C$27, $C$14, 100%, $E$14)</f>
        <v>4.2375999999999996</v>
      </c>
      <c r="E243" s="59">
        <f>5.1047 * CHOOSE(CONTROL!$C$27, $C$14, 100%, $E$14)</f>
        <v>5.1047000000000002</v>
      </c>
      <c r="F243" s="59">
        <f>5.1047 * CHOOSE(CONTROL!$C$27, $C$14, 100%, $E$14)</f>
        <v>5.1047000000000002</v>
      </c>
      <c r="G243" s="59">
        <f>5.1096 * CHOOSE(CONTROL!$C$27, $C$14, 100%, $E$14)</f>
        <v>5.1096000000000004</v>
      </c>
      <c r="H243" s="59">
        <f>9.4236* CHOOSE(CONTROL!$C$27, $C$14, 100%, $E$14)</f>
        <v>9.4236000000000004</v>
      </c>
      <c r="I243" s="59">
        <f>9.4285 * CHOOSE(CONTROL!$C$27, $C$14, 100%, $E$14)</f>
        <v>9.4284999999999997</v>
      </c>
      <c r="J243" s="59">
        <f>9.4236 * CHOOSE(CONTROL!$C$27, $C$14, 100%, $E$14)</f>
        <v>9.4236000000000004</v>
      </c>
      <c r="K243" s="59">
        <f>9.4285 * CHOOSE(CONTROL!$C$27, $C$14, 100%, $E$14)</f>
        <v>9.4284999999999997</v>
      </c>
      <c r="L243" s="59">
        <f>5.1047 * CHOOSE(CONTROL!$C$27, $C$14, 100%, $E$14)</f>
        <v>5.1047000000000002</v>
      </c>
      <c r="M243" s="59">
        <f>5.1096 * CHOOSE(CONTROL!$C$27, $C$14, 100%, $E$14)</f>
        <v>5.1096000000000004</v>
      </c>
      <c r="N243" s="59">
        <f>5.1047 * CHOOSE(CONTROL!$C$27, $C$14, 100%, $E$14)</f>
        <v>5.1047000000000002</v>
      </c>
      <c r="O243" s="59">
        <f>5.1096 * CHOOSE(CONTROL!$C$27, $C$14, 100%, $E$14)</f>
        <v>5.1096000000000004</v>
      </c>
    </row>
    <row r="244" spans="1:15" ht="15">
      <c r="A244" s="11">
        <v>48519</v>
      </c>
      <c r="B244" s="58">
        <f>4.2367 * CHOOSE(CONTROL!$C$27, $C$14, 100%, $E$14)</f>
        <v>4.2366999999999999</v>
      </c>
      <c r="C244" s="58">
        <f>4.2367 * CHOOSE(CONTROL!$C$27, $C$14, 100%, $E$14)</f>
        <v>4.2366999999999999</v>
      </c>
      <c r="D244" s="58">
        <f>4.2407 * CHOOSE(CONTROL!$C$27, $C$14, 100%, $E$14)</f>
        <v>4.2407000000000004</v>
      </c>
      <c r="E244" s="59">
        <f>5.1236 * CHOOSE(CONTROL!$C$27, $C$14, 100%, $E$14)</f>
        <v>5.1235999999999997</v>
      </c>
      <c r="F244" s="59">
        <f>5.1236 * CHOOSE(CONTROL!$C$27, $C$14, 100%, $E$14)</f>
        <v>5.1235999999999997</v>
      </c>
      <c r="G244" s="59">
        <f>5.1285 * CHOOSE(CONTROL!$C$27, $C$14, 100%, $E$14)</f>
        <v>5.1284999999999998</v>
      </c>
      <c r="H244" s="59">
        <f>9.4432* CHOOSE(CONTROL!$C$27, $C$14, 100%, $E$14)</f>
        <v>9.4431999999999992</v>
      </c>
      <c r="I244" s="59">
        <f>9.4481 * CHOOSE(CONTROL!$C$27, $C$14, 100%, $E$14)</f>
        <v>9.4481000000000002</v>
      </c>
      <c r="J244" s="59">
        <f>9.4432 * CHOOSE(CONTROL!$C$27, $C$14, 100%, $E$14)</f>
        <v>9.4431999999999992</v>
      </c>
      <c r="K244" s="59">
        <f>9.4481 * CHOOSE(CONTROL!$C$27, $C$14, 100%, $E$14)</f>
        <v>9.4481000000000002</v>
      </c>
      <c r="L244" s="59">
        <f>5.1236 * CHOOSE(CONTROL!$C$27, $C$14, 100%, $E$14)</f>
        <v>5.1235999999999997</v>
      </c>
      <c r="M244" s="59">
        <f>5.1285 * CHOOSE(CONTROL!$C$27, $C$14, 100%, $E$14)</f>
        <v>5.1284999999999998</v>
      </c>
      <c r="N244" s="59">
        <f>5.1236 * CHOOSE(CONTROL!$C$27, $C$14, 100%, $E$14)</f>
        <v>5.1235999999999997</v>
      </c>
      <c r="O244" s="59">
        <f>5.1285 * CHOOSE(CONTROL!$C$27, $C$14, 100%, $E$14)</f>
        <v>5.1284999999999998</v>
      </c>
    </row>
    <row r="245" spans="1:15" ht="15">
      <c r="A245" s="11">
        <v>48549</v>
      </c>
      <c r="B245" s="58">
        <f>4.2367 * CHOOSE(CONTROL!$C$27, $C$14, 100%, $E$14)</f>
        <v>4.2366999999999999</v>
      </c>
      <c r="C245" s="58">
        <f>4.2367 * CHOOSE(CONTROL!$C$27, $C$14, 100%, $E$14)</f>
        <v>4.2366999999999999</v>
      </c>
      <c r="D245" s="58">
        <f>4.2407 * CHOOSE(CONTROL!$C$27, $C$14, 100%, $E$14)</f>
        <v>4.2407000000000004</v>
      </c>
      <c r="E245" s="59">
        <f>5.0815 * CHOOSE(CONTROL!$C$27, $C$14, 100%, $E$14)</f>
        <v>5.0815000000000001</v>
      </c>
      <c r="F245" s="59">
        <f>5.0815 * CHOOSE(CONTROL!$C$27, $C$14, 100%, $E$14)</f>
        <v>5.0815000000000001</v>
      </c>
      <c r="G245" s="59">
        <f>5.0865 * CHOOSE(CONTROL!$C$27, $C$14, 100%, $E$14)</f>
        <v>5.0865</v>
      </c>
      <c r="H245" s="59">
        <f>9.4629* CHOOSE(CONTROL!$C$27, $C$14, 100%, $E$14)</f>
        <v>9.4628999999999994</v>
      </c>
      <c r="I245" s="59">
        <f>9.4678 * CHOOSE(CONTROL!$C$27, $C$14, 100%, $E$14)</f>
        <v>9.4678000000000004</v>
      </c>
      <c r="J245" s="59">
        <f>9.4629 * CHOOSE(CONTROL!$C$27, $C$14, 100%, $E$14)</f>
        <v>9.4628999999999994</v>
      </c>
      <c r="K245" s="59">
        <f>9.4678 * CHOOSE(CONTROL!$C$27, $C$14, 100%, $E$14)</f>
        <v>9.4678000000000004</v>
      </c>
      <c r="L245" s="59">
        <f>5.0815 * CHOOSE(CONTROL!$C$27, $C$14, 100%, $E$14)</f>
        <v>5.0815000000000001</v>
      </c>
      <c r="M245" s="59">
        <f>5.0865 * CHOOSE(CONTROL!$C$27, $C$14, 100%, $E$14)</f>
        <v>5.0865</v>
      </c>
      <c r="N245" s="59">
        <f>5.0815 * CHOOSE(CONTROL!$C$27, $C$14, 100%, $E$14)</f>
        <v>5.0815000000000001</v>
      </c>
      <c r="O245" s="59">
        <f>5.0865 * CHOOSE(CONTROL!$C$27, $C$14, 100%, $E$14)</f>
        <v>5.0865</v>
      </c>
    </row>
    <row r="246" spans="1:15" ht="15">
      <c r="A246" s="11">
        <v>48580</v>
      </c>
      <c r="B246" s="58">
        <f>4.2764 * CHOOSE(CONTROL!$C$27, $C$14, 100%, $E$14)</f>
        <v>4.2763999999999998</v>
      </c>
      <c r="C246" s="58">
        <f>4.2764 * CHOOSE(CONTROL!$C$27, $C$14, 100%, $E$14)</f>
        <v>4.2763999999999998</v>
      </c>
      <c r="D246" s="58">
        <f>4.2804 * CHOOSE(CONTROL!$C$27, $C$14, 100%, $E$14)</f>
        <v>4.2804000000000002</v>
      </c>
      <c r="E246" s="59">
        <f>5.1642 * CHOOSE(CONTROL!$C$27, $C$14, 100%, $E$14)</f>
        <v>5.1642000000000001</v>
      </c>
      <c r="F246" s="59">
        <f>5.1642 * CHOOSE(CONTROL!$C$27, $C$14, 100%, $E$14)</f>
        <v>5.1642000000000001</v>
      </c>
      <c r="G246" s="59">
        <f>5.1691 * CHOOSE(CONTROL!$C$27, $C$14, 100%, $E$14)</f>
        <v>5.1691000000000003</v>
      </c>
      <c r="H246" s="59">
        <f>9.4826* CHOOSE(CONTROL!$C$27, $C$14, 100%, $E$14)</f>
        <v>9.4825999999999997</v>
      </c>
      <c r="I246" s="59">
        <f>9.4875 * CHOOSE(CONTROL!$C$27, $C$14, 100%, $E$14)</f>
        <v>9.4875000000000007</v>
      </c>
      <c r="J246" s="59">
        <f>9.4826 * CHOOSE(CONTROL!$C$27, $C$14, 100%, $E$14)</f>
        <v>9.4825999999999997</v>
      </c>
      <c r="K246" s="59">
        <f>9.4875 * CHOOSE(CONTROL!$C$27, $C$14, 100%, $E$14)</f>
        <v>9.4875000000000007</v>
      </c>
      <c r="L246" s="59">
        <f>5.1642 * CHOOSE(CONTROL!$C$27, $C$14, 100%, $E$14)</f>
        <v>5.1642000000000001</v>
      </c>
      <c r="M246" s="59">
        <f>5.1691 * CHOOSE(CONTROL!$C$27, $C$14, 100%, $E$14)</f>
        <v>5.1691000000000003</v>
      </c>
      <c r="N246" s="59">
        <f>5.1642 * CHOOSE(CONTROL!$C$27, $C$14, 100%, $E$14)</f>
        <v>5.1642000000000001</v>
      </c>
      <c r="O246" s="59">
        <f>5.1691 * CHOOSE(CONTROL!$C$27, $C$14, 100%, $E$14)</f>
        <v>5.1691000000000003</v>
      </c>
    </row>
    <row r="247" spans="1:15" ht="15">
      <c r="A247" s="11">
        <v>48611</v>
      </c>
      <c r="B247" s="58">
        <f>4.2734 * CHOOSE(CONTROL!$C$27, $C$14, 100%, $E$14)</f>
        <v>4.2733999999999996</v>
      </c>
      <c r="C247" s="58">
        <f>4.2734 * CHOOSE(CONTROL!$C$27, $C$14, 100%, $E$14)</f>
        <v>4.2733999999999996</v>
      </c>
      <c r="D247" s="58">
        <f>4.2774 * CHOOSE(CONTROL!$C$27, $C$14, 100%, $E$14)</f>
        <v>4.2774000000000001</v>
      </c>
      <c r="E247" s="59">
        <f>5.0805 * CHOOSE(CONTROL!$C$27, $C$14, 100%, $E$14)</f>
        <v>5.0804999999999998</v>
      </c>
      <c r="F247" s="59">
        <f>5.0805 * CHOOSE(CONTROL!$C$27, $C$14, 100%, $E$14)</f>
        <v>5.0804999999999998</v>
      </c>
      <c r="G247" s="59">
        <f>5.0854 * CHOOSE(CONTROL!$C$27, $C$14, 100%, $E$14)</f>
        <v>5.0853999999999999</v>
      </c>
      <c r="H247" s="59">
        <f>9.5024* CHOOSE(CONTROL!$C$27, $C$14, 100%, $E$14)</f>
        <v>9.5023999999999997</v>
      </c>
      <c r="I247" s="59">
        <f>9.5073 * CHOOSE(CONTROL!$C$27, $C$14, 100%, $E$14)</f>
        <v>9.5073000000000008</v>
      </c>
      <c r="J247" s="59">
        <f>9.5024 * CHOOSE(CONTROL!$C$27, $C$14, 100%, $E$14)</f>
        <v>9.5023999999999997</v>
      </c>
      <c r="K247" s="59">
        <f>9.5073 * CHOOSE(CONTROL!$C$27, $C$14, 100%, $E$14)</f>
        <v>9.5073000000000008</v>
      </c>
      <c r="L247" s="59">
        <f>5.0805 * CHOOSE(CONTROL!$C$27, $C$14, 100%, $E$14)</f>
        <v>5.0804999999999998</v>
      </c>
      <c r="M247" s="59">
        <f>5.0854 * CHOOSE(CONTROL!$C$27, $C$14, 100%, $E$14)</f>
        <v>5.0853999999999999</v>
      </c>
      <c r="N247" s="59">
        <f>5.0805 * CHOOSE(CONTROL!$C$27, $C$14, 100%, $E$14)</f>
        <v>5.0804999999999998</v>
      </c>
      <c r="O247" s="59">
        <f>5.0854 * CHOOSE(CONTROL!$C$27, $C$14, 100%, $E$14)</f>
        <v>5.0853999999999999</v>
      </c>
    </row>
    <row r="248" spans="1:15" ht="15">
      <c r="A248" s="11">
        <v>48639</v>
      </c>
      <c r="B248" s="58">
        <f>4.2703 * CHOOSE(CONTROL!$C$27, $C$14, 100%, $E$14)</f>
        <v>4.2702999999999998</v>
      </c>
      <c r="C248" s="58">
        <f>4.2703 * CHOOSE(CONTROL!$C$27, $C$14, 100%, $E$14)</f>
        <v>4.2702999999999998</v>
      </c>
      <c r="D248" s="58">
        <f>4.2743 * CHOOSE(CONTROL!$C$27, $C$14, 100%, $E$14)</f>
        <v>4.2743000000000002</v>
      </c>
      <c r="E248" s="59">
        <f>5.1427 * CHOOSE(CONTROL!$C$27, $C$14, 100%, $E$14)</f>
        <v>5.1426999999999996</v>
      </c>
      <c r="F248" s="59">
        <f>5.1427 * CHOOSE(CONTROL!$C$27, $C$14, 100%, $E$14)</f>
        <v>5.1426999999999996</v>
      </c>
      <c r="G248" s="59">
        <f>5.1476 * CHOOSE(CONTROL!$C$27, $C$14, 100%, $E$14)</f>
        <v>5.1475999999999997</v>
      </c>
      <c r="H248" s="59">
        <f>9.5221* CHOOSE(CONTROL!$C$27, $C$14, 100%, $E$14)</f>
        <v>9.5221</v>
      </c>
      <c r="I248" s="59">
        <f>9.5271 * CHOOSE(CONTROL!$C$27, $C$14, 100%, $E$14)</f>
        <v>9.5271000000000008</v>
      </c>
      <c r="J248" s="59">
        <f>9.5221 * CHOOSE(CONTROL!$C$27, $C$14, 100%, $E$14)</f>
        <v>9.5221</v>
      </c>
      <c r="K248" s="59">
        <f>9.5271 * CHOOSE(CONTROL!$C$27, $C$14, 100%, $E$14)</f>
        <v>9.5271000000000008</v>
      </c>
      <c r="L248" s="59">
        <f>5.1427 * CHOOSE(CONTROL!$C$27, $C$14, 100%, $E$14)</f>
        <v>5.1426999999999996</v>
      </c>
      <c r="M248" s="59">
        <f>5.1476 * CHOOSE(CONTROL!$C$27, $C$14, 100%, $E$14)</f>
        <v>5.1475999999999997</v>
      </c>
      <c r="N248" s="59">
        <f>5.1427 * CHOOSE(CONTROL!$C$27, $C$14, 100%, $E$14)</f>
        <v>5.1426999999999996</v>
      </c>
      <c r="O248" s="59">
        <f>5.1476 * CHOOSE(CONTROL!$C$27, $C$14, 100%, $E$14)</f>
        <v>5.1475999999999997</v>
      </c>
    </row>
    <row r="249" spans="1:15" ht="15">
      <c r="A249" s="11">
        <v>48670</v>
      </c>
      <c r="B249" s="58">
        <f>4.2682 * CHOOSE(CONTROL!$C$27, $C$14, 100%, $E$14)</f>
        <v>4.2682000000000002</v>
      </c>
      <c r="C249" s="58">
        <f>4.2682 * CHOOSE(CONTROL!$C$27, $C$14, 100%, $E$14)</f>
        <v>4.2682000000000002</v>
      </c>
      <c r="D249" s="58">
        <f>4.2722 * CHOOSE(CONTROL!$C$27, $C$14, 100%, $E$14)</f>
        <v>4.2721999999999998</v>
      </c>
      <c r="E249" s="59">
        <f>5.2076 * CHOOSE(CONTROL!$C$27, $C$14, 100%, $E$14)</f>
        <v>5.2076000000000002</v>
      </c>
      <c r="F249" s="59">
        <f>5.2076 * CHOOSE(CONTROL!$C$27, $C$14, 100%, $E$14)</f>
        <v>5.2076000000000002</v>
      </c>
      <c r="G249" s="59">
        <f>5.2125 * CHOOSE(CONTROL!$C$27, $C$14, 100%, $E$14)</f>
        <v>5.2125000000000004</v>
      </c>
      <c r="H249" s="59">
        <f>9.542* CHOOSE(CONTROL!$C$27, $C$14, 100%, $E$14)</f>
        <v>9.5419999999999998</v>
      </c>
      <c r="I249" s="59">
        <f>9.5469 * CHOOSE(CONTROL!$C$27, $C$14, 100%, $E$14)</f>
        <v>9.5469000000000008</v>
      </c>
      <c r="J249" s="59">
        <f>9.542 * CHOOSE(CONTROL!$C$27, $C$14, 100%, $E$14)</f>
        <v>9.5419999999999998</v>
      </c>
      <c r="K249" s="59">
        <f>9.5469 * CHOOSE(CONTROL!$C$27, $C$14, 100%, $E$14)</f>
        <v>9.5469000000000008</v>
      </c>
      <c r="L249" s="59">
        <f>5.2076 * CHOOSE(CONTROL!$C$27, $C$14, 100%, $E$14)</f>
        <v>5.2076000000000002</v>
      </c>
      <c r="M249" s="59">
        <f>5.2125 * CHOOSE(CONTROL!$C$27, $C$14, 100%, $E$14)</f>
        <v>5.2125000000000004</v>
      </c>
      <c r="N249" s="59">
        <f>5.2076 * CHOOSE(CONTROL!$C$27, $C$14, 100%, $E$14)</f>
        <v>5.2076000000000002</v>
      </c>
      <c r="O249" s="59">
        <f>5.2125 * CHOOSE(CONTROL!$C$27, $C$14, 100%, $E$14)</f>
        <v>5.2125000000000004</v>
      </c>
    </row>
    <row r="250" spans="1:15" ht="15">
      <c r="A250" s="11">
        <v>48700</v>
      </c>
      <c r="B250" s="58">
        <f>4.2682 * CHOOSE(CONTROL!$C$27, $C$14, 100%, $E$14)</f>
        <v>4.2682000000000002</v>
      </c>
      <c r="C250" s="58">
        <f>4.2682 * CHOOSE(CONTROL!$C$27, $C$14, 100%, $E$14)</f>
        <v>4.2682000000000002</v>
      </c>
      <c r="D250" s="58">
        <f>4.2739 * CHOOSE(CONTROL!$C$27, $C$14, 100%, $E$14)</f>
        <v>4.2739000000000003</v>
      </c>
      <c r="E250" s="59">
        <f>5.2335 * CHOOSE(CONTROL!$C$27, $C$14, 100%, $E$14)</f>
        <v>5.2335000000000003</v>
      </c>
      <c r="F250" s="59">
        <f>5.2335 * CHOOSE(CONTROL!$C$27, $C$14, 100%, $E$14)</f>
        <v>5.2335000000000003</v>
      </c>
      <c r="G250" s="59">
        <f>5.2404 * CHOOSE(CONTROL!$C$27, $C$14, 100%, $E$14)</f>
        <v>5.2404000000000002</v>
      </c>
      <c r="H250" s="59">
        <f>9.5619* CHOOSE(CONTROL!$C$27, $C$14, 100%, $E$14)</f>
        <v>9.5618999999999996</v>
      </c>
      <c r="I250" s="59">
        <f>9.5688 * CHOOSE(CONTROL!$C$27, $C$14, 100%, $E$14)</f>
        <v>9.5687999999999995</v>
      </c>
      <c r="J250" s="59">
        <f>9.5619 * CHOOSE(CONTROL!$C$27, $C$14, 100%, $E$14)</f>
        <v>9.5618999999999996</v>
      </c>
      <c r="K250" s="59">
        <f>9.5688 * CHOOSE(CONTROL!$C$27, $C$14, 100%, $E$14)</f>
        <v>9.5687999999999995</v>
      </c>
      <c r="L250" s="59">
        <f>5.2335 * CHOOSE(CONTROL!$C$27, $C$14, 100%, $E$14)</f>
        <v>5.2335000000000003</v>
      </c>
      <c r="M250" s="59">
        <f>5.2404 * CHOOSE(CONTROL!$C$27, $C$14, 100%, $E$14)</f>
        <v>5.2404000000000002</v>
      </c>
      <c r="N250" s="59">
        <f>5.2335 * CHOOSE(CONTROL!$C$27, $C$14, 100%, $E$14)</f>
        <v>5.2335000000000003</v>
      </c>
      <c r="O250" s="59">
        <f>5.2404 * CHOOSE(CONTROL!$C$27, $C$14, 100%, $E$14)</f>
        <v>5.2404000000000002</v>
      </c>
    </row>
    <row r="251" spans="1:15" ht="15">
      <c r="A251" s="11">
        <v>48731</v>
      </c>
      <c r="B251" s="58">
        <f>4.2743 * CHOOSE(CONTROL!$C$27, $C$14, 100%, $E$14)</f>
        <v>4.2743000000000002</v>
      </c>
      <c r="C251" s="58">
        <f>4.2743 * CHOOSE(CONTROL!$C$27, $C$14, 100%, $E$14)</f>
        <v>4.2743000000000002</v>
      </c>
      <c r="D251" s="58">
        <f>4.2799 * CHOOSE(CONTROL!$C$27, $C$14, 100%, $E$14)</f>
        <v>4.2798999999999996</v>
      </c>
      <c r="E251" s="59">
        <f>5.2118 * CHOOSE(CONTROL!$C$27, $C$14, 100%, $E$14)</f>
        <v>5.2118000000000002</v>
      </c>
      <c r="F251" s="59">
        <f>5.2118 * CHOOSE(CONTROL!$C$27, $C$14, 100%, $E$14)</f>
        <v>5.2118000000000002</v>
      </c>
      <c r="G251" s="59">
        <f>5.2187 * CHOOSE(CONTROL!$C$27, $C$14, 100%, $E$14)</f>
        <v>5.2187000000000001</v>
      </c>
      <c r="H251" s="59">
        <f>9.5818* CHOOSE(CONTROL!$C$27, $C$14, 100%, $E$14)</f>
        <v>9.5817999999999994</v>
      </c>
      <c r="I251" s="59">
        <f>9.5887 * CHOOSE(CONTROL!$C$27, $C$14, 100%, $E$14)</f>
        <v>9.5886999999999993</v>
      </c>
      <c r="J251" s="59">
        <f>9.5818 * CHOOSE(CONTROL!$C$27, $C$14, 100%, $E$14)</f>
        <v>9.5817999999999994</v>
      </c>
      <c r="K251" s="59">
        <f>9.5887 * CHOOSE(CONTROL!$C$27, $C$14, 100%, $E$14)</f>
        <v>9.5886999999999993</v>
      </c>
      <c r="L251" s="59">
        <f>5.2118 * CHOOSE(CONTROL!$C$27, $C$14, 100%, $E$14)</f>
        <v>5.2118000000000002</v>
      </c>
      <c r="M251" s="59">
        <f>5.2187 * CHOOSE(CONTROL!$C$27, $C$14, 100%, $E$14)</f>
        <v>5.2187000000000001</v>
      </c>
      <c r="N251" s="59">
        <f>5.2118 * CHOOSE(CONTROL!$C$27, $C$14, 100%, $E$14)</f>
        <v>5.2118000000000002</v>
      </c>
      <c r="O251" s="59">
        <f>5.2187 * CHOOSE(CONTROL!$C$27, $C$14, 100%, $E$14)</f>
        <v>5.2187000000000001</v>
      </c>
    </row>
    <row r="252" spans="1:15" ht="15">
      <c r="A252" s="11">
        <v>48761</v>
      </c>
      <c r="B252" s="58">
        <f>4.3499 * CHOOSE(CONTROL!$C$27, $C$14, 100%, $E$14)</f>
        <v>4.3498999999999999</v>
      </c>
      <c r="C252" s="58">
        <f>4.3499 * CHOOSE(CONTROL!$C$27, $C$14, 100%, $E$14)</f>
        <v>4.3498999999999999</v>
      </c>
      <c r="D252" s="58">
        <f>4.3555 * CHOOSE(CONTROL!$C$27, $C$14, 100%, $E$14)</f>
        <v>4.3555000000000001</v>
      </c>
      <c r="E252" s="59">
        <f>5.3292 * CHOOSE(CONTROL!$C$27, $C$14, 100%, $E$14)</f>
        <v>5.3292000000000002</v>
      </c>
      <c r="F252" s="59">
        <f>5.3292 * CHOOSE(CONTROL!$C$27, $C$14, 100%, $E$14)</f>
        <v>5.3292000000000002</v>
      </c>
      <c r="G252" s="59">
        <f>5.3361 * CHOOSE(CONTROL!$C$27, $C$14, 100%, $E$14)</f>
        <v>5.3361000000000001</v>
      </c>
      <c r="H252" s="59">
        <f>9.6017* CHOOSE(CONTROL!$C$27, $C$14, 100%, $E$14)</f>
        <v>9.6016999999999992</v>
      </c>
      <c r="I252" s="59">
        <f>9.6086 * CHOOSE(CONTROL!$C$27, $C$14, 100%, $E$14)</f>
        <v>9.6085999999999991</v>
      </c>
      <c r="J252" s="59">
        <f>9.6017 * CHOOSE(CONTROL!$C$27, $C$14, 100%, $E$14)</f>
        <v>9.6016999999999992</v>
      </c>
      <c r="K252" s="59">
        <f>9.6086 * CHOOSE(CONTROL!$C$27, $C$14, 100%, $E$14)</f>
        <v>9.6085999999999991</v>
      </c>
      <c r="L252" s="59">
        <f>5.3292 * CHOOSE(CONTROL!$C$27, $C$14, 100%, $E$14)</f>
        <v>5.3292000000000002</v>
      </c>
      <c r="M252" s="59">
        <f>5.3361 * CHOOSE(CONTROL!$C$27, $C$14, 100%, $E$14)</f>
        <v>5.3361000000000001</v>
      </c>
      <c r="N252" s="59">
        <f>5.3292 * CHOOSE(CONTROL!$C$27, $C$14, 100%, $E$14)</f>
        <v>5.3292000000000002</v>
      </c>
      <c r="O252" s="59">
        <f>5.3361 * CHOOSE(CONTROL!$C$27, $C$14, 100%, $E$14)</f>
        <v>5.3361000000000001</v>
      </c>
    </row>
    <row r="253" spans="1:15" ht="15">
      <c r="A253" s="11">
        <v>48792</v>
      </c>
      <c r="B253" s="58">
        <f>4.3566 * CHOOSE(CONTROL!$C$27, $C$14, 100%, $E$14)</f>
        <v>4.3566000000000003</v>
      </c>
      <c r="C253" s="58">
        <f>4.3566 * CHOOSE(CONTROL!$C$27, $C$14, 100%, $E$14)</f>
        <v>4.3566000000000003</v>
      </c>
      <c r="D253" s="58">
        <f>4.3622 * CHOOSE(CONTROL!$C$27, $C$14, 100%, $E$14)</f>
        <v>4.3621999999999996</v>
      </c>
      <c r="E253" s="59">
        <f>5.2562 * CHOOSE(CONTROL!$C$27, $C$14, 100%, $E$14)</f>
        <v>5.2561999999999998</v>
      </c>
      <c r="F253" s="59">
        <f>5.2562 * CHOOSE(CONTROL!$C$27, $C$14, 100%, $E$14)</f>
        <v>5.2561999999999998</v>
      </c>
      <c r="G253" s="59">
        <f>5.2631 * CHOOSE(CONTROL!$C$27, $C$14, 100%, $E$14)</f>
        <v>5.2630999999999997</v>
      </c>
      <c r="H253" s="59">
        <f>9.6218* CHOOSE(CONTROL!$C$27, $C$14, 100%, $E$14)</f>
        <v>9.6218000000000004</v>
      </c>
      <c r="I253" s="59">
        <f>9.6286 * CHOOSE(CONTROL!$C$27, $C$14, 100%, $E$14)</f>
        <v>9.6286000000000005</v>
      </c>
      <c r="J253" s="59">
        <f>9.6218 * CHOOSE(CONTROL!$C$27, $C$14, 100%, $E$14)</f>
        <v>9.6218000000000004</v>
      </c>
      <c r="K253" s="59">
        <f>9.6286 * CHOOSE(CONTROL!$C$27, $C$14, 100%, $E$14)</f>
        <v>9.6286000000000005</v>
      </c>
      <c r="L253" s="59">
        <f>5.2562 * CHOOSE(CONTROL!$C$27, $C$14, 100%, $E$14)</f>
        <v>5.2561999999999998</v>
      </c>
      <c r="M253" s="59">
        <f>5.2631 * CHOOSE(CONTROL!$C$27, $C$14, 100%, $E$14)</f>
        <v>5.2630999999999997</v>
      </c>
      <c r="N253" s="59">
        <f>5.2562 * CHOOSE(CONTROL!$C$27, $C$14, 100%, $E$14)</f>
        <v>5.2561999999999998</v>
      </c>
      <c r="O253" s="59">
        <f>5.2631 * CHOOSE(CONTROL!$C$27, $C$14, 100%, $E$14)</f>
        <v>5.2630999999999997</v>
      </c>
    </row>
    <row r="254" spans="1:15" ht="15">
      <c r="A254" s="11">
        <v>48823</v>
      </c>
      <c r="B254" s="58">
        <f>4.3535 * CHOOSE(CONTROL!$C$27, $C$14, 100%, $E$14)</f>
        <v>4.3535000000000004</v>
      </c>
      <c r="C254" s="58">
        <f>4.3535 * CHOOSE(CONTROL!$C$27, $C$14, 100%, $E$14)</f>
        <v>4.3535000000000004</v>
      </c>
      <c r="D254" s="58">
        <f>4.3592 * CHOOSE(CONTROL!$C$27, $C$14, 100%, $E$14)</f>
        <v>4.3592000000000004</v>
      </c>
      <c r="E254" s="59">
        <f>5.2454 * CHOOSE(CONTROL!$C$27, $C$14, 100%, $E$14)</f>
        <v>5.2454000000000001</v>
      </c>
      <c r="F254" s="59">
        <f>5.2454 * CHOOSE(CONTROL!$C$27, $C$14, 100%, $E$14)</f>
        <v>5.2454000000000001</v>
      </c>
      <c r="G254" s="59">
        <f>5.2523 * CHOOSE(CONTROL!$C$27, $C$14, 100%, $E$14)</f>
        <v>5.2523</v>
      </c>
      <c r="H254" s="59">
        <f>9.6418* CHOOSE(CONTROL!$C$27, $C$14, 100%, $E$14)</f>
        <v>9.6417999999999999</v>
      </c>
      <c r="I254" s="59">
        <f>9.6487 * CHOOSE(CONTROL!$C$27, $C$14, 100%, $E$14)</f>
        <v>9.6486999999999998</v>
      </c>
      <c r="J254" s="59">
        <f>9.6418 * CHOOSE(CONTROL!$C$27, $C$14, 100%, $E$14)</f>
        <v>9.6417999999999999</v>
      </c>
      <c r="K254" s="59">
        <f>9.6487 * CHOOSE(CONTROL!$C$27, $C$14, 100%, $E$14)</f>
        <v>9.6486999999999998</v>
      </c>
      <c r="L254" s="59">
        <f>5.2454 * CHOOSE(CONTROL!$C$27, $C$14, 100%, $E$14)</f>
        <v>5.2454000000000001</v>
      </c>
      <c r="M254" s="59">
        <f>5.2523 * CHOOSE(CONTROL!$C$27, $C$14, 100%, $E$14)</f>
        <v>5.2523</v>
      </c>
      <c r="N254" s="59">
        <f>5.2454 * CHOOSE(CONTROL!$C$27, $C$14, 100%, $E$14)</f>
        <v>5.2454000000000001</v>
      </c>
      <c r="O254" s="59">
        <f>5.2523 * CHOOSE(CONTROL!$C$27, $C$14, 100%, $E$14)</f>
        <v>5.2523</v>
      </c>
    </row>
    <row r="255" spans="1:15" ht="15">
      <c r="A255" s="11">
        <v>48853</v>
      </c>
      <c r="B255" s="58">
        <f>4.3497 * CHOOSE(CONTROL!$C$27, $C$14, 100%, $E$14)</f>
        <v>4.3497000000000003</v>
      </c>
      <c r="C255" s="58">
        <f>4.3497 * CHOOSE(CONTROL!$C$27, $C$14, 100%, $E$14)</f>
        <v>4.3497000000000003</v>
      </c>
      <c r="D255" s="58">
        <f>4.3537 * CHOOSE(CONTROL!$C$27, $C$14, 100%, $E$14)</f>
        <v>4.3536999999999999</v>
      </c>
      <c r="E255" s="59">
        <f>5.2665 * CHOOSE(CONTROL!$C$27, $C$14, 100%, $E$14)</f>
        <v>5.2664999999999997</v>
      </c>
      <c r="F255" s="59">
        <f>5.2665 * CHOOSE(CONTROL!$C$27, $C$14, 100%, $E$14)</f>
        <v>5.2664999999999997</v>
      </c>
      <c r="G255" s="59">
        <f>5.2715 * CHOOSE(CONTROL!$C$27, $C$14, 100%, $E$14)</f>
        <v>5.2714999999999996</v>
      </c>
      <c r="H255" s="59">
        <f>9.6619* CHOOSE(CONTROL!$C$27, $C$14, 100%, $E$14)</f>
        <v>9.6618999999999993</v>
      </c>
      <c r="I255" s="59">
        <f>9.6668 * CHOOSE(CONTROL!$C$27, $C$14, 100%, $E$14)</f>
        <v>9.6668000000000003</v>
      </c>
      <c r="J255" s="59">
        <f>9.6619 * CHOOSE(CONTROL!$C$27, $C$14, 100%, $E$14)</f>
        <v>9.6618999999999993</v>
      </c>
      <c r="K255" s="59">
        <f>9.6668 * CHOOSE(CONTROL!$C$27, $C$14, 100%, $E$14)</f>
        <v>9.6668000000000003</v>
      </c>
      <c r="L255" s="59">
        <f>5.2665 * CHOOSE(CONTROL!$C$27, $C$14, 100%, $E$14)</f>
        <v>5.2664999999999997</v>
      </c>
      <c r="M255" s="59">
        <f>5.2715 * CHOOSE(CONTROL!$C$27, $C$14, 100%, $E$14)</f>
        <v>5.2714999999999996</v>
      </c>
      <c r="N255" s="59">
        <f>5.2665 * CHOOSE(CONTROL!$C$27, $C$14, 100%, $E$14)</f>
        <v>5.2664999999999997</v>
      </c>
      <c r="O255" s="59">
        <f>5.2715 * CHOOSE(CONTROL!$C$27, $C$14, 100%, $E$14)</f>
        <v>5.2714999999999996</v>
      </c>
    </row>
    <row r="256" spans="1:15" ht="15">
      <c r="A256" s="11">
        <v>48884</v>
      </c>
      <c r="B256" s="58">
        <f>4.3528 * CHOOSE(CONTROL!$C$27, $C$14, 100%, $E$14)</f>
        <v>4.3528000000000002</v>
      </c>
      <c r="C256" s="58">
        <f>4.3528 * CHOOSE(CONTROL!$C$27, $C$14, 100%, $E$14)</f>
        <v>4.3528000000000002</v>
      </c>
      <c r="D256" s="58">
        <f>4.3568 * CHOOSE(CONTROL!$C$27, $C$14, 100%, $E$14)</f>
        <v>4.3567999999999998</v>
      </c>
      <c r="E256" s="59">
        <f>5.2859 * CHOOSE(CONTROL!$C$27, $C$14, 100%, $E$14)</f>
        <v>5.2858999999999998</v>
      </c>
      <c r="F256" s="59">
        <f>5.2859 * CHOOSE(CONTROL!$C$27, $C$14, 100%, $E$14)</f>
        <v>5.2858999999999998</v>
      </c>
      <c r="G256" s="59">
        <f>5.2909 * CHOOSE(CONTROL!$C$27, $C$14, 100%, $E$14)</f>
        <v>5.2908999999999997</v>
      </c>
      <c r="H256" s="59">
        <f>9.682* CHOOSE(CONTROL!$C$27, $C$14, 100%, $E$14)</f>
        <v>9.6820000000000004</v>
      </c>
      <c r="I256" s="59">
        <f>9.6869 * CHOOSE(CONTROL!$C$27, $C$14, 100%, $E$14)</f>
        <v>9.6868999999999996</v>
      </c>
      <c r="J256" s="59">
        <f>9.682 * CHOOSE(CONTROL!$C$27, $C$14, 100%, $E$14)</f>
        <v>9.6820000000000004</v>
      </c>
      <c r="K256" s="59">
        <f>9.6869 * CHOOSE(CONTROL!$C$27, $C$14, 100%, $E$14)</f>
        <v>9.6868999999999996</v>
      </c>
      <c r="L256" s="59">
        <f>5.2859 * CHOOSE(CONTROL!$C$27, $C$14, 100%, $E$14)</f>
        <v>5.2858999999999998</v>
      </c>
      <c r="M256" s="59">
        <f>5.2909 * CHOOSE(CONTROL!$C$27, $C$14, 100%, $E$14)</f>
        <v>5.2908999999999997</v>
      </c>
      <c r="N256" s="59">
        <f>5.2859 * CHOOSE(CONTROL!$C$27, $C$14, 100%, $E$14)</f>
        <v>5.2858999999999998</v>
      </c>
      <c r="O256" s="59">
        <f>5.2909 * CHOOSE(CONTROL!$C$27, $C$14, 100%, $E$14)</f>
        <v>5.2908999999999997</v>
      </c>
    </row>
    <row r="257" spans="1:15" ht="15">
      <c r="A257" s="11">
        <v>48914</v>
      </c>
      <c r="B257" s="58">
        <f>4.3528 * CHOOSE(CONTROL!$C$27, $C$14, 100%, $E$14)</f>
        <v>4.3528000000000002</v>
      </c>
      <c r="C257" s="58">
        <f>4.3528 * CHOOSE(CONTROL!$C$27, $C$14, 100%, $E$14)</f>
        <v>4.3528000000000002</v>
      </c>
      <c r="D257" s="58">
        <f>4.3568 * CHOOSE(CONTROL!$C$27, $C$14, 100%, $E$14)</f>
        <v>4.3567999999999998</v>
      </c>
      <c r="E257" s="59">
        <f>5.2427 * CHOOSE(CONTROL!$C$27, $C$14, 100%, $E$14)</f>
        <v>5.2427000000000001</v>
      </c>
      <c r="F257" s="59">
        <f>5.2427 * CHOOSE(CONTROL!$C$27, $C$14, 100%, $E$14)</f>
        <v>5.2427000000000001</v>
      </c>
      <c r="G257" s="59">
        <f>5.2477 * CHOOSE(CONTROL!$C$27, $C$14, 100%, $E$14)</f>
        <v>5.2477</v>
      </c>
      <c r="H257" s="59">
        <f>9.7022* CHOOSE(CONTROL!$C$27, $C$14, 100%, $E$14)</f>
        <v>9.7021999999999995</v>
      </c>
      <c r="I257" s="59">
        <f>9.7071 * CHOOSE(CONTROL!$C$27, $C$14, 100%, $E$14)</f>
        <v>9.7071000000000005</v>
      </c>
      <c r="J257" s="59">
        <f>9.7022 * CHOOSE(CONTROL!$C$27, $C$14, 100%, $E$14)</f>
        <v>9.7021999999999995</v>
      </c>
      <c r="K257" s="59">
        <f>9.7071 * CHOOSE(CONTROL!$C$27, $C$14, 100%, $E$14)</f>
        <v>9.7071000000000005</v>
      </c>
      <c r="L257" s="59">
        <f>5.2427 * CHOOSE(CONTROL!$C$27, $C$14, 100%, $E$14)</f>
        <v>5.2427000000000001</v>
      </c>
      <c r="M257" s="59">
        <f>5.2477 * CHOOSE(CONTROL!$C$27, $C$14, 100%, $E$14)</f>
        <v>5.2477</v>
      </c>
      <c r="N257" s="59">
        <f>5.2427 * CHOOSE(CONTROL!$C$27, $C$14, 100%, $E$14)</f>
        <v>5.2427000000000001</v>
      </c>
      <c r="O257" s="59">
        <f>5.2477 * CHOOSE(CONTROL!$C$27, $C$14, 100%, $E$14)</f>
        <v>5.2477</v>
      </c>
    </row>
    <row r="258" spans="1:15" ht="15">
      <c r="A258" s="11">
        <v>48945</v>
      </c>
      <c r="B258" s="58">
        <f>4.3942 * CHOOSE(CONTROL!$C$27, $C$14, 100%, $E$14)</f>
        <v>4.3941999999999997</v>
      </c>
      <c r="C258" s="58">
        <f>4.3942 * CHOOSE(CONTROL!$C$27, $C$14, 100%, $E$14)</f>
        <v>4.3941999999999997</v>
      </c>
      <c r="D258" s="58">
        <f>4.3981 * CHOOSE(CONTROL!$C$27, $C$14, 100%, $E$14)</f>
        <v>4.3981000000000003</v>
      </c>
      <c r="E258" s="59">
        <f>5.3259 * CHOOSE(CONTROL!$C$27, $C$14, 100%, $E$14)</f>
        <v>5.3258999999999999</v>
      </c>
      <c r="F258" s="59">
        <f>5.3259 * CHOOSE(CONTROL!$C$27, $C$14, 100%, $E$14)</f>
        <v>5.3258999999999999</v>
      </c>
      <c r="G258" s="59">
        <f>5.3308 * CHOOSE(CONTROL!$C$27, $C$14, 100%, $E$14)</f>
        <v>5.3308</v>
      </c>
      <c r="H258" s="59">
        <f>9.7224* CHOOSE(CONTROL!$C$27, $C$14, 100%, $E$14)</f>
        <v>9.7224000000000004</v>
      </c>
      <c r="I258" s="59">
        <f>9.7273 * CHOOSE(CONTROL!$C$27, $C$14, 100%, $E$14)</f>
        <v>9.7272999999999996</v>
      </c>
      <c r="J258" s="59">
        <f>9.7224 * CHOOSE(CONTROL!$C$27, $C$14, 100%, $E$14)</f>
        <v>9.7224000000000004</v>
      </c>
      <c r="K258" s="59">
        <f>9.7273 * CHOOSE(CONTROL!$C$27, $C$14, 100%, $E$14)</f>
        <v>9.7272999999999996</v>
      </c>
      <c r="L258" s="59">
        <f>5.3259 * CHOOSE(CONTROL!$C$27, $C$14, 100%, $E$14)</f>
        <v>5.3258999999999999</v>
      </c>
      <c r="M258" s="59">
        <f>5.3308 * CHOOSE(CONTROL!$C$27, $C$14, 100%, $E$14)</f>
        <v>5.3308</v>
      </c>
      <c r="N258" s="59">
        <f>5.3259 * CHOOSE(CONTROL!$C$27, $C$14, 100%, $E$14)</f>
        <v>5.3258999999999999</v>
      </c>
      <c r="O258" s="59">
        <f>5.3308 * CHOOSE(CONTROL!$C$27, $C$14, 100%, $E$14)</f>
        <v>5.3308</v>
      </c>
    </row>
    <row r="259" spans="1:15" ht="15">
      <c r="A259" s="11">
        <v>48976</v>
      </c>
      <c r="B259" s="58">
        <f>4.3911 * CHOOSE(CONTROL!$C$27, $C$14, 100%, $E$14)</f>
        <v>4.3910999999999998</v>
      </c>
      <c r="C259" s="58">
        <f>4.3911 * CHOOSE(CONTROL!$C$27, $C$14, 100%, $E$14)</f>
        <v>4.3910999999999998</v>
      </c>
      <c r="D259" s="58">
        <f>4.3951 * CHOOSE(CONTROL!$C$27, $C$14, 100%, $E$14)</f>
        <v>4.3951000000000002</v>
      </c>
      <c r="E259" s="59">
        <f>5.24 * CHOOSE(CONTROL!$C$27, $C$14, 100%, $E$14)</f>
        <v>5.24</v>
      </c>
      <c r="F259" s="59">
        <f>5.24 * CHOOSE(CONTROL!$C$27, $C$14, 100%, $E$14)</f>
        <v>5.24</v>
      </c>
      <c r="G259" s="59">
        <f>5.2449 * CHOOSE(CONTROL!$C$27, $C$14, 100%, $E$14)</f>
        <v>5.2449000000000003</v>
      </c>
      <c r="H259" s="59">
        <f>9.7427* CHOOSE(CONTROL!$C$27, $C$14, 100%, $E$14)</f>
        <v>9.7426999999999992</v>
      </c>
      <c r="I259" s="59">
        <f>9.7476 * CHOOSE(CONTROL!$C$27, $C$14, 100%, $E$14)</f>
        <v>9.7476000000000003</v>
      </c>
      <c r="J259" s="59">
        <f>9.7427 * CHOOSE(CONTROL!$C$27, $C$14, 100%, $E$14)</f>
        <v>9.7426999999999992</v>
      </c>
      <c r="K259" s="59">
        <f>9.7476 * CHOOSE(CONTROL!$C$27, $C$14, 100%, $E$14)</f>
        <v>9.7476000000000003</v>
      </c>
      <c r="L259" s="59">
        <f>5.24 * CHOOSE(CONTROL!$C$27, $C$14, 100%, $E$14)</f>
        <v>5.24</v>
      </c>
      <c r="M259" s="59">
        <f>5.2449 * CHOOSE(CONTROL!$C$27, $C$14, 100%, $E$14)</f>
        <v>5.2449000000000003</v>
      </c>
      <c r="N259" s="59">
        <f>5.24 * CHOOSE(CONTROL!$C$27, $C$14, 100%, $E$14)</f>
        <v>5.24</v>
      </c>
      <c r="O259" s="59">
        <f>5.2449 * CHOOSE(CONTROL!$C$27, $C$14, 100%, $E$14)</f>
        <v>5.2449000000000003</v>
      </c>
    </row>
    <row r="260" spans="1:15" ht="15">
      <c r="A260" s="11">
        <v>49004</v>
      </c>
      <c r="B260" s="58">
        <f>4.3881 * CHOOSE(CONTROL!$C$27, $C$14, 100%, $E$14)</f>
        <v>4.3880999999999997</v>
      </c>
      <c r="C260" s="58">
        <f>4.3881 * CHOOSE(CONTROL!$C$27, $C$14, 100%, $E$14)</f>
        <v>4.3880999999999997</v>
      </c>
      <c r="D260" s="58">
        <f>4.3921 * CHOOSE(CONTROL!$C$27, $C$14, 100%, $E$14)</f>
        <v>4.3921000000000001</v>
      </c>
      <c r="E260" s="59">
        <f>5.304 * CHOOSE(CONTROL!$C$27, $C$14, 100%, $E$14)</f>
        <v>5.3040000000000003</v>
      </c>
      <c r="F260" s="59">
        <f>5.304 * CHOOSE(CONTROL!$C$27, $C$14, 100%, $E$14)</f>
        <v>5.3040000000000003</v>
      </c>
      <c r="G260" s="59">
        <f>5.3089 * CHOOSE(CONTROL!$C$27, $C$14, 100%, $E$14)</f>
        <v>5.3089000000000004</v>
      </c>
      <c r="H260" s="59">
        <f>9.7629* CHOOSE(CONTROL!$C$27, $C$14, 100%, $E$14)</f>
        <v>9.7629000000000001</v>
      </c>
      <c r="I260" s="59">
        <f>9.7679 * CHOOSE(CONTROL!$C$27, $C$14, 100%, $E$14)</f>
        <v>9.7678999999999991</v>
      </c>
      <c r="J260" s="59">
        <f>9.7629 * CHOOSE(CONTROL!$C$27, $C$14, 100%, $E$14)</f>
        <v>9.7629000000000001</v>
      </c>
      <c r="K260" s="59">
        <f>9.7679 * CHOOSE(CONTROL!$C$27, $C$14, 100%, $E$14)</f>
        <v>9.7678999999999991</v>
      </c>
      <c r="L260" s="59">
        <f>5.304 * CHOOSE(CONTROL!$C$27, $C$14, 100%, $E$14)</f>
        <v>5.3040000000000003</v>
      </c>
      <c r="M260" s="59">
        <f>5.3089 * CHOOSE(CONTROL!$C$27, $C$14, 100%, $E$14)</f>
        <v>5.3089000000000004</v>
      </c>
      <c r="N260" s="59">
        <f>5.304 * CHOOSE(CONTROL!$C$27, $C$14, 100%, $E$14)</f>
        <v>5.3040000000000003</v>
      </c>
      <c r="O260" s="59">
        <f>5.3089 * CHOOSE(CONTROL!$C$27, $C$14, 100%, $E$14)</f>
        <v>5.3089000000000004</v>
      </c>
    </row>
    <row r="261" spans="1:15" ht="15">
      <c r="A261" s="11">
        <v>49035</v>
      </c>
      <c r="B261" s="58">
        <f>4.3861 * CHOOSE(CONTROL!$C$27, $C$14, 100%, $E$14)</f>
        <v>4.3860999999999999</v>
      </c>
      <c r="C261" s="58">
        <f>4.3861 * CHOOSE(CONTROL!$C$27, $C$14, 100%, $E$14)</f>
        <v>4.3860999999999999</v>
      </c>
      <c r="D261" s="58">
        <f>4.3901 * CHOOSE(CONTROL!$C$27, $C$14, 100%, $E$14)</f>
        <v>4.3901000000000003</v>
      </c>
      <c r="E261" s="59">
        <f>5.3707 * CHOOSE(CONTROL!$C$27, $C$14, 100%, $E$14)</f>
        <v>5.3707000000000003</v>
      </c>
      <c r="F261" s="59">
        <f>5.3707 * CHOOSE(CONTROL!$C$27, $C$14, 100%, $E$14)</f>
        <v>5.3707000000000003</v>
      </c>
      <c r="G261" s="59">
        <f>5.3756 * CHOOSE(CONTROL!$C$27, $C$14, 100%, $E$14)</f>
        <v>5.3756000000000004</v>
      </c>
      <c r="H261" s="59">
        <f>9.7833* CHOOSE(CONTROL!$C$27, $C$14, 100%, $E$14)</f>
        <v>9.7833000000000006</v>
      </c>
      <c r="I261" s="59">
        <f>9.7882 * CHOOSE(CONTROL!$C$27, $C$14, 100%, $E$14)</f>
        <v>9.7881999999999998</v>
      </c>
      <c r="J261" s="59">
        <f>9.7833 * CHOOSE(CONTROL!$C$27, $C$14, 100%, $E$14)</f>
        <v>9.7833000000000006</v>
      </c>
      <c r="K261" s="59">
        <f>9.7882 * CHOOSE(CONTROL!$C$27, $C$14, 100%, $E$14)</f>
        <v>9.7881999999999998</v>
      </c>
      <c r="L261" s="59">
        <f>5.3707 * CHOOSE(CONTROL!$C$27, $C$14, 100%, $E$14)</f>
        <v>5.3707000000000003</v>
      </c>
      <c r="M261" s="59">
        <f>5.3756 * CHOOSE(CONTROL!$C$27, $C$14, 100%, $E$14)</f>
        <v>5.3756000000000004</v>
      </c>
      <c r="N261" s="59">
        <f>5.3707 * CHOOSE(CONTROL!$C$27, $C$14, 100%, $E$14)</f>
        <v>5.3707000000000003</v>
      </c>
      <c r="O261" s="59">
        <f>5.3756 * CHOOSE(CONTROL!$C$27, $C$14, 100%, $E$14)</f>
        <v>5.3756000000000004</v>
      </c>
    </row>
    <row r="262" spans="1:15" ht="15">
      <c r="A262" s="11">
        <v>49065</v>
      </c>
      <c r="B262" s="58">
        <f>4.3861 * CHOOSE(CONTROL!$C$27, $C$14, 100%, $E$14)</f>
        <v>4.3860999999999999</v>
      </c>
      <c r="C262" s="58">
        <f>4.3861 * CHOOSE(CONTROL!$C$27, $C$14, 100%, $E$14)</f>
        <v>4.3860999999999999</v>
      </c>
      <c r="D262" s="58">
        <f>4.3917 * CHOOSE(CONTROL!$C$27, $C$14, 100%, $E$14)</f>
        <v>4.3917000000000002</v>
      </c>
      <c r="E262" s="59">
        <f>5.3973 * CHOOSE(CONTROL!$C$27, $C$14, 100%, $E$14)</f>
        <v>5.3973000000000004</v>
      </c>
      <c r="F262" s="59">
        <f>5.3973 * CHOOSE(CONTROL!$C$27, $C$14, 100%, $E$14)</f>
        <v>5.3973000000000004</v>
      </c>
      <c r="G262" s="59">
        <f>5.4042 * CHOOSE(CONTROL!$C$27, $C$14, 100%, $E$14)</f>
        <v>5.4042000000000003</v>
      </c>
      <c r="H262" s="59">
        <f>9.8037* CHOOSE(CONTROL!$C$27, $C$14, 100%, $E$14)</f>
        <v>9.8036999999999992</v>
      </c>
      <c r="I262" s="59">
        <f>9.8106 * CHOOSE(CONTROL!$C$27, $C$14, 100%, $E$14)</f>
        <v>9.8106000000000009</v>
      </c>
      <c r="J262" s="59">
        <f>9.8037 * CHOOSE(CONTROL!$C$27, $C$14, 100%, $E$14)</f>
        <v>9.8036999999999992</v>
      </c>
      <c r="K262" s="59">
        <f>9.8106 * CHOOSE(CONTROL!$C$27, $C$14, 100%, $E$14)</f>
        <v>9.8106000000000009</v>
      </c>
      <c r="L262" s="59">
        <f>5.3973 * CHOOSE(CONTROL!$C$27, $C$14, 100%, $E$14)</f>
        <v>5.3973000000000004</v>
      </c>
      <c r="M262" s="59">
        <f>5.4042 * CHOOSE(CONTROL!$C$27, $C$14, 100%, $E$14)</f>
        <v>5.4042000000000003</v>
      </c>
      <c r="N262" s="59">
        <f>5.3973 * CHOOSE(CONTROL!$C$27, $C$14, 100%, $E$14)</f>
        <v>5.3973000000000004</v>
      </c>
      <c r="O262" s="59">
        <f>5.4042 * CHOOSE(CONTROL!$C$27, $C$14, 100%, $E$14)</f>
        <v>5.4042000000000003</v>
      </c>
    </row>
    <row r="263" spans="1:15" ht="15">
      <c r="A263" s="11">
        <v>49096</v>
      </c>
      <c r="B263" s="58">
        <f>4.3921 * CHOOSE(CONTROL!$C$27, $C$14, 100%, $E$14)</f>
        <v>4.3921000000000001</v>
      </c>
      <c r="C263" s="58">
        <f>4.3921 * CHOOSE(CONTROL!$C$27, $C$14, 100%, $E$14)</f>
        <v>4.3921000000000001</v>
      </c>
      <c r="D263" s="58">
        <f>4.3978 * CHOOSE(CONTROL!$C$27, $C$14, 100%, $E$14)</f>
        <v>4.3978000000000002</v>
      </c>
      <c r="E263" s="59">
        <f>5.3749 * CHOOSE(CONTROL!$C$27, $C$14, 100%, $E$14)</f>
        <v>5.3749000000000002</v>
      </c>
      <c r="F263" s="59">
        <f>5.3749 * CHOOSE(CONTROL!$C$27, $C$14, 100%, $E$14)</f>
        <v>5.3749000000000002</v>
      </c>
      <c r="G263" s="59">
        <f>5.3818 * CHOOSE(CONTROL!$C$27, $C$14, 100%, $E$14)</f>
        <v>5.3818000000000001</v>
      </c>
      <c r="H263" s="59">
        <f>9.8241* CHOOSE(CONTROL!$C$27, $C$14, 100%, $E$14)</f>
        <v>9.8240999999999996</v>
      </c>
      <c r="I263" s="59">
        <f>9.831 * CHOOSE(CONTROL!$C$27, $C$14, 100%, $E$14)</f>
        <v>9.8309999999999995</v>
      </c>
      <c r="J263" s="59">
        <f>9.8241 * CHOOSE(CONTROL!$C$27, $C$14, 100%, $E$14)</f>
        <v>9.8240999999999996</v>
      </c>
      <c r="K263" s="59">
        <f>9.831 * CHOOSE(CONTROL!$C$27, $C$14, 100%, $E$14)</f>
        <v>9.8309999999999995</v>
      </c>
      <c r="L263" s="59">
        <f>5.3749 * CHOOSE(CONTROL!$C$27, $C$14, 100%, $E$14)</f>
        <v>5.3749000000000002</v>
      </c>
      <c r="M263" s="59">
        <f>5.3818 * CHOOSE(CONTROL!$C$27, $C$14, 100%, $E$14)</f>
        <v>5.3818000000000001</v>
      </c>
      <c r="N263" s="59">
        <f>5.3749 * CHOOSE(CONTROL!$C$27, $C$14, 100%, $E$14)</f>
        <v>5.3749000000000002</v>
      </c>
      <c r="O263" s="59">
        <f>5.3818 * CHOOSE(CONTROL!$C$27, $C$14, 100%, $E$14)</f>
        <v>5.3818000000000001</v>
      </c>
    </row>
    <row r="264" spans="1:15" ht="15">
      <c r="A264" s="11">
        <v>49126</v>
      </c>
      <c r="B264" s="58">
        <f>4.4705 * CHOOSE(CONTROL!$C$27, $C$14, 100%, $E$14)</f>
        <v>4.4705000000000004</v>
      </c>
      <c r="C264" s="58">
        <f>4.4705 * CHOOSE(CONTROL!$C$27, $C$14, 100%, $E$14)</f>
        <v>4.4705000000000004</v>
      </c>
      <c r="D264" s="58">
        <f>4.4761 * CHOOSE(CONTROL!$C$27, $C$14, 100%, $E$14)</f>
        <v>4.4760999999999997</v>
      </c>
      <c r="E264" s="59">
        <f>5.4902 * CHOOSE(CONTROL!$C$27, $C$14, 100%, $E$14)</f>
        <v>5.4901999999999997</v>
      </c>
      <c r="F264" s="59">
        <f>5.4902 * CHOOSE(CONTROL!$C$27, $C$14, 100%, $E$14)</f>
        <v>5.4901999999999997</v>
      </c>
      <c r="G264" s="59">
        <f>5.4971 * CHOOSE(CONTROL!$C$27, $C$14, 100%, $E$14)</f>
        <v>5.4970999999999997</v>
      </c>
      <c r="H264" s="59">
        <f>9.8446* CHOOSE(CONTROL!$C$27, $C$14, 100%, $E$14)</f>
        <v>9.8445999999999998</v>
      </c>
      <c r="I264" s="59">
        <f>9.8515 * CHOOSE(CONTROL!$C$27, $C$14, 100%, $E$14)</f>
        <v>9.8514999999999997</v>
      </c>
      <c r="J264" s="59">
        <f>9.8446 * CHOOSE(CONTROL!$C$27, $C$14, 100%, $E$14)</f>
        <v>9.8445999999999998</v>
      </c>
      <c r="K264" s="59">
        <f>9.8515 * CHOOSE(CONTROL!$C$27, $C$14, 100%, $E$14)</f>
        <v>9.8514999999999997</v>
      </c>
      <c r="L264" s="59">
        <f>5.4902 * CHOOSE(CONTROL!$C$27, $C$14, 100%, $E$14)</f>
        <v>5.4901999999999997</v>
      </c>
      <c r="M264" s="59">
        <f>5.4971 * CHOOSE(CONTROL!$C$27, $C$14, 100%, $E$14)</f>
        <v>5.4970999999999997</v>
      </c>
      <c r="N264" s="59">
        <f>5.4902 * CHOOSE(CONTROL!$C$27, $C$14, 100%, $E$14)</f>
        <v>5.4901999999999997</v>
      </c>
      <c r="O264" s="59">
        <f>5.4971 * CHOOSE(CONTROL!$C$27, $C$14, 100%, $E$14)</f>
        <v>5.4970999999999997</v>
      </c>
    </row>
    <row r="265" spans="1:15" ht="15">
      <c r="A265" s="11">
        <v>49157</v>
      </c>
      <c r="B265" s="58">
        <f>4.4771 * CHOOSE(CONTROL!$C$27, $C$14, 100%, $E$14)</f>
        <v>4.4771000000000001</v>
      </c>
      <c r="C265" s="58">
        <f>4.4771 * CHOOSE(CONTROL!$C$27, $C$14, 100%, $E$14)</f>
        <v>4.4771000000000001</v>
      </c>
      <c r="D265" s="58">
        <f>4.4828 * CHOOSE(CONTROL!$C$27, $C$14, 100%, $E$14)</f>
        <v>4.4828000000000001</v>
      </c>
      <c r="E265" s="59">
        <f>5.4151 * CHOOSE(CONTROL!$C$27, $C$14, 100%, $E$14)</f>
        <v>5.4150999999999998</v>
      </c>
      <c r="F265" s="59">
        <f>5.4151 * CHOOSE(CONTROL!$C$27, $C$14, 100%, $E$14)</f>
        <v>5.4150999999999998</v>
      </c>
      <c r="G265" s="59">
        <f>5.4219 * CHOOSE(CONTROL!$C$27, $C$14, 100%, $E$14)</f>
        <v>5.4218999999999999</v>
      </c>
      <c r="H265" s="59">
        <f>9.8651* CHOOSE(CONTROL!$C$27, $C$14, 100%, $E$14)</f>
        <v>9.8651</v>
      </c>
      <c r="I265" s="59">
        <f>9.872 * CHOOSE(CONTROL!$C$27, $C$14, 100%, $E$14)</f>
        <v>9.8719999999999999</v>
      </c>
      <c r="J265" s="59">
        <f>9.8651 * CHOOSE(CONTROL!$C$27, $C$14, 100%, $E$14)</f>
        <v>9.8651</v>
      </c>
      <c r="K265" s="59">
        <f>9.872 * CHOOSE(CONTROL!$C$27, $C$14, 100%, $E$14)</f>
        <v>9.8719999999999999</v>
      </c>
      <c r="L265" s="59">
        <f>5.4151 * CHOOSE(CONTROL!$C$27, $C$14, 100%, $E$14)</f>
        <v>5.4150999999999998</v>
      </c>
      <c r="M265" s="59">
        <f>5.4219 * CHOOSE(CONTROL!$C$27, $C$14, 100%, $E$14)</f>
        <v>5.4218999999999999</v>
      </c>
      <c r="N265" s="59">
        <f>5.4151 * CHOOSE(CONTROL!$C$27, $C$14, 100%, $E$14)</f>
        <v>5.4150999999999998</v>
      </c>
      <c r="O265" s="59">
        <f>5.4219 * CHOOSE(CONTROL!$C$27, $C$14, 100%, $E$14)</f>
        <v>5.4218999999999999</v>
      </c>
    </row>
    <row r="266" spans="1:15" ht="15">
      <c r="A266" s="11">
        <v>49188</v>
      </c>
      <c r="B266" s="58">
        <f>4.4741 * CHOOSE(CONTROL!$C$27, $C$14, 100%, $E$14)</f>
        <v>4.4741</v>
      </c>
      <c r="C266" s="58">
        <f>4.4741 * CHOOSE(CONTROL!$C$27, $C$14, 100%, $E$14)</f>
        <v>4.4741</v>
      </c>
      <c r="D266" s="58">
        <f>4.4797 * CHOOSE(CONTROL!$C$27, $C$14, 100%, $E$14)</f>
        <v>4.4797000000000002</v>
      </c>
      <c r="E266" s="59">
        <f>5.4041 * CHOOSE(CONTROL!$C$27, $C$14, 100%, $E$14)</f>
        <v>5.4040999999999997</v>
      </c>
      <c r="F266" s="59">
        <f>5.4041 * CHOOSE(CONTROL!$C$27, $C$14, 100%, $E$14)</f>
        <v>5.4040999999999997</v>
      </c>
      <c r="G266" s="59">
        <f>5.411 * CHOOSE(CONTROL!$C$27, $C$14, 100%, $E$14)</f>
        <v>5.4109999999999996</v>
      </c>
      <c r="H266" s="59">
        <f>9.8856* CHOOSE(CONTROL!$C$27, $C$14, 100%, $E$14)</f>
        <v>9.8856000000000002</v>
      </c>
      <c r="I266" s="59">
        <f>9.8925 * CHOOSE(CONTROL!$C$27, $C$14, 100%, $E$14)</f>
        <v>9.8925000000000001</v>
      </c>
      <c r="J266" s="59">
        <f>9.8856 * CHOOSE(CONTROL!$C$27, $C$14, 100%, $E$14)</f>
        <v>9.8856000000000002</v>
      </c>
      <c r="K266" s="59">
        <f>9.8925 * CHOOSE(CONTROL!$C$27, $C$14, 100%, $E$14)</f>
        <v>9.8925000000000001</v>
      </c>
      <c r="L266" s="59">
        <f>5.4041 * CHOOSE(CONTROL!$C$27, $C$14, 100%, $E$14)</f>
        <v>5.4040999999999997</v>
      </c>
      <c r="M266" s="59">
        <f>5.411 * CHOOSE(CONTROL!$C$27, $C$14, 100%, $E$14)</f>
        <v>5.4109999999999996</v>
      </c>
      <c r="N266" s="59">
        <f>5.4041 * CHOOSE(CONTROL!$C$27, $C$14, 100%, $E$14)</f>
        <v>5.4040999999999997</v>
      </c>
      <c r="O266" s="59">
        <f>5.411 * CHOOSE(CONTROL!$C$27, $C$14, 100%, $E$14)</f>
        <v>5.4109999999999996</v>
      </c>
    </row>
    <row r="267" spans="1:15" ht="15">
      <c r="A267" s="11">
        <v>49218</v>
      </c>
      <c r="B267" s="58">
        <f>4.4707 * CHOOSE(CONTROL!$C$27, $C$14, 100%, $E$14)</f>
        <v>4.4706999999999999</v>
      </c>
      <c r="C267" s="58">
        <f>4.4707 * CHOOSE(CONTROL!$C$27, $C$14, 100%, $E$14)</f>
        <v>4.4706999999999999</v>
      </c>
      <c r="D267" s="58">
        <f>4.4747 * CHOOSE(CONTROL!$C$27, $C$14, 100%, $E$14)</f>
        <v>4.4747000000000003</v>
      </c>
      <c r="E267" s="59">
        <f>5.4261 * CHOOSE(CONTROL!$C$27, $C$14, 100%, $E$14)</f>
        <v>5.4260999999999999</v>
      </c>
      <c r="F267" s="59">
        <f>5.4261 * CHOOSE(CONTROL!$C$27, $C$14, 100%, $E$14)</f>
        <v>5.4260999999999999</v>
      </c>
      <c r="G267" s="59">
        <f>5.431 * CHOOSE(CONTROL!$C$27, $C$14, 100%, $E$14)</f>
        <v>5.431</v>
      </c>
      <c r="H267" s="59">
        <f>9.9062* CHOOSE(CONTROL!$C$27, $C$14, 100%, $E$14)</f>
        <v>9.9062000000000001</v>
      </c>
      <c r="I267" s="59">
        <f>9.9111 * CHOOSE(CONTROL!$C$27, $C$14, 100%, $E$14)</f>
        <v>9.9110999999999994</v>
      </c>
      <c r="J267" s="59">
        <f>9.9062 * CHOOSE(CONTROL!$C$27, $C$14, 100%, $E$14)</f>
        <v>9.9062000000000001</v>
      </c>
      <c r="K267" s="59">
        <f>9.9111 * CHOOSE(CONTROL!$C$27, $C$14, 100%, $E$14)</f>
        <v>9.9110999999999994</v>
      </c>
      <c r="L267" s="59">
        <f>5.4261 * CHOOSE(CONTROL!$C$27, $C$14, 100%, $E$14)</f>
        <v>5.4260999999999999</v>
      </c>
      <c r="M267" s="59">
        <f>5.431 * CHOOSE(CONTROL!$C$27, $C$14, 100%, $E$14)</f>
        <v>5.431</v>
      </c>
      <c r="N267" s="59">
        <f>5.4261 * CHOOSE(CONTROL!$C$27, $C$14, 100%, $E$14)</f>
        <v>5.4260999999999999</v>
      </c>
      <c r="O267" s="59">
        <f>5.431 * CHOOSE(CONTROL!$C$27, $C$14, 100%, $E$14)</f>
        <v>5.431</v>
      </c>
    </row>
    <row r="268" spans="1:15" ht="15">
      <c r="A268" s="11">
        <v>49249</v>
      </c>
      <c r="B268" s="58">
        <f>4.4738 * CHOOSE(CONTROL!$C$27, $C$14, 100%, $E$14)</f>
        <v>4.4737999999999998</v>
      </c>
      <c r="C268" s="58">
        <f>4.4738 * CHOOSE(CONTROL!$C$27, $C$14, 100%, $E$14)</f>
        <v>4.4737999999999998</v>
      </c>
      <c r="D268" s="58">
        <f>4.4778 * CHOOSE(CONTROL!$C$27, $C$14, 100%, $E$14)</f>
        <v>4.4778000000000002</v>
      </c>
      <c r="E268" s="59">
        <f>5.446 * CHOOSE(CONTROL!$C$27, $C$14, 100%, $E$14)</f>
        <v>5.4459999999999997</v>
      </c>
      <c r="F268" s="59">
        <f>5.446 * CHOOSE(CONTROL!$C$27, $C$14, 100%, $E$14)</f>
        <v>5.4459999999999997</v>
      </c>
      <c r="G268" s="59">
        <f>5.4509 * CHOOSE(CONTROL!$C$27, $C$14, 100%, $E$14)</f>
        <v>5.4508999999999999</v>
      </c>
      <c r="H268" s="59">
        <f>9.9269* CHOOSE(CONTROL!$C$27, $C$14, 100%, $E$14)</f>
        <v>9.9268999999999998</v>
      </c>
      <c r="I268" s="59">
        <f>9.9318 * CHOOSE(CONTROL!$C$27, $C$14, 100%, $E$14)</f>
        <v>9.9318000000000008</v>
      </c>
      <c r="J268" s="59">
        <f>9.9269 * CHOOSE(CONTROL!$C$27, $C$14, 100%, $E$14)</f>
        <v>9.9268999999999998</v>
      </c>
      <c r="K268" s="59">
        <f>9.9318 * CHOOSE(CONTROL!$C$27, $C$14, 100%, $E$14)</f>
        <v>9.9318000000000008</v>
      </c>
      <c r="L268" s="59">
        <f>5.446 * CHOOSE(CONTROL!$C$27, $C$14, 100%, $E$14)</f>
        <v>5.4459999999999997</v>
      </c>
      <c r="M268" s="59">
        <f>5.4509 * CHOOSE(CONTROL!$C$27, $C$14, 100%, $E$14)</f>
        <v>5.4508999999999999</v>
      </c>
      <c r="N268" s="59">
        <f>5.446 * CHOOSE(CONTROL!$C$27, $C$14, 100%, $E$14)</f>
        <v>5.4459999999999997</v>
      </c>
      <c r="O268" s="59">
        <f>5.4509 * CHOOSE(CONTROL!$C$27, $C$14, 100%, $E$14)</f>
        <v>5.4508999999999999</v>
      </c>
    </row>
    <row r="269" spans="1:15" ht="15">
      <c r="A269" s="11">
        <v>49279</v>
      </c>
      <c r="B269" s="58">
        <f>4.4738 * CHOOSE(CONTROL!$C$27, $C$14, 100%, $E$14)</f>
        <v>4.4737999999999998</v>
      </c>
      <c r="C269" s="58">
        <f>4.4738 * CHOOSE(CONTROL!$C$27, $C$14, 100%, $E$14)</f>
        <v>4.4737999999999998</v>
      </c>
      <c r="D269" s="58">
        <f>4.4778 * CHOOSE(CONTROL!$C$27, $C$14, 100%, $E$14)</f>
        <v>4.4778000000000002</v>
      </c>
      <c r="E269" s="59">
        <f>5.4016 * CHOOSE(CONTROL!$C$27, $C$14, 100%, $E$14)</f>
        <v>5.4016000000000002</v>
      </c>
      <c r="F269" s="59">
        <f>5.4016 * CHOOSE(CONTROL!$C$27, $C$14, 100%, $E$14)</f>
        <v>5.4016000000000002</v>
      </c>
      <c r="G269" s="59">
        <f>5.4066 * CHOOSE(CONTROL!$C$27, $C$14, 100%, $E$14)</f>
        <v>5.4066000000000001</v>
      </c>
      <c r="H269" s="59">
        <f>9.9475* CHOOSE(CONTROL!$C$27, $C$14, 100%, $E$14)</f>
        <v>9.9474999999999998</v>
      </c>
      <c r="I269" s="59">
        <f>9.9525 * CHOOSE(CONTROL!$C$27, $C$14, 100%, $E$14)</f>
        <v>9.9525000000000006</v>
      </c>
      <c r="J269" s="59">
        <f>9.9475 * CHOOSE(CONTROL!$C$27, $C$14, 100%, $E$14)</f>
        <v>9.9474999999999998</v>
      </c>
      <c r="K269" s="59">
        <f>9.9525 * CHOOSE(CONTROL!$C$27, $C$14, 100%, $E$14)</f>
        <v>9.9525000000000006</v>
      </c>
      <c r="L269" s="59">
        <f>5.4016 * CHOOSE(CONTROL!$C$27, $C$14, 100%, $E$14)</f>
        <v>5.4016000000000002</v>
      </c>
      <c r="M269" s="59">
        <f>5.4066 * CHOOSE(CONTROL!$C$27, $C$14, 100%, $E$14)</f>
        <v>5.4066000000000001</v>
      </c>
      <c r="N269" s="59">
        <f>5.4016 * CHOOSE(CONTROL!$C$27, $C$14, 100%, $E$14)</f>
        <v>5.4016000000000002</v>
      </c>
      <c r="O269" s="59">
        <f>5.4066 * CHOOSE(CONTROL!$C$27, $C$14, 100%, $E$14)</f>
        <v>5.4066000000000001</v>
      </c>
    </row>
    <row r="270" spans="1:15" ht="15">
      <c r="A270" s="11">
        <v>49310</v>
      </c>
      <c r="B270" s="58">
        <f>4.515 * CHOOSE(CONTROL!$C$27, $C$14, 100%, $E$14)</f>
        <v>4.5149999999999997</v>
      </c>
      <c r="C270" s="58">
        <f>4.515 * CHOOSE(CONTROL!$C$27, $C$14, 100%, $E$14)</f>
        <v>4.5149999999999997</v>
      </c>
      <c r="D270" s="58">
        <f>4.519 * CHOOSE(CONTROL!$C$27, $C$14, 100%, $E$14)</f>
        <v>4.5190000000000001</v>
      </c>
      <c r="E270" s="59">
        <f>5.4889 * CHOOSE(CONTROL!$C$27, $C$14, 100%, $E$14)</f>
        <v>5.4889000000000001</v>
      </c>
      <c r="F270" s="59">
        <f>5.4889 * CHOOSE(CONTROL!$C$27, $C$14, 100%, $E$14)</f>
        <v>5.4889000000000001</v>
      </c>
      <c r="G270" s="59">
        <f>5.4938 * CHOOSE(CONTROL!$C$27, $C$14, 100%, $E$14)</f>
        <v>5.4938000000000002</v>
      </c>
      <c r="H270" s="59">
        <f>9.9683* CHOOSE(CONTROL!$C$27, $C$14, 100%, $E$14)</f>
        <v>9.9682999999999993</v>
      </c>
      <c r="I270" s="59">
        <f>9.9732 * CHOOSE(CONTROL!$C$27, $C$14, 100%, $E$14)</f>
        <v>9.9732000000000003</v>
      </c>
      <c r="J270" s="59">
        <f>9.9683 * CHOOSE(CONTROL!$C$27, $C$14, 100%, $E$14)</f>
        <v>9.9682999999999993</v>
      </c>
      <c r="K270" s="59">
        <f>9.9732 * CHOOSE(CONTROL!$C$27, $C$14, 100%, $E$14)</f>
        <v>9.9732000000000003</v>
      </c>
      <c r="L270" s="59">
        <f>5.4889 * CHOOSE(CONTROL!$C$27, $C$14, 100%, $E$14)</f>
        <v>5.4889000000000001</v>
      </c>
      <c r="M270" s="59">
        <f>5.4938 * CHOOSE(CONTROL!$C$27, $C$14, 100%, $E$14)</f>
        <v>5.4938000000000002</v>
      </c>
      <c r="N270" s="59">
        <f>5.4889 * CHOOSE(CONTROL!$C$27, $C$14, 100%, $E$14)</f>
        <v>5.4889000000000001</v>
      </c>
      <c r="O270" s="59">
        <f>5.4938 * CHOOSE(CONTROL!$C$27, $C$14, 100%, $E$14)</f>
        <v>5.4938000000000002</v>
      </c>
    </row>
    <row r="271" spans="1:15" ht="15">
      <c r="A271" s="11">
        <v>49341</v>
      </c>
      <c r="B271" s="58">
        <f>4.5119 * CHOOSE(CONTROL!$C$27, $C$14, 100%, $E$14)</f>
        <v>4.5118999999999998</v>
      </c>
      <c r="C271" s="58">
        <f>4.5119 * CHOOSE(CONTROL!$C$27, $C$14, 100%, $E$14)</f>
        <v>4.5118999999999998</v>
      </c>
      <c r="D271" s="58">
        <f>4.5159 * CHOOSE(CONTROL!$C$27, $C$14, 100%, $E$14)</f>
        <v>4.5159000000000002</v>
      </c>
      <c r="E271" s="59">
        <f>5.4007 * CHOOSE(CONTROL!$C$27, $C$14, 100%, $E$14)</f>
        <v>5.4006999999999996</v>
      </c>
      <c r="F271" s="59">
        <f>5.4007 * CHOOSE(CONTROL!$C$27, $C$14, 100%, $E$14)</f>
        <v>5.4006999999999996</v>
      </c>
      <c r="G271" s="59">
        <f>5.4056 * CHOOSE(CONTROL!$C$27, $C$14, 100%, $E$14)</f>
        <v>5.4055999999999997</v>
      </c>
      <c r="H271" s="59">
        <f>9.989* CHOOSE(CONTROL!$C$27, $C$14, 100%, $E$14)</f>
        <v>9.9890000000000008</v>
      </c>
      <c r="I271" s="59">
        <f>9.994 * CHOOSE(CONTROL!$C$27, $C$14, 100%, $E$14)</f>
        <v>9.9939999999999998</v>
      </c>
      <c r="J271" s="59">
        <f>9.989 * CHOOSE(CONTROL!$C$27, $C$14, 100%, $E$14)</f>
        <v>9.9890000000000008</v>
      </c>
      <c r="K271" s="59">
        <f>9.994 * CHOOSE(CONTROL!$C$27, $C$14, 100%, $E$14)</f>
        <v>9.9939999999999998</v>
      </c>
      <c r="L271" s="59">
        <f>5.4007 * CHOOSE(CONTROL!$C$27, $C$14, 100%, $E$14)</f>
        <v>5.4006999999999996</v>
      </c>
      <c r="M271" s="59">
        <f>5.4056 * CHOOSE(CONTROL!$C$27, $C$14, 100%, $E$14)</f>
        <v>5.4055999999999997</v>
      </c>
      <c r="N271" s="59">
        <f>5.4007 * CHOOSE(CONTROL!$C$27, $C$14, 100%, $E$14)</f>
        <v>5.4006999999999996</v>
      </c>
      <c r="O271" s="59">
        <f>5.4056 * CHOOSE(CONTROL!$C$27, $C$14, 100%, $E$14)</f>
        <v>5.4055999999999997</v>
      </c>
    </row>
    <row r="272" spans="1:15" ht="15">
      <c r="A272" s="11">
        <v>49369</v>
      </c>
      <c r="B272" s="58">
        <f>4.5089 * CHOOSE(CONTROL!$C$27, $C$14, 100%, $E$14)</f>
        <v>4.5088999999999997</v>
      </c>
      <c r="C272" s="58">
        <f>4.5089 * CHOOSE(CONTROL!$C$27, $C$14, 100%, $E$14)</f>
        <v>4.5088999999999997</v>
      </c>
      <c r="D272" s="58">
        <f>4.5129 * CHOOSE(CONTROL!$C$27, $C$14, 100%, $E$14)</f>
        <v>4.5129000000000001</v>
      </c>
      <c r="E272" s="59">
        <f>5.4664 * CHOOSE(CONTROL!$C$27, $C$14, 100%, $E$14)</f>
        <v>5.4664000000000001</v>
      </c>
      <c r="F272" s="59">
        <f>5.4664 * CHOOSE(CONTROL!$C$27, $C$14, 100%, $E$14)</f>
        <v>5.4664000000000001</v>
      </c>
      <c r="G272" s="59">
        <f>5.4713 * CHOOSE(CONTROL!$C$27, $C$14, 100%, $E$14)</f>
        <v>5.4713000000000003</v>
      </c>
      <c r="H272" s="59">
        <f>10.0098* CHOOSE(CONTROL!$C$27, $C$14, 100%, $E$14)</f>
        <v>10.0098</v>
      </c>
      <c r="I272" s="59">
        <f>10.0148 * CHOOSE(CONTROL!$C$27, $C$14, 100%, $E$14)</f>
        <v>10.014799999999999</v>
      </c>
      <c r="J272" s="59">
        <f>10.0098 * CHOOSE(CONTROL!$C$27, $C$14, 100%, $E$14)</f>
        <v>10.0098</v>
      </c>
      <c r="K272" s="59">
        <f>10.0148 * CHOOSE(CONTROL!$C$27, $C$14, 100%, $E$14)</f>
        <v>10.014799999999999</v>
      </c>
      <c r="L272" s="59">
        <f>5.4664 * CHOOSE(CONTROL!$C$27, $C$14, 100%, $E$14)</f>
        <v>5.4664000000000001</v>
      </c>
      <c r="M272" s="59">
        <f>5.4713 * CHOOSE(CONTROL!$C$27, $C$14, 100%, $E$14)</f>
        <v>5.4713000000000003</v>
      </c>
      <c r="N272" s="59">
        <f>5.4664 * CHOOSE(CONTROL!$C$27, $C$14, 100%, $E$14)</f>
        <v>5.4664000000000001</v>
      </c>
      <c r="O272" s="59">
        <f>5.4713 * CHOOSE(CONTROL!$C$27, $C$14, 100%, $E$14)</f>
        <v>5.4713000000000003</v>
      </c>
    </row>
    <row r="273" spans="1:15" ht="15">
      <c r="A273" s="11">
        <v>49400</v>
      </c>
      <c r="B273" s="58">
        <f>4.507 * CHOOSE(CONTROL!$C$27, $C$14, 100%, $E$14)</f>
        <v>4.5069999999999997</v>
      </c>
      <c r="C273" s="58">
        <f>4.507 * CHOOSE(CONTROL!$C$27, $C$14, 100%, $E$14)</f>
        <v>4.5069999999999997</v>
      </c>
      <c r="D273" s="58">
        <f>4.511 * CHOOSE(CONTROL!$C$27, $C$14, 100%, $E$14)</f>
        <v>4.5110000000000001</v>
      </c>
      <c r="E273" s="59">
        <f>5.535 * CHOOSE(CONTROL!$C$27, $C$14, 100%, $E$14)</f>
        <v>5.5350000000000001</v>
      </c>
      <c r="F273" s="59">
        <f>5.535 * CHOOSE(CONTROL!$C$27, $C$14, 100%, $E$14)</f>
        <v>5.5350000000000001</v>
      </c>
      <c r="G273" s="59">
        <f>5.5399 * CHOOSE(CONTROL!$C$27, $C$14, 100%, $E$14)</f>
        <v>5.5399000000000003</v>
      </c>
      <c r="H273" s="59">
        <f>10.0307* CHOOSE(CONTROL!$C$27, $C$14, 100%, $E$14)</f>
        <v>10.0307</v>
      </c>
      <c r="I273" s="59">
        <f>10.0356 * CHOOSE(CONTROL!$C$27, $C$14, 100%, $E$14)</f>
        <v>10.035600000000001</v>
      </c>
      <c r="J273" s="59">
        <f>10.0307 * CHOOSE(CONTROL!$C$27, $C$14, 100%, $E$14)</f>
        <v>10.0307</v>
      </c>
      <c r="K273" s="59">
        <f>10.0356 * CHOOSE(CONTROL!$C$27, $C$14, 100%, $E$14)</f>
        <v>10.035600000000001</v>
      </c>
      <c r="L273" s="59">
        <f>5.535 * CHOOSE(CONTROL!$C$27, $C$14, 100%, $E$14)</f>
        <v>5.5350000000000001</v>
      </c>
      <c r="M273" s="59">
        <f>5.5399 * CHOOSE(CONTROL!$C$27, $C$14, 100%, $E$14)</f>
        <v>5.5399000000000003</v>
      </c>
      <c r="N273" s="59">
        <f>5.535 * CHOOSE(CONTROL!$C$27, $C$14, 100%, $E$14)</f>
        <v>5.5350000000000001</v>
      </c>
      <c r="O273" s="59">
        <f>5.5399 * CHOOSE(CONTROL!$C$27, $C$14, 100%, $E$14)</f>
        <v>5.5399000000000003</v>
      </c>
    </row>
    <row r="274" spans="1:15" ht="15">
      <c r="A274" s="11">
        <v>49430</v>
      </c>
      <c r="B274" s="58">
        <f>4.507 * CHOOSE(CONTROL!$C$27, $C$14, 100%, $E$14)</f>
        <v>4.5069999999999997</v>
      </c>
      <c r="C274" s="58">
        <f>4.507 * CHOOSE(CONTROL!$C$27, $C$14, 100%, $E$14)</f>
        <v>4.5069999999999997</v>
      </c>
      <c r="D274" s="58">
        <f>4.5126 * CHOOSE(CONTROL!$C$27, $C$14, 100%, $E$14)</f>
        <v>4.5125999999999999</v>
      </c>
      <c r="E274" s="59">
        <f>5.5623 * CHOOSE(CONTROL!$C$27, $C$14, 100%, $E$14)</f>
        <v>5.5622999999999996</v>
      </c>
      <c r="F274" s="59">
        <f>5.5623 * CHOOSE(CONTROL!$C$27, $C$14, 100%, $E$14)</f>
        <v>5.5622999999999996</v>
      </c>
      <c r="G274" s="59">
        <f>5.5692 * CHOOSE(CONTROL!$C$27, $C$14, 100%, $E$14)</f>
        <v>5.5692000000000004</v>
      </c>
      <c r="H274" s="59">
        <f>10.0516* CHOOSE(CONTROL!$C$27, $C$14, 100%, $E$14)</f>
        <v>10.051600000000001</v>
      </c>
      <c r="I274" s="59">
        <f>10.0585 * CHOOSE(CONTROL!$C$27, $C$14, 100%, $E$14)</f>
        <v>10.0585</v>
      </c>
      <c r="J274" s="59">
        <f>10.0516 * CHOOSE(CONTROL!$C$27, $C$14, 100%, $E$14)</f>
        <v>10.051600000000001</v>
      </c>
      <c r="K274" s="59">
        <f>10.0585 * CHOOSE(CONTROL!$C$27, $C$14, 100%, $E$14)</f>
        <v>10.0585</v>
      </c>
      <c r="L274" s="59">
        <f>5.5623 * CHOOSE(CONTROL!$C$27, $C$14, 100%, $E$14)</f>
        <v>5.5622999999999996</v>
      </c>
      <c r="M274" s="59">
        <f>5.5692 * CHOOSE(CONTROL!$C$27, $C$14, 100%, $E$14)</f>
        <v>5.5692000000000004</v>
      </c>
      <c r="N274" s="59">
        <f>5.5623 * CHOOSE(CONTROL!$C$27, $C$14, 100%, $E$14)</f>
        <v>5.5622999999999996</v>
      </c>
      <c r="O274" s="59">
        <f>5.5692 * CHOOSE(CONTROL!$C$27, $C$14, 100%, $E$14)</f>
        <v>5.5692000000000004</v>
      </c>
    </row>
    <row r="275" spans="1:15" ht="15">
      <c r="A275" s="11">
        <v>49461</v>
      </c>
      <c r="B275" s="58">
        <f>4.5131 * CHOOSE(CONTROL!$C$27, $C$14, 100%, $E$14)</f>
        <v>4.5130999999999997</v>
      </c>
      <c r="C275" s="58">
        <f>4.5131 * CHOOSE(CONTROL!$C$27, $C$14, 100%, $E$14)</f>
        <v>4.5130999999999997</v>
      </c>
      <c r="D275" s="58">
        <f>4.5187 * CHOOSE(CONTROL!$C$27, $C$14, 100%, $E$14)</f>
        <v>4.5186999999999999</v>
      </c>
      <c r="E275" s="59">
        <f>5.5393 * CHOOSE(CONTROL!$C$27, $C$14, 100%, $E$14)</f>
        <v>5.5392999999999999</v>
      </c>
      <c r="F275" s="59">
        <f>5.5393 * CHOOSE(CONTROL!$C$27, $C$14, 100%, $E$14)</f>
        <v>5.5392999999999999</v>
      </c>
      <c r="G275" s="59">
        <f>5.5461 * CHOOSE(CONTROL!$C$27, $C$14, 100%, $E$14)</f>
        <v>5.5461</v>
      </c>
      <c r="H275" s="59">
        <f>10.0725* CHOOSE(CONTROL!$C$27, $C$14, 100%, $E$14)</f>
        <v>10.0725</v>
      </c>
      <c r="I275" s="59">
        <f>10.0794 * CHOOSE(CONTROL!$C$27, $C$14, 100%, $E$14)</f>
        <v>10.0794</v>
      </c>
      <c r="J275" s="59">
        <f>10.0725 * CHOOSE(CONTROL!$C$27, $C$14, 100%, $E$14)</f>
        <v>10.0725</v>
      </c>
      <c r="K275" s="59">
        <f>10.0794 * CHOOSE(CONTROL!$C$27, $C$14, 100%, $E$14)</f>
        <v>10.0794</v>
      </c>
      <c r="L275" s="59">
        <f>5.5393 * CHOOSE(CONTROL!$C$27, $C$14, 100%, $E$14)</f>
        <v>5.5392999999999999</v>
      </c>
      <c r="M275" s="59">
        <f>5.5461 * CHOOSE(CONTROL!$C$27, $C$14, 100%, $E$14)</f>
        <v>5.5461</v>
      </c>
      <c r="N275" s="59">
        <f>5.5393 * CHOOSE(CONTROL!$C$27, $C$14, 100%, $E$14)</f>
        <v>5.5392999999999999</v>
      </c>
      <c r="O275" s="59">
        <f>5.5461 * CHOOSE(CONTROL!$C$27, $C$14, 100%, $E$14)</f>
        <v>5.5461</v>
      </c>
    </row>
    <row r="276" spans="1:15" ht="15">
      <c r="A276" s="11">
        <v>49491</v>
      </c>
      <c r="B276" s="58">
        <f>4.5909 * CHOOSE(CONTROL!$C$27, $C$14, 100%, $E$14)</f>
        <v>4.5909000000000004</v>
      </c>
      <c r="C276" s="58">
        <f>4.5909 * CHOOSE(CONTROL!$C$27, $C$14, 100%, $E$14)</f>
        <v>4.5909000000000004</v>
      </c>
      <c r="D276" s="58">
        <f>4.5965 * CHOOSE(CONTROL!$C$27, $C$14, 100%, $E$14)</f>
        <v>4.5964999999999998</v>
      </c>
      <c r="E276" s="59">
        <f>5.6624 * CHOOSE(CONTROL!$C$27, $C$14, 100%, $E$14)</f>
        <v>5.6623999999999999</v>
      </c>
      <c r="F276" s="59">
        <f>5.6624 * CHOOSE(CONTROL!$C$27, $C$14, 100%, $E$14)</f>
        <v>5.6623999999999999</v>
      </c>
      <c r="G276" s="59">
        <f>5.6693 * CHOOSE(CONTROL!$C$27, $C$14, 100%, $E$14)</f>
        <v>5.6692999999999998</v>
      </c>
      <c r="H276" s="59">
        <f>10.0935* CHOOSE(CONTROL!$C$27, $C$14, 100%, $E$14)</f>
        <v>10.093500000000001</v>
      </c>
      <c r="I276" s="59">
        <f>10.1004 * CHOOSE(CONTROL!$C$27, $C$14, 100%, $E$14)</f>
        <v>10.1004</v>
      </c>
      <c r="J276" s="59">
        <f>10.0935 * CHOOSE(CONTROL!$C$27, $C$14, 100%, $E$14)</f>
        <v>10.093500000000001</v>
      </c>
      <c r="K276" s="59">
        <f>10.1004 * CHOOSE(CONTROL!$C$27, $C$14, 100%, $E$14)</f>
        <v>10.1004</v>
      </c>
      <c r="L276" s="59">
        <f>5.6624 * CHOOSE(CONTROL!$C$27, $C$14, 100%, $E$14)</f>
        <v>5.6623999999999999</v>
      </c>
      <c r="M276" s="59">
        <f>5.6693 * CHOOSE(CONTROL!$C$27, $C$14, 100%, $E$14)</f>
        <v>5.6692999999999998</v>
      </c>
      <c r="N276" s="59">
        <f>5.6624 * CHOOSE(CONTROL!$C$27, $C$14, 100%, $E$14)</f>
        <v>5.6623999999999999</v>
      </c>
      <c r="O276" s="59">
        <f>5.6693 * CHOOSE(CONTROL!$C$27, $C$14, 100%, $E$14)</f>
        <v>5.6692999999999998</v>
      </c>
    </row>
    <row r="277" spans="1:15" ht="15">
      <c r="A277" s="11">
        <v>49522</v>
      </c>
      <c r="B277" s="58">
        <f>4.5975 * CHOOSE(CONTROL!$C$27, $C$14, 100%, $E$14)</f>
        <v>4.5975000000000001</v>
      </c>
      <c r="C277" s="58">
        <f>4.5975 * CHOOSE(CONTROL!$C$27, $C$14, 100%, $E$14)</f>
        <v>4.5975000000000001</v>
      </c>
      <c r="D277" s="58">
        <f>4.6032 * CHOOSE(CONTROL!$C$27, $C$14, 100%, $E$14)</f>
        <v>4.6032000000000002</v>
      </c>
      <c r="E277" s="59">
        <f>5.5851 * CHOOSE(CONTROL!$C$27, $C$14, 100%, $E$14)</f>
        <v>5.5850999999999997</v>
      </c>
      <c r="F277" s="59">
        <f>5.5851 * CHOOSE(CONTROL!$C$27, $C$14, 100%, $E$14)</f>
        <v>5.5850999999999997</v>
      </c>
      <c r="G277" s="59">
        <f>5.592 * CHOOSE(CONTROL!$C$27, $C$14, 100%, $E$14)</f>
        <v>5.5919999999999996</v>
      </c>
      <c r="H277" s="59">
        <f>10.1145* CHOOSE(CONTROL!$C$27, $C$14, 100%, $E$14)</f>
        <v>10.1145</v>
      </c>
      <c r="I277" s="59">
        <f>10.1214 * CHOOSE(CONTROL!$C$27, $C$14, 100%, $E$14)</f>
        <v>10.1214</v>
      </c>
      <c r="J277" s="59">
        <f>10.1145 * CHOOSE(CONTROL!$C$27, $C$14, 100%, $E$14)</f>
        <v>10.1145</v>
      </c>
      <c r="K277" s="59">
        <f>10.1214 * CHOOSE(CONTROL!$C$27, $C$14, 100%, $E$14)</f>
        <v>10.1214</v>
      </c>
      <c r="L277" s="59">
        <f>5.5851 * CHOOSE(CONTROL!$C$27, $C$14, 100%, $E$14)</f>
        <v>5.5850999999999997</v>
      </c>
      <c r="M277" s="59">
        <f>5.592 * CHOOSE(CONTROL!$C$27, $C$14, 100%, $E$14)</f>
        <v>5.5919999999999996</v>
      </c>
      <c r="N277" s="59">
        <f>5.5851 * CHOOSE(CONTROL!$C$27, $C$14, 100%, $E$14)</f>
        <v>5.5850999999999997</v>
      </c>
      <c r="O277" s="59">
        <f>5.592 * CHOOSE(CONTROL!$C$27, $C$14, 100%, $E$14)</f>
        <v>5.5919999999999996</v>
      </c>
    </row>
    <row r="278" spans="1:15" ht="15">
      <c r="A278" s="11">
        <v>49553</v>
      </c>
      <c r="B278" s="58">
        <f>4.5945 * CHOOSE(CONTROL!$C$27, $C$14, 100%, $E$14)</f>
        <v>4.5945</v>
      </c>
      <c r="C278" s="58">
        <f>4.5945 * CHOOSE(CONTROL!$C$27, $C$14, 100%, $E$14)</f>
        <v>4.5945</v>
      </c>
      <c r="D278" s="58">
        <f>4.6001 * CHOOSE(CONTROL!$C$27, $C$14, 100%, $E$14)</f>
        <v>4.6001000000000003</v>
      </c>
      <c r="E278" s="59">
        <f>5.5739 * CHOOSE(CONTROL!$C$27, $C$14, 100%, $E$14)</f>
        <v>5.5739000000000001</v>
      </c>
      <c r="F278" s="59">
        <f>5.5739 * CHOOSE(CONTROL!$C$27, $C$14, 100%, $E$14)</f>
        <v>5.5739000000000001</v>
      </c>
      <c r="G278" s="59">
        <f>5.5808 * CHOOSE(CONTROL!$C$27, $C$14, 100%, $E$14)</f>
        <v>5.5808</v>
      </c>
      <c r="H278" s="59">
        <f>10.1356* CHOOSE(CONTROL!$C$27, $C$14, 100%, $E$14)</f>
        <v>10.1356</v>
      </c>
      <c r="I278" s="59">
        <f>10.1425 * CHOOSE(CONTROL!$C$27, $C$14, 100%, $E$14)</f>
        <v>10.1425</v>
      </c>
      <c r="J278" s="59">
        <f>10.1356 * CHOOSE(CONTROL!$C$27, $C$14, 100%, $E$14)</f>
        <v>10.1356</v>
      </c>
      <c r="K278" s="59">
        <f>10.1425 * CHOOSE(CONTROL!$C$27, $C$14, 100%, $E$14)</f>
        <v>10.1425</v>
      </c>
      <c r="L278" s="59">
        <f>5.5739 * CHOOSE(CONTROL!$C$27, $C$14, 100%, $E$14)</f>
        <v>5.5739000000000001</v>
      </c>
      <c r="M278" s="59">
        <f>5.5808 * CHOOSE(CONTROL!$C$27, $C$14, 100%, $E$14)</f>
        <v>5.5808</v>
      </c>
      <c r="N278" s="59">
        <f>5.5739 * CHOOSE(CONTROL!$C$27, $C$14, 100%, $E$14)</f>
        <v>5.5739000000000001</v>
      </c>
      <c r="O278" s="59">
        <f>5.5808 * CHOOSE(CONTROL!$C$27, $C$14, 100%, $E$14)</f>
        <v>5.5808</v>
      </c>
    </row>
    <row r="279" spans="1:15" ht="15">
      <c r="A279" s="11">
        <v>49583</v>
      </c>
      <c r="B279" s="58">
        <f>4.5915 * CHOOSE(CONTROL!$C$27, $C$14, 100%, $E$14)</f>
        <v>4.5914999999999999</v>
      </c>
      <c r="C279" s="58">
        <f>4.5915 * CHOOSE(CONTROL!$C$27, $C$14, 100%, $E$14)</f>
        <v>4.5914999999999999</v>
      </c>
      <c r="D279" s="58">
        <f>4.5955 * CHOOSE(CONTROL!$C$27, $C$14, 100%, $E$14)</f>
        <v>4.5955000000000004</v>
      </c>
      <c r="E279" s="59">
        <f>5.5969 * CHOOSE(CONTROL!$C$27, $C$14, 100%, $E$14)</f>
        <v>5.5968999999999998</v>
      </c>
      <c r="F279" s="59">
        <f>5.5969 * CHOOSE(CONTROL!$C$27, $C$14, 100%, $E$14)</f>
        <v>5.5968999999999998</v>
      </c>
      <c r="G279" s="59">
        <f>5.6018 * CHOOSE(CONTROL!$C$27, $C$14, 100%, $E$14)</f>
        <v>5.6017999999999999</v>
      </c>
      <c r="H279" s="59">
        <f>10.1567* CHOOSE(CONTROL!$C$27, $C$14, 100%, $E$14)</f>
        <v>10.156700000000001</v>
      </c>
      <c r="I279" s="59">
        <f>10.1617 * CHOOSE(CONTROL!$C$27, $C$14, 100%, $E$14)</f>
        <v>10.1617</v>
      </c>
      <c r="J279" s="59">
        <f>10.1567 * CHOOSE(CONTROL!$C$27, $C$14, 100%, $E$14)</f>
        <v>10.156700000000001</v>
      </c>
      <c r="K279" s="59">
        <f>10.1617 * CHOOSE(CONTROL!$C$27, $C$14, 100%, $E$14)</f>
        <v>10.1617</v>
      </c>
      <c r="L279" s="59">
        <f>5.5969 * CHOOSE(CONTROL!$C$27, $C$14, 100%, $E$14)</f>
        <v>5.5968999999999998</v>
      </c>
      <c r="M279" s="59">
        <f>5.6018 * CHOOSE(CONTROL!$C$27, $C$14, 100%, $E$14)</f>
        <v>5.6017999999999999</v>
      </c>
      <c r="N279" s="59">
        <f>5.5969 * CHOOSE(CONTROL!$C$27, $C$14, 100%, $E$14)</f>
        <v>5.5968999999999998</v>
      </c>
      <c r="O279" s="59">
        <f>5.6018 * CHOOSE(CONTROL!$C$27, $C$14, 100%, $E$14)</f>
        <v>5.6017999999999999</v>
      </c>
    </row>
    <row r="280" spans="1:15" ht="15">
      <c r="A280" s="11">
        <v>49614</v>
      </c>
      <c r="B280" s="58">
        <f>4.5946 * CHOOSE(CONTROL!$C$27, $C$14, 100%, $E$14)</f>
        <v>4.5945999999999998</v>
      </c>
      <c r="C280" s="58">
        <f>4.5946 * CHOOSE(CONTROL!$C$27, $C$14, 100%, $E$14)</f>
        <v>4.5945999999999998</v>
      </c>
      <c r="D280" s="58">
        <f>4.5986 * CHOOSE(CONTROL!$C$27, $C$14, 100%, $E$14)</f>
        <v>4.5986000000000002</v>
      </c>
      <c r="E280" s="59">
        <f>5.6172 * CHOOSE(CONTROL!$C$27, $C$14, 100%, $E$14)</f>
        <v>5.6172000000000004</v>
      </c>
      <c r="F280" s="59">
        <f>5.6172 * CHOOSE(CONTROL!$C$27, $C$14, 100%, $E$14)</f>
        <v>5.6172000000000004</v>
      </c>
      <c r="G280" s="59">
        <f>5.6221 * CHOOSE(CONTROL!$C$27, $C$14, 100%, $E$14)</f>
        <v>5.6220999999999997</v>
      </c>
      <c r="H280" s="59">
        <f>10.1779* CHOOSE(CONTROL!$C$27, $C$14, 100%, $E$14)</f>
        <v>10.177899999999999</v>
      </c>
      <c r="I280" s="59">
        <f>10.1828 * CHOOSE(CONTROL!$C$27, $C$14, 100%, $E$14)</f>
        <v>10.1828</v>
      </c>
      <c r="J280" s="59">
        <f>10.1779 * CHOOSE(CONTROL!$C$27, $C$14, 100%, $E$14)</f>
        <v>10.177899999999999</v>
      </c>
      <c r="K280" s="59">
        <f>10.1828 * CHOOSE(CONTROL!$C$27, $C$14, 100%, $E$14)</f>
        <v>10.1828</v>
      </c>
      <c r="L280" s="59">
        <f>5.6172 * CHOOSE(CONTROL!$C$27, $C$14, 100%, $E$14)</f>
        <v>5.6172000000000004</v>
      </c>
      <c r="M280" s="59">
        <f>5.6221 * CHOOSE(CONTROL!$C$27, $C$14, 100%, $E$14)</f>
        <v>5.6220999999999997</v>
      </c>
      <c r="N280" s="59">
        <f>5.6172 * CHOOSE(CONTROL!$C$27, $C$14, 100%, $E$14)</f>
        <v>5.6172000000000004</v>
      </c>
      <c r="O280" s="59">
        <f>5.6221 * CHOOSE(CONTROL!$C$27, $C$14, 100%, $E$14)</f>
        <v>5.6220999999999997</v>
      </c>
    </row>
    <row r="281" spans="1:15" ht="15">
      <c r="A281" s="11">
        <v>49644</v>
      </c>
      <c r="B281" s="58">
        <f>4.5946 * CHOOSE(CONTROL!$C$27, $C$14, 100%, $E$14)</f>
        <v>4.5945999999999998</v>
      </c>
      <c r="C281" s="58">
        <f>4.5946 * CHOOSE(CONTROL!$C$27, $C$14, 100%, $E$14)</f>
        <v>4.5945999999999998</v>
      </c>
      <c r="D281" s="58">
        <f>4.5986 * CHOOSE(CONTROL!$C$27, $C$14, 100%, $E$14)</f>
        <v>4.5986000000000002</v>
      </c>
      <c r="E281" s="59">
        <f>5.5717 * CHOOSE(CONTROL!$C$27, $C$14, 100%, $E$14)</f>
        <v>5.5716999999999999</v>
      </c>
      <c r="F281" s="59">
        <f>5.5717 * CHOOSE(CONTROL!$C$27, $C$14, 100%, $E$14)</f>
        <v>5.5716999999999999</v>
      </c>
      <c r="G281" s="59">
        <f>5.5766 * CHOOSE(CONTROL!$C$27, $C$14, 100%, $E$14)</f>
        <v>5.5766</v>
      </c>
      <c r="H281" s="59">
        <f>10.1991* CHOOSE(CONTROL!$C$27, $C$14, 100%, $E$14)</f>
        <v>10.1991</v>
      </c>
      <c r="I281" s="59">
        <f>10.204 * CHOOSE(CONTROL!$C$27, $C$14, 100%, $E$14)</f>
        <v>10.204000000000001</v>
      </c>
      <c r="J281" s="59">
        <f>10.1991 * CHOOSE(CONTROL!$C$27, $C$14, 100%, $E$14)</f>
        <v>10.1991</v>
      </c>
      <c r="K281" s="59">
        <f>10.204 * CHOOSE(CONTROL!$C$27, $C$14, 100%, $E$14)</f>
        <v>10.204000000000001</v>
      </c>
      <c r="L281" s="59">
        <f>5.5717 * CHOOSE(CONTROL!$C$27, $C$14, 100%, $E$14)</f>
        <v>5.5716999999999999</v>
      </c>
      <c r="M281" s="59">
        <f>5.5766 * CHOOSE(CONTROL!$C$27, $C$14, 100%, $E$14)</f>
        <v>5.5766</v>
      </c>
      <c r="N281" s="59">
        <f>5.5717 * CHOOSE(CONTROL!$C$27, $C$14, 100%, $E$14)</f>
        <v>5.5716999999999999</v>
      </c>
      <c r="O281" s="59">
        <f>5.5766 * CHOOSE(CONTROL!$C$27, $C$14, 100%, $E$14)</f>
        <v>5.5766</v>
      </c>
    </row>
    <row r="282" spans="1:15" ht="15">
      <c r="A282" s="11">
        <v>49675</v>
      </c>
      <c r="B282" s="58">
        <f>4.6362 * CHOOSE(CONTROL!$C$27, $C$14, 100%, $E$14)</f>
        <v>4.6361999999999997</v>
      </c>
      <c r="C282" s="58">
        <f>4.6362 * CHOOSE(CONTROL!$C$27, $C$14, 100%, $E$14)</f>
        <v>4.6361999999999997</v>
      </c>
      <c r="D282" s="58">
        <f>4.6402 * CHOOSE(CONTROL!$C$27, $C$14, 100%, $E$14)</f>
        <v>4.6402000000000001</v>
      </c>
      <c r="E282" s="59">
        <f>5.6558 * CHOOSE(CONTROL!$C$27, $C$14, 100%, $E$14)</f>
        <v>5.6558000000000002</v>
      </c>
      <c r="F282" s="59">
        <f>5.6558 * CHOOSE(CONTROL!$C$27, $C$14, 100%, $E$14)</f>
        <v>5.6558000000000002</v>
      </c>
      <c r="G282" s="59">
        <f>5.6608 * CHOOSE(CONTROL!$C$27, $C$14, 100%, $E$14)</f>
        <v>5.6608000000000001</v>
      </c>
      <c r="H282" s="59">
        <f>10.2203* CHOOSE(CONTROL!$C$27, $C$14, 100%, $E$14)</f>
        <v>10.2203</v>
      </c>
      <c r="I282" s="59">
        <f>10.2253 * CHOOSE(CONTROL!$C$27, $C$14, 100%, $E$14)</f>
        <v>10.225300000000001</v>
      </c>
      <c r="J282" s="59">
        <f>10.2203 * CHOOSE(CONTROL!$C$27, $C$14, 100%, $E$14)</f>
        <v>10.2203</v>
      </c>
      <c r="K282" s="59">
        <f>10.2253 * CHOOSE(CONTROL!$C$27, $C$14, 100%, $E$14)</f>
        <v>10.225300000000001</v>
      </c>
      <c r="L282" s="59">
        <f>5.6558 * CHOOSE(CONTROL!$C$27, $C$14, 100%, $E$14)</f>
        <v>5.6558000000000002</v>
      </c>
      <c r="M282" s="59">
        <f>5.6608 * CHOOSE(CONTROL!$C$27, $C$14, 100%, $E$14)</f>
        <v>5.6608000000000001</v>
      </c>
      <c r="N282" s="59">
        <f>5.6558 * CHOOSE(CONTROL!$C$27, $C$14, 100%, $E$14)</f>
        <v>5.6558000000000002</v>
      </c>
      <c r="O282" s="59">
        <f>5.6608 * CHOOSE(CONTROL!$C$27, $C$14, 100%, $E$14)</f>
        <v>5.6608000000000001</v>
      </c>
    </row>
    <row r="283" spans="1:15" ht="15">
      <c r="A283" s="11">
        <v>49706</v>
      </c>
      <c r="B283" s="58">
        <f>4.6332 * CHOOSE(CONTROL!$C$27, $C$14, 100%, $E$14)</f>
        <v>4.6332000000000004</v>
      </c>
      <c r="C283" s="58">
        <f>4.6332 * CHOOSE(CONTROL!$C$27, $C$14, 100%, $E$14)</f>
        <v>4.6332000000000004</v>
      </c>
      <c r="D283" s="58">
        <f>4.6372 * CHOOSE(CONTROL!$C$27, $C$14, 100%, $E$14)</f>
        <v>4.6372</v>
      </c>
      <c r="E283" s="59">
        <f>5.5653 * CHOOSE(CONTROL!$C$27, $C$14, 100%, $E$14)</f>
        <v>5.5652999999999997</v>
      </c>
      <c r="F283" s="59">
        <f>5.5653 * CHOOSE(CONTROL!$C$27, $C$14, 100%, $E$14)</f>
        <v>5.5652999999999997</v>
      </c>
      <c r="G283" s="59">
        <f>5.5703 * CHOOSE(CONTROL!$C$27, $C$14, 100%, $E$14)</f>
        <v>5.5702999999999996</v>
      </c>
      <c r="H283" s="59">
        <f>10.2416* CHOOSE(CONTROL!$C$27, $C$14, 100%, $E$14)</f>
        <v>10.2416</v>
      </c>
      <c r="I283" s="59">
        <f>10.2466 * CHOOSE(CONTROL!$C$27, $C$14, 100%, $E$14)</f>
        <v>10.246600000000001</v>
      </c>
      <c r="J283" s="59">
        <f>10.2416 * CHOOSE(CONTROL!$C$27, $C$14, 100%, $E$14)</f>
        <v>10.2416</v>
      </c>
      <c r="K283" s="59">
        <f>10.2466 * CHOOSE(CONTROL!$C$27, $C$14, 100%, $E$14)</f>
        <v>10.246600000000001</v>
      </c>
      <c r="L283" s="59">
        <f>5.5653 * CHOOSE(CONTROL!$C$27, $C$14, 100%, $E$14)</f>
        <v>5.5652999999999997</v>
      </c>
      <c r="M283" s="59">
        <f>5.5703 * CHOOSE(CONTROL!$C$27, $C$14, 100%, $E$14)</f>
        <v>5.5702999999999996</v>
      </c>
      <c r="N283" s="59">
        <f>5.5653 * CHOOSE(CONTROL!$C$27, $C$14, 100%, $E$14)</f>
        <v>5.5652999999999997</v>
      </c>
      <c r="O283" s="59">
        <f>5.5703 * CHOOSE(CONTROL!$C$27, $C$14, 100%, $E$14)</f>
        <v>5.5702999999999996</v>
      </c>
    </row>
    <row r="284" spans="1:15" ht="15">
      <c r="A284" s="11">
        <v>49735</v>
      </c>
      <c r="B284" s="58">
        <f>4.6301 * CHOOSE(CONTROL!$C$27, $C$14, 100%, $E$14)</f>
        <v>4.6300999999999997</v>
      </c>
      <c r="C284" s="58">
        <f>4.6301 * CHOOSE(CONTROL!$C$27, $C$14, 100%, $E$14)</f>
        <v>4.6300999999999997</v>
      </c>
      <c r="D284" s="58">
        <f>4.6341 * CHOOSE(CONTROL!$C$27, $C$14, 100%, $E$14)</f>
        <v>4.6341000000000001</v>
      </c>
      <c r="E284" s="59">
        <f>5.6329 * CHOOSE(CONTROL!$C$27, $C$14, 100%, $E$14)</f>
        <v>5.6329000000000002</v>
      </c>
      <c r="F284" s="59">
        <f>5.6329 * CHOOSE(CONTROL!$C$27, $C$14, 100%, $E$14)</f>
        <v>5.6329000000000002</v>
      </c>
      <c r="G284" s="59">
        <f>5.6378 * CHOOSE(CONTROL!$C$27, $C$14, 100%, $E$14)</f>
        <v>5.6378000000000004</v>
      </c>
      <c r="H284" s="59">
        <f>10.263* CHOOSE(CONTROL!$C$27, $C$14, 100%, $E$14)</f>
        <v>10.263</v>
      </c>
      <c r="I284" s="59">
        <f>10.2679 * CHOOSE(CONTROL!$C$27, $C$14, 100%, $E$14)</f>
        <v>10.267899999999999</v>
      </c>
      <c r="J284" s="59">
        <f>10.263 * CHOOSE(CONTROL!$C$27, $C$14, 100%, $E$14)</f>
        <v>10.263</v>
      </c>
      <c r="K284" s="59">
        <f>10.2679 * CHOOSE(CONTROL!$C$27, $C$14, 100%, $E$14)</f>
        <v>10.267899999999999</v>
      </c>
      <c r="L284" s="59">
        <f>5.6329 * CHOOSE(CONTROL!$C$27, $C$14, 100%, $E$14)</f>
        <v>5.6329000000000002</v>
      </c>
      <c r="M284" s="59">
        <f>5.6378 * CHOOSE(CONTROL!$C$27, $C$14, 100%, $E$14)</f>
        <v>5.6378000000000004</v>
      </c>
      <c r="N284" s="59">
        <f>5.6329 * CHOOSE(CONTROL!$C$27, $C$14, 100%, $E$14)</f>
        <v>5.6329000000000002</v>
      </c>
      <c r="O284" s="59">
        <f>5.6378 * CHOOSE(CONTROL!$C$27, $C$14, 100%, $E$14)</f>
        <v>5.6378000000000004</v>
      </c>
    </row>
    <row r="285" spans="1:15" ht="15">
      <c r="A285" s="11">
        <v>49766</v>
      </c>
      <c r="B285" s="58">
        <f>4.6283 * CHOOSE(CONTROL!$C$27, $C$14, 100%, $E$14)</f>
        <v>4.6283000000000003</v>
      </c>
      <c r="C285" s="58">
        <f>4.6283 * CHOOSE(CONTROL!$C$27, $C$14, 100%, $E$14)</f>
        <v>4.6283000000000003</v>
      </c>
      <c r="D285" s="58">
        <f>4.6323 * CHOOSE(CONTROL!$C$27, $C$14, 100%, $E$14)</f>
        <v>4.6322999999999999</v>
      </c>
      <c r="E285" s="59">
        <f>5.7035 * CHOOSE(CONTROL!$C$27, $C$14, 100%, $E$14)</f>
        <v>5.7035</v>
      </c>
      <c r="F285" s="59">
        <f>5.7035 * CHOOSE(CONTROL!$C$27, $C$14, 100%, $E$14)</f>
        <v>5.7035</v>
      </c>
      <c r="G285" s="59">
        <f>5.7084 * CHOOSE(CONTROL!$C$27, $C$14, 100%, $E$14)</f>
        <v>5.7084000000000001</v>
      </c>
      <c r="H285" s="59">
        <f>10.2844* CHOOSE(CONTROL!$C$27, $C$14, 100%, $E$14)</f>
        <v>10.2844</v>
      </c>
      <c r="I285" s="59">
        <f>10.2893 * CHOOSE(CONTROL!$C$27, $C$14, 100%, $E$14)</f>
        <v>10.289300000000001</v>
      </c>
      <c r="J285" s="59">
        <f>10.2844 * CHOOSE(CONTROL!$C$27, $C$14, 100%, $E$14)</f>
        <v>10.2844</v>
      </c>
      <c r="K285" s="59">
        <f>10.2893 * CHOOSE(CONTROL!$C$27, $C$14, 100%, $E$14)</f>
        <v>10.289300000000001</v>
      </c>
      <c r="L285" s="59">
        <f>5.7035 * CHOOSE(CONTROL!$C$27, $C$14, 100%, $E$14)</f>
        <v>5.7035</v>
      </c>
      <c r="M285" s="59">
        <f>5.7084 * CHOOSE(CONTROL!$C$27, $C$14, 100%, $E$14)</f>
        <v>5.7084000000000001</v>
      </c>
      <c r="N285" s="59">
        <f>5.7035 * CHOOSE(CONTROL!$C$27, $C$14, 100%, $E$14)</f>
        <v>5.7035</v>
      </c>
      <c r="O285" s="59">
        <f>5.7084 * CHOOSE(CONTROL!$C$27, $C$14, 100%, $E$14)</f>
        <v>5.7084000000000001</v>
      </c>
    </row>
    <row r="286" spans="1:15" ht="15">
      <c r="A286" s="11">
        <v>49796</v>
      </c>
      <c r="B286" s="58">
        <f>4.6283 * CHOOSE(CONTROL!$C$27, $C$14, 100%, $E$14)</f>
        <v>4.6283000000000003</v>
      </c>
      <c r="C286" s="58">
        <f>4.6283 * CHOOSE(CONTROL!$C$27, $C$14, 100%, $E$14)</f>
        <v>4.6283000000000003</v>
      </c>
      <c r="D286" s="58">
        <f>4.6339 * CHOOSE(CONTROL!$C$27, $C$14, 100%, $E$14)</f>
        <v>4.6338999999999997</v>
      </c>
      <c r="E286" s="59">
        <f>5.7315 * CHOOSE(CONTROL!$C$27, $C$14, 100%, $E$14)</f>
        <v>5.7314999999999996</v>
      </c>
      <c r="F286" s="59">
        <f>5.7315 * CHOOSE(CONTROL!$C$27, $C$14, 100%, $E$14)</f>
        <v>5.7314999999999996</v>
      </c>
      <c r="G286" s="59">
        <f>5.7384 * CHOOSE(CONTROL!$C$27, $C$14, 100%, $E$14)</f>
        <v>5.7384000000000004</v>
      </c>
      <c r="H286" s="59">
        <f>10.3058* CHOOSE(CONTROL!$C$27, $C$14, 100%, $E$14)</f>
        <v>10.3058</v>
      </c>
      <c r="I286" s="59">
        <f>10.3127 * CHOOSE(CONTROL!$C$27, $C$14, 100%, $E$14)</f>
        <v>10.3127</v>
      </c>
      <c r="J286" s="59">
        <f>10.3058 * CHOOSE(CONTROL!$C$27, $C$14, 100%, $E$14)</f>
        <v>10.3058</v>
      </c>
      <c r="K286" s="59">
        <f>10.3127 * CHOOSE(CONTROL!$C$27, $C$14, 100%, $E$14)</f>
        <v>10.3127</v>
      </c>
      <c r="L286" s="59">
        <f>5.7315 * CHOOSE(CONTROL!$C$27, $C$14, 100%, $E$14)</f>
        <v>5.7314999999999996</v>
      </c>
      <c r="M286" s="59">
        <f>5.7384 * CHOOSE(CONTROL!$C$27, $C$14, 100%, $E$14)</f>
        <v>5.7384000000000004</v>
      </c>
      <c r="N286" s="59">
        <f>5.7315 * CHOOSE(CONTROL!$C$27, $C$14, 100%, $E$14)</f>
        <v>5.7314999999999996</v>
      </c>
      <c r="O286" s="59">
        <f>5.7384 * CHOOSE(CONTROL!$C$27, $C$14, 100%, $E$14)</f>
        <v>5.7384000000000004</v>
      </c>
    </row>
    <row r="287" spans="1:15" ht="15">
      <c r="A287" s="11">
        <v>49827</v>
      </c>
      <c r="B287" s="58">
        <f>4.6344 * CHOOSE(CONTROL!$C$27, $C$14, 100%, $E$14)</f>
        <v>4.6344000000000003</v>
      </c>
      <c r="C287" s="58">
        <f>4.6344 * CHOOSE(CONTROL!$C$27, $C$14, 100%, $E$14)</f>
        <v>4.6344000000000003</v>
      </c>
      <c r="D287" s="58">
        <f>4.64 * CHOOSE(CONTROL!$C$27, $C$14, 100%, $E$14)</f>
        <v>4.6399999999999997</v>
      </c>
      <c r="E287" s="59">
        <f>5.7077 * CHOOSE(CONTROL!$C$27, $C$14, 100%, $E$14)</f>
        <v>5.7077</v>
      </c>
      <c r="F287" s="59">
        <f>5.7077 * CHOOSE(CONTROL!$C$27, $C$14, 100%, $E$14)</f>
        <v>5.7077</v>
      </c>
      <c r="G287" s="59">
        <f>5.7146 * CHOOSE(CONTROL!$C$27, $C$14, 100%, $E$14)</f>
        <v>5.7145999999999999</v>
      </c>
      <c r="H287" s="59">
        <f>10.3273* CHOOSE(CONTROL!$C$27, $C$14, 100%, $E$14)</f>
        <v>10.327299999999999</v>
      </c>
      <c r="I287" s="59">
        <f>10.3341 * CHOOSE(CONTROL!$C$27, $C$14, 100%, $E$14)</f>
        <v>10.334099999999999</v>
      </c>
      <c r="J287" s="59">
        <f>10.3273 * CHOOSE(CONTROL!$C$27, $C$14, 100%, $E$14)</f>
        <v>10.327299999999999</v>
      </c>
      <c r="K287" s="59">
        <f>10.3341 * CHOOSE(CONTROL!$C$27, $C$14, 100%, $E$14)</f>
        <v>10.334099999999999</v>
      </c>
      <c r="L287" s="59">
        <f>5.7077 * CHOOSE(CONTROL!$C$27, $C$14, 100%, $E$14)</f>
        <v>5.7077</v>
      </c>
      <c r="M287" s="59">
        <f>5.7146 * CHOOSE(CONTROL!$C$27, $C$14, 100%, $E$14)</f>
        <v>5.7145999999999999</v>
      </c>
      <c r="N287" s="59">
        <f>5.7077 * CHOOSE(CONTROL!$C$27, $C$14, 100%, $E$14)</f>
        <v>5.7077</v>
      </c>
      <c r="O287" s="59">
        <f>5.7146 * CHOOSE(CONTROL!$C$27, $C$14, 100%, $E$14)</f>
        <v>5.7145999999999999</v>
      </c>
    </row>
    <row r="288" spans="1:15" ht="15">
      <c r="A288" s="11">
        <v>49857</v>
      </c>
      <c r="B288" s="58">
        <f>4.7122 * CHOOSE(CONTROL!$C$27, $C$14, 100%, $E$14)</f>
        <v>4.7122000000000002</v>
      </c>
      <c r="C288" s="58">
        <f>4.7122 * CHOOSE(CONTROL!$C$27, $C$14, 100%, $E$14)</f>
        <v>4.7122000000000002</v>
      </c>
      <c r="D288" s="58">
        <f>4.7178 * CHOOSE(CONTROL!$C$27, $C$14, 100%, $E$14)</f>
        <v>4.7178000000000004</v>
      </c>
      <c r="E288" s="59">
        <f>5.8199 * CHOOSE(CONTROL!$C$27, $C$14, 100%, $E$14)</f>
        <v>5.8198999999999996</v>
      </c>
      <c r="F288" s="59">
        <f>5.8199 * CHOOSE(CONTROL!$C$27, $C$14, 100%, $E$14)</f>
        <v>5.8198999999999996</v>
      </c>
      <c r="G288" s="59">
        <f>5.8268 * CHOOSE(CONTROL!$C$27, $C$14, 100%, $E$14)</f>
        <v>5.8268000000000004</v>
      </c>
      <c r="H288" s="59">
        <f>10.3488* CHOOSE(CONTROL!$C$27, $C$14, 100%, $E$14)</f>
        <v>10.348800000000001</v>
      </c>
      <c r="I288" s="59">
        <f>10.3557 * CHOOSE(CONTROL!$C$27, $C$14, 100%, $E$14)</f>
        <v>10.355700000000001</v>
      </c>
      <c r="J288" s="59">
        <f>10.3488 * CHOOSE(CONTROL!$C$27, $C$14, 100%, $E$14)</f>
        <v>10.348800000000001</v>
      </c>
      <c r="K288" s="59">
        <f>10.3557 * CHOOSE(CONTROL!$C$27, $C$14, 100%, $E$14)</f>
        <v>10.355700000000001</v>
      </c>
      <c r="L288" s="59">
        <f>5.8199 * CHOOSE(CONTROL!$C$27, $C$14, 100%, $E$14)</f>
        <v>5.8198999999999996</v>
      </c>
      <c r="M288" s="59">
        <f>5.8268 * CHOOSE(CONTROL!$C$27, $C$14, 100%, $E$14)</f>
        <v>5.8268000000000004</v>
      </c>
      <c r="N288" s="59">
        <f>5.8199 * CHOOSE(CONTROL!$C$27, $C$14, 100%, $E$14)</f>
        <v>5.8198999999999996</v>
      </c>
      <c r="O288" s="59">
        <f>5.8268 * CHOOSE(CONTROL!$C$27, $C$14, 100%, $E$14)</f>
        <v>5.8268000000000004</v>
      </c>
    </row>
    <row r="289" spans="1:15" ht="15">
      <c r="A289" s="11">
        <v>49888</v>
      </c>
      <c r="B289" s="58">
        <f>4.7188 * CHOOSE(CONTROL!$C$27, $C$14, 100%, $E$14)</f>
        <v>4.7187999999999999</v>
      </c>
      <c r="C289" s="58">
        <f>4.7188 * CHOOSE(CONTROL!$C$27, $C$14, 100%, $E$14)</f>
        <v>4.7187999999999999</v>
      </c>
      <c r="D289" s="58">
        <f>4.7245 * CHOOSE(CONTROL!$C$27, $C$14, 100%, $E$14)</f>
        <v>4.7244999999999999</v>
      </c>
      <c r="E289" s="59">
        <f>5.7404 * CHOOSE(CONTROL!$C$27, $C$14, 100%, $E$14)</f>
        <v>5.7404000000000002</v>
      </c>
      <c r="F289" s="59">
        <f>5.7404 * CHOOSE(CONTROL!$C$27, $C$14, 100%, $E$14)</f>
        <v>5.7404000000000002</v>
      </c>
      <c r="G289" s="59">
        <f>5.7472 * CHOOSE(CONTROL!$C$27, $C$14, 100%, $E$14)</f>
        <v>5.7472000000000003</v>
      </c>
      <c r="H289" s="59">
        <f>10.3703* CHOOSE(CONTROL!$C$27, $C$14, 100%, $E$14)</f>
        <v>10.3703</v>
      </c>
      <c r="I289" s="59">
        <f>10.3772 * CHOOSE(CONTROL!$C$27, $C$14, 100%, $E$14)</f>
        <v>10.3772</v>
      </c>
      <c r="J289" s="59">
        <f>10.3703 * CHOOSE(CONTROL!$C$27, $C$14, 100%, $E$14)</f>
        <v>10.3703</v>
      </c>
      <c r="K289" s="59">
        <f>10.3772 * CHOOSE(CONTROL!$C$27, $C$14, 100%, $E$14)</f>
        <v>10.3772</v>
      </c>
      <c r="L289" s="59">
        <f>5.7404 * CHOOSE(CONTROL!$C$27, $C$14, 100%, $E$14)</f>
        <v>5.7404000000000002</v>
      </c>
      <c r="M289" s="59">
        <f>5.7472 * CHOOSE(CONTROL!$C$27, $C$14, 100%, $E$14)</f>
        <v>5.7472000000000003</v>
      </c>
      <c r="N289" s="59">
        <f>5.7404 * CHOOSE(CONTROL!$C$27, $C$14, 100%, $E$14)</f>
        <v>5.7404000000000002</v>
      </c>
      <c r="O289" s="59">
        <f>5.7472 * CHOOSE(CONTROL!$C$27, $C$14, 100%, $E$14)</f>
        <v>5.7472000000000003</v>
      </c>
    </row>
    <row r="290" spans="1:15" ht="15">
      <c r="A290" s="11">
        <v>49919</v>
      </c>
      <c r="B290" s="58">
        <f>4.7158 * CHOOSE(CONTROL!$C$27, $C$14, 100%, $E$14)</f>
        <v>4.7157999999999998</v>
      </c>
      <c r="C290" s="58">
        <f>4.7158 * CHOOSE(CONTROL!$C$27, $C$14, 100%, $E$14)</f>
        <v>4.7157999999999998</v>
      </c>
      <c r="D290" s="58">
        <f>4.7214 * CHOOSE(CONTROL!$C$27, $C$14, 100%, $E$14)</f>
        <v>4.7214</v>
      </c>
      <c r="E290" s="59">
        <f>5.7289 * CHOOSE(CONTROL!$C$27, $C$14, 100%, $E$14)</f>
        <v>5.7289000000000003</v>
      </c>
      <c r="F290" s="59">
        <f>5.7289 * CHOOSE(CONTROL!$C$27, $C$14, 100%, $E$14)</f>
        <v>5.7289000000000003</v>
      </c>
      <c r="G290" s="59">
        <f>5.7358 * CHOOSE(CONTROL!$C$27, $C$14, 100%, $E$14)</f>
        <v>5.7358000000000002</v>
      </c>
      <c r="H290" s="59">
        <f>10.3919* CHOOSE(CONTROL!$C$27, $C$14, 100%, $E$14)</f>
        <v>10.3919</v>
      </c>
      <c r="I290" s="59">
        <f>10.3988 * CHOOSE(CONTROL!$C$27, $C$14, 100%, $E$14)</f>
        <v>10.3988</v>
      </c>
      <c r="J290" s="59">
        <f>10.3919 * CHOOSE(CONTROL!$C$27, $C$14, 100%, $E$14)</f>
        <v>10.3919</v>
      </c>
      <c r="K290" s="59">
        <f>10.3988 * CHOOSE(CONTROL!$C$27, $C$14, 100%, $E$14)</f>
        <v>10.3988</v>
      </c>
      <c r="L290" s="59">
        <f>5.7289 * CHOOSE(CONTROL!$C$27, $C$14, 100%, $E$14)</f>
        <v>5.7289000000000003</v>
      </c>
      <c r="M290" s="59">
        <f>5.7358 * CHOOSE(CONTROL!$C$27, $C$14, 100%, $E$14)</f>
        <v>5.7358000000000002</v>
      </c>
      <c r="N290" s="59">
        <f>5.7289 * CHOOSE(CONTROL!$C$27, $C$14, 100%, $E$14)</f>
        <v>5.7289000000000003</v>
      </c>
      <c r="O290" s="59">
        <f>5.7358 * CHOOSE(CONTROL!$C$27, $C$14, 100%, $E$14)</f>
        <v>5.7358000000000002</v>
      </c>
    </row>
    <row r="291" spans="1:15" ht="15">
      <c r="A291" s="11">
        <v>49949</v>
      </c>
      <c r="B291" s="58">
        <f>4.7132 * CHOOSE(CONTROL!$C$27, $C$14, 100%, $E$14)</f>
        <v>4.7131999999999996</v>
      </c>
      <c r="C291" s="58">
        <f>4.7132 * CHOOSE(CONTROL!$C$27, $C$14, 100%, $E$14)</f>
        <v>4.7131999999999996</v>
      </c>
      <c r="D291" s="58">
        <f>4.7172 * CHOOSE(CONTROL!$C$27, $C$14, 100%, $E$14)</f>
        <v>4.7172000000000001</v>
      </c>
      <c r="E291" s="59">
        <f>5.7529 * CHOOSE(CONTROL!$C$27, $C$14, 100%, $E$14)</f>
        <v>5.7529000000000003</v>
      </c>
      <c r="F291" s="59">
        <f>5.7529 * CHOOSE(CONTROL!$C$27, $C$14, 100%, $E$14)</f>
        <v>5.7529000000000003</v>
      </c>
      <c r="G291" s="59">
        <f>5.7578 * CHOOSE(CONTROL!$C$27, $C$14, 100%, $E$14)</f>
        <v>5.7577999999999996</v>
      </c>
      <c r="H291" s="59">
        <f>10.4136* CHOOSE(CONTROL!$C$27, $C$14, 100%, $E$14)</f>
        <v>10.413600000000001</v>
      </c>
      <c r="I291" s="59">
        <f>10.4185 * CHOOSE(CONTROL!$C$27, $C$14, 100%, $E$14)</f>
        <v>10.4185</v>
      </c>
      <c r="J291" s="59">
        <f>10.4136 * CHOOSE(CONTROL!$C$27, $C$14, 100%, $E$14)</f>
        <v>10.413600000000001</v>
      </c>
      <c r="K291" s="59">
        <f>10.4185 * CHOOSE(CONTROL!$C$27, $C$14, 100%, $E$14)</f>
        <v>10.4185</v>
      </c>
      <c r="L291" s="59">
        <f>5.7529 * CHOOSE(CONTROL!$C$27, $C$14, 100%, $E$14)</f>
        <v>5.7529000000000003</v>
      </c>
      <c r="M291" s="59">
        <f>5.7578 * CHOOSE(CONTROL!$C$27, $C$14, 100%, $E$14)</f>
        <v>5.7577999999999996</v>
      </c>
      <c r="N291" s="59">
        <f>5.7529 * CHOOSE(CONTROL!$C$27, $C$14, 100%, $E$14)</f>
        <v>5.7529000000000003</v>
      </c>
      <c r="O291" s="59">
        <f>5.7578 * CHOOSE(CONTROL!$C$27, $C$14, 100%, $E$14)</f>
        <v>5.7577999999999996</v>
      </c>
    </row>
    <row r="292" spans="1:15" ht="15">
      <c r="A292" s="11">
        <v>49980</v>
      </c>
      <c r="B292" s="58">
        <f>4.7163 * CHOOSE(CONTROL!$C$27, $C$14, 100%, $E$14)</f>
        <v>4.7163000000000004</v>
      </c>
      <c r="C292" s="58">
        <f>4.7163 * CHOOSE(CONTROL!$C$27, $C$14, 100%, $E$14)</f>
        <v>4.7163000000000004</v>
      </c>
      <c r="D292" s="58">
        <f>4.7203 * CHOOSE(CONTROL!$C$27, $C$14, 100%, $E$14)</f>
        <v>4.7202999999999999</v>
      </c>
      <c r="E292" s="59">
        <f>5.7737 * CHOOSE(CONTROL!$C$27, $C$14, 100%, $E$14)</f>
        <v>5.7736999999999998</v>
      </c>
      <c r="F292" s="59">
        <f>5.7737 * CHOOSE(CONTROL!$C$27, $C$14, 100%, $E$14)</f>
        <v>5.7736999999999998</v>
      </c>
      <c r="G292" s="59">
        <f>5.7786 * CHOOSE(CONTROL!$C$27, $C$14, 100%, $E$14)</f>
        <v>5.7786</v>
      </c>
      <c r="H292" s="59">
        <f>10.4353* CHOOSE(CONTROL!$C$27, $C$14, 100%, $E$14)</f>
        <v>10.4353</v>
      </c>
      <c r="I292" s="59">
        <f>10.4402 * CHOOSE(CONTROL!$C$27, $C$14, 100%, $E$14)</f>
        <v>10.440200000000001</v>
      </c>
      <c r="J292" s="59">
        <f>10.4353 * CHOOSE(CONTROL!$C$27, $C$14, 100%, $E$14)</f>
        <v>10.4353</v>
      </c>
      <c r="K292" s="59">
        <f>10.4402 * CHOOSE(CONTROL!$C$27, $C$14, 100%, $E$14)</f>
        <v>10.440200000000001</v>
      </c>
      <c r="L292" s="59">
        <f>5.7737 * CHOOSE(CONTROL!$C$27, $C$14, 100%, $E$14)</f>
        <v>5.7736999999999998</v>
      </c>
      <c r="M292" s="59">
        <f>5.7786 * CHOOSE(CONTROL!$C$27, $C$14, 100%, $E$14)</f>
        <v>5.7786</v>
      </c>
      <c r="N292" s="59">
        <f>5.7737 * CHOOSE(CONTROL!$C$27, $C$14, 100%, $E$14)</f>
        <v>5.7736999999999998</v>
      </c>
      <c r="O292" s="59">
        <f>5.7786 * CHOOSE(CONTROL!$C$27, $C$14, 100%, $E$14)</f>
        <v>5.7786</v>
      </c>
    </row>
    <row r="293" spans="1:15" ht="15">
      <c r="A293" s="11">
        <v>50010</v>
      </c>
      <c r="B293" s="58">
        <f>4.7163 * CHOOSE(CONTROL!$C$27, $C$14, 100%, $E$14)</f>
        <v>4.7163000000000004</v>
      </c>
      <c r="C293" s="58">
        <f>4.7163 * CHOOSE(CONTROL!$C$27, $C$14, 100%, $E$14)</f>
        <v>4.7163000000000004</v>
      </c>
      <c r="D293" s="58">
        <f>4.7203 * CHOOSE(CONTROL!$C$27, $C$14, 100%, $E$14)</f>
        <v>4.7202999999999999</v>
      </c>
      <c r="E293" s="59">
        <f>5.7269 * CHOOSE(CONTROL!$C$27, $C$14, 100%, $E$14)</f>
        <v>5.7268999999999997</v>
      </c>
      <c r="F293" s="59">
        <f>5.7269 * CHOOSE(CONTROL!$C$27, $C$14, 100%, $E$14)</f>
        <v>5.7268999999999997</v>
      </c>
      <c r="G293" s="59">
        <f>5.7319 * CHOOSE(CONTROL!$C$27, $C$14, 100%, $E$14)</f>
        <v>5.7319000000000004</v>
      </c>
      <c r="H293" s="59">
        <f>10.457* CHOOSE(CONTROL!$C$27, $C$14, 100%, $E$14)</f>
        <v>10.457000000000001</v>
      </c>
      <c r="I293" s="59">
        <f>10.4619 * CHOOSE(CONTROL!$C$27, $C$14, 100%, $E$14)</f>
        <v>10.4619</v>
      </c>
      <c r="J293" s="59">
        <f>10.457 * CHOOSE(CONTROL!$C$27, $C$14, 100%, $E$14)</f>
        <v>10.457000000000001</v>
      </c>
      <c r="K293" s="59">
        <f>10.4619 * CHOOSE(CONTROL!$C$27, $C$14, 100%, $E$14)</f>
        <v>10.4619</v>
      </c>
      <c r="L293" s="59">
        <f>5.7269 * CHOOSE(CONTROL!$C$27, $C$14, 100%, $E$14)</f>
        <v>5.7268999999999997</v>
      </c>
      <c r="M293" s="59">
        <f>5.7319 * CHOOSE(CONTROL!$C$27, $C$14, 100%, $E$14)</f>
        <v>5.7319000000000004</v>
      </c>
      <c r="N293" s="59">
        <f>5.7269 * CHOOSE(CONTROL!$C$27, $C$14, 100%, $E$14)</f>
        <v>5.7268999999999997</v>
      </c>
      <c r="O293" s="59">
        <f>5.7319 * CHOOSE(CONTROL!$C$27, $C$14, 100%, $E$14)</f>
        <v>5.7319000000000004</v>
      </c>
    </row>
    <row r="294" spans="1:15" ht="15">
      <c r="A294" s="11">
        <v>50041</v>
      </c>
      <c r="B294" s="58">
        <f>4.7586 * CHOOSE(CONTROL!$C$27, $C$14, 100%, $E$14)</f>
        <v>4.7586000000000004</v>
      </c>
      <c r="C294" s="58">
        <f>4.7586 * CHOOSE(CONTROL!$C$27, $C$14, 100%, $E$14)</f>
        <v>4.7586000000000004</v>
      </c>
      <c r="D294" s="58">
        <f>4.7625 * CHOOSE(CONTROL!$C$27, $C$14, 100%, $E$14)</f>
        <v>4.7625000000000002</v>
      </c>
      <c r="E294" s="59">
        <f>5.8119 * CHOOSE(CONTROL!$C$27, $C$14, 100%, $E$14)</f>
        <v>5.8118999999999996</v>
      </c>
      <c r="F294" s="59">
        <f>5.8119 * CHOOSE(CONTROL!$C$27, $C$14, 100%, $E$14)</f>
        <v>5.8118999999999996</v>
      </c>
      <c r="G294" s="59">
        <f>5.8168 * CHOOSE(CONTROL!$C$27, $C$14, 100%, $E$14)</f>
        <v>5.8167999999999997</v>
      </c>
      <c r="H294" s="59">
        <f>10.4788* CHOOSE(CONTROL!$C$27, $C$14, 100%, $E$14)</f>
        <v>10.4788</v>
      </c>
      <c r="I294" s="59">
        <f>10.4837 * CHOOSE(CONTROL!$C$27, $C$14, 100%, $E$14)</f>
        <v>10.483700000000001</v>
      </c>
      <c r="J294" s="59">
        <f>10.4788 * CHOOSE(CONTROL!$C$27, $C$14, 100%, $E$14)</f>
        <v>10.4788</v>
      </c>
      <c r="K294" s="59">
        <f>10.4837 * CHOOSE(CONTROL!$C$27, $C$14, 100%, $E$14)</f>
        <v>10.483700000000001</v>
      </c>
      <c r="L294" s="59">
        <f>5.8119 * CHOOSE(CONTROL!$C$27, $C$14, 100%, $E$14)</f>
        <v>5.8118999999999996</v>
      </c>
      <c r="M294" s="59">
        <f>5.8168 * CHOOSE(CONTROL!$C$27, $C$14, 100%, $E$14)</f>
        <v>5.8167999999999997</v>
      </c>
      <c r="N294" s="59">
        <f>5.8119 * CHOOSE(CONTROL!$C$27, $C$14, 100%, $E$14)</f>
        <v>5.8118999999999996</v>
      </c>
      <c r="O294" s="59">
        <f>5.8168 * CHOOSE(CONTROL!$C$27, $C$14, 100%, $E$14)</f>
        <v>5.8167999999999997</v>
      </c>
    </row>
    <row r="295" spans="1:15" ht="15">
      <c r="A295" s="11">
        <v>50072</v>
      </c>
      <c r="B295" s="58">
        <f>4.7555 * CHOOSE(CONTROL!$C$27, $C$14, 100%, $E$14)</f>
        <v>4.7554999999999996</v>
      </c>
      <c r="C295" s="58">
        <f>4.7555 * CHOOSE(CONTROL!$C$27, $C$14, 100%, $E$14)</f>
        <v>4.7554999999999996</v>
      </c>
      <c r="D295" s="58">
        <f>4.7595 * CHOOSE(CONTROL!$C$27, $C$14, 100%, $E$14)</f>
        <v>4.7595000000000001</v>
      </c>
      <c r="E295" s="59">
        <f>5.719 * CHOOSE(CONTROL!$C$27, $C$14, 100%, $E$14)</f>
        <v>5.7190000000000003</v>
      </c>
      <c r="F295" s="59">
        <f>5.719 * CHOOSE(CONTROL!$C$27, $C$14, 100%, $E$14)</f>
        <v>5.7190000000000003</v>
      </c>
      <c r="G295" s="59">
        <f>5.7239 * CHOOSE(CONTROL!$C$27, $C$14, 100%, $E$14)</f>
        <v>5.7239000000000004</v>
      </c>
      <c r="H295" s="59">
        <f>10.5006* CHOOSE(CONTROL!$C$27, $C$14, 100%, $E$14)</f>
        <v>10.5006</v>
      </c>
      <c r="I295" s="59">
        <f>10.5056 * CHOOSE(CONTROL!$C$27, $C$14, 100%, $E$14)</f>
        <v>10.505599999999999</v>
      </c>
      <c r="J295" s="59">
        <f>10.5006 * CHOOSE(CONTROL!$C$27, $C$14, 100%, $E$14)</f>
        <v>10.5006</v>
      </c>
      <c r="K295" s="59">
        <f>10.5056 * CHOOSE(CONTROL!$C$27, $C$14, 100%, $E$14)</f>
        <v>10.505599999999999</v>
      </c>
      <c r="L295" s="59">
        <f>5.719 * CHOOSE(CONTROL!$C$27, $C$14, 100%, $E$14)</f>
        <v>5.7190000000000003</v>
      </c>
      <c r="M295" s="59">
        <f>5.7239 * CHOOSE(CONTROL!$C$27, $C$14, 100%, $E$14)</f>
        <v>5.7239000000000004</v>
      </c>
      <c r="N295" s="59">
        <f>5.719 * CHOOSE(CONTROL!$C$27, $C$14, 100%, $E$14)</f>
        <v>5.7190000000000003</v>
      </c>
      <c r="O295" s="59">
        <f>5.7239 * CHOOSE(CONTROL!$C$27, $C$14, 100%, $E$14)</f>
        <v>5.7239000000000004</v>
      </c>
    </row>
    <row r="296" spans="1:15" ht="15">
      <c r="A296" s="11">
        <v>50100</v>
      </c>
      <c r="B296" s="58">
        <f>4.7525 * CHOOSE(CONTROL!$C$27, $C$14, 100%, $E$14)</f>
        <v>4.7525000000000004</v>
      </c>
      <c r="C296" s="58">
        <f>4.7525 * CHOOSE(CONTROL!$C$27, $C$14, 100%, $E$14)</f>
        <v>4.7525000000000004</v>
      </c>
      <c r="D296" s="58">
        <f>4.7565 * CHOOSE(CONTROL!$C$27, $C$14, 100%, $E$14)</f>
        <v>4.7565</v>
      </c>
      <c r="E296" s="59">
        <f>5.7884 * CHOOSE(CONTROL!$C$27, $C$14, 100%, $E$14)</f>
        <v>5.7884000000000002</v>
      </c>
      <c r="F296" s="59">
        <f>5.7884 * CHOOSE(CONTROL!$C$27, $C$14, 100%, $E$14)</f>
        <v>5.7884000000000002</v>
      </c>
      <c r="G296" s="59">
        <f>5.7934 * CHOOSE(CONTROL!$C$27, $C$14, 100%, $E$14)</f>
        <v>5.7934000000000001</v>
      </c>
      <c r="H296" s="59">
        <f>10.5225* CHOOSE(CONTROL!$C$27, $C$14, 100%, $E$14)</f>
        <v>10.522500000000001</v>
      </c>
      <c r="I296" s="59">
        <f>10.5274 * CHOOSE(CONTROL!$C$27, $C$14, 100%, $E$14)</f>
        <v>10.5274</v>
      </c>
      <c r="J296" s="59">
        <f>10.5225 * CHOOSE(CONTROL!$C$27, $C$14, 100%, $E$14)</f>
        <v>10.522500000000001</v>
      </c>
      <c r="K296" s="59">
        <f>10.5274 * CHOOSE(CONTROL!$C$27, $C$14, 100%, $E$14)</f>
        <v>10.5274</v>
      </c>
      <c r="L296" s="59">
        <f>5.7884 * CHOOSE(CONTROL!$C$27, $C$14, 100%, $E$14)</f>
        <v>5.7884000000000002</v>
      </c>
      <c r="M296" s="59">
        <f>5.7934 * CHOOSE(CONTROL!$C$27, $C$14, 100%, $E$14)</f>
        <v>5.7934000000000001</v>
      </c>
      <c r="N296" s="59">
        <f>5.7884 * CHOOSE(CONTROL!$C$27, $C$14, 100%, $E$14)</f>
        <v>5.7884000000000002</v>
      </c>
      <c r="O296" s="59">
        <f>5.7934 * CHOOSE(CONTROL!$C$27, $C$14, 100%, $E$14)</f>
        <v>5.7934000000000001</v>
      </c>
    </row>
    <row r="297" spans="1:15" ht="15">
      <c r="A297" s="11">
        <v>50131</v>
      </c>
      <c r="B297" s="58">
        <f>4.7508 * CHOOSE(CONTROL!$C$27, $C$14, 100%, $E$14)</f>
        <v>4.7507999999999999</v>
      </c>
      <c r="C297" s="58">
        <f>4.7508 * CHOOSE(CONTROL!$C$27, $C$14, 100%, $E$14)</f>
        <v>4.7507999999999999</v>
      </c>
      <c r="D297" s="58">
        <f>4.7548 * CHOOSE(CONTROL!$C$27, $C$14, 100%, $E$14)</f>
        <v>4.7548000000000004</v>
      </c>
      <c r="E297" s="59">
        <f>5.861 * CHOOSE(CONTROL!$C$27, $C$14, 100%, $E$14)</f>
        <v>5.8609999999999998</v>
      </c>
      <c r="F297" s="59">
        <f>5.861 * CHOOSE(CONTROL!$C$27, $C$14, 100%, $E$14)</f>
        <v>5.8609999999999998</v>
      </c>
      <c r="G297" s="59">
        <f>5.866 * CHOOSE(CONTROL!$C$27, $C$14, 100%, $E$14)</f>
        <v>5.8659999999999997</v>
      </c>
      <c r="H297" s="59">
        <f>10.5444* CHOOSE(CONTROL!$C$27, $C$14, 100%, $E$14)</f>
        <v>10.5444</v>
      </c>
      <c r="I297" s="59">
        <f>10.5494 * CHOOSE(CONTROL!$C$27, $C$14, 100%, $E$14)</f>
        <v>10.5494</v>
      </c>
      <c r="J297" s="59">
        <f>10.5444 * CHOOSE(CONTROL!$C$27, $C$14, 100%, $E$14)</f>
        <v>10.5444</v>
      </c>
      <c r="K297" s="59">
        <f>10.5494 * CHOOSE(CONTROL!$C$27, $C$14, 100%, $E$14)</f>
        <v>10.5494</v>
      </c>
      <c r="L297" s="59">
        <f>5.861 * CHOOSE(CONTROL!$C$27, $C$14, 100%, $E$14)</f>
        <v>5.8609999999999998</v>
      </c>
      <c r="M297" s="59">
        <f>5.866 * CHOOSE(CONTROL!$C$27, $C$14, 100%, $E$14)</f>
        <v>5.8659999999999997</v>
      </c>
      <c r="N297" s="59">
        <f>5.861 * CHOOSE(CONTROL!$C$27, $C$14, 100%, $E$14)</f>
        <v>5.8609999999999998</v>
      </c>
      <c r="O297" s="59">
        <f>5.866 * CHOOSE(CONTROL!$C$27, $C$14, 100%, $E$14)</f>
        <v>5.8659999999999997</v>
      </c>
    </row>
    <row r="298" spans="1:15" ht="15">
      <c r="A298" s="11">
        <v>50161</v>
      </c>
      <c r="B298" s="58">
        <f>4.7508 * CHOOSE(CONTROL!$C$27, $C$14, 100%, $E$14)</f>
        <v>4.7507999999999999</v>
      </c>
      <c r="C298" s="58">
        <f>4.7508 * CHOOSE(CONTROL!$C$27, $C$14, 100%, $E$14)</f>
        <v>4.7507999999999999</v>
      </c>
      <c r="D298" s="58">
        <f>4.7564 * CHOOSE(CONTROL!$C$27, $C$14, 100%, $E$14)</f>
        <v>4.7564000000000002</v>
      </c>
      <c r="E298" s="59">
        <f>5.8898 * CHOOSE(CONTROL!$C$27, $C$14, 100%, $E$14)</f>
        <v>5.8898000000000001</v>
      </c>
      <c r="F298" s="59">
        <f>5.8898 * CHOOSE(CONTROL!$C$27, $C$14, 100%, $E$14)</f>
        <v>5.8898000000000001</v>
      </c>
      <c r="G298" s="59">
        <f>5.8967 * CHOOSE(CONTROL!$C$27, $C$14, 100%, $E$14)</f>
        <v>5.8967000000000001</v>
      </c>
      <c r="H298" s="59">
        <f>10.5664* CHOOSE(CONTROL!$C$27, $C$14, 100%, $E$14)</f>
        <v>10.5664</v>
      </c>
      <c r="I298" s="59">
        <f>10.5733 * CHOOSE(CONTROL!$C$27, $C$14, 100%, $E$14)</f>
        <v>10.5733</v>
      </c>
      <c r="J298" s="59">
        <f>10.5664 * CHOOSE(CONTROL!$C$27, $C$14, 100%, $E$14)</f>
        <v>10.5664</v>
      </c>
      <c r="K298" s="59">
        <f>10.5733 * CHOOSE(CONTROL!$C$27, $C$14, 100%, $E$14)</f>
        <v>10.5733</v>
      </c>
      <c r="L298" s="59">
        <f>5.8898 * CHOOSE(CONTROL!$C$27, $C$14, 100%, $E$14)</f>
        <v>5.8898000000000001</v>
      </c>
      <c r="M298" s="59">
        <f>5.8967 * CHOOSE(CONTROL!$C$27, $C$14, 100%, $E$14)</f>
        <v>5.8967000000000001</v>
      </c>
      <c r="N298" s="59">
        <f>5.8898 * CHOOSE(CONTROL!$C$27, $C$14, 100%, $E$14)</f>
        <v>5.8898000000000001</v>
      </c>
      <c r="O298" s="59">
        <f>5.8967 * CHOOSE(CONTROL!$C$27, $C$14, 100%, $E$14)</f>
        <v>5.8967000000000001</v>
      </c>
    </row>
    <row r="299" spans="1:15" ht="15">
      <c r="A299" s="11">
        <v>50192</v>
      </c>
      <c r="B299" s="58">
        <f>4.7569 * CHOOSE(CONTROL!$C$27, $C$14, 100%, $E$14)</f>
        <v>4.7568999999999999</v>
      </c>
      <c r="C299" s="58">
        <f>4.7569 * CHOOSE(CONTROL!$C$27, $C$14, 100%, $E$14)</f>
        <v>4.7568999999999999</v>
      </c>
      <c r="D299" s="58">
        <f>4.7625 * CHOOSE(CONTROL!$C$27, $C$14, 100%, $E$14)</f>
        <v>4.7625000000000002</v>
      </c>
      <c r="E299" s="59">
        <f>5.8653 * CHOOSE(CONTROL!$C$27, $C$14, 100%, $E$14)</f>
        <v>5.8653000000000004</v>
      </c>
      <c r="F299" s="59">
        <f>5.8653 * CHOOSE(CONTROL!$C$27, $C$14, 100%, $E$14)</f>
        <v>5.8653000000000004</v>
      </c>
      <c r="G299" s="59">
        <f>5.8722 * CHOOSE(CONTROL!$C$27, $C$14, 100%, $E$14)</f>
        <v>5.8722000000000003</v>
      </c>
      <c r="H299" s="59">
        <f>10.5884* CHOOSE(CONTROL!$C$27, $C$14, 100%, $E$14)</f>
        <v>10.5884</v>
      </c>
      <c r="I299" s="59">
        <f>10.5953 * CHOOSE(CONTROL!$C$27, $C$14, 100%, $E$14)</f>
        <v>10.5953</v>
      </c>
      <c r="J299" s="59">
        <f>10.5884 * CHOOSE(CONTROL!$C$27, $C$14, 100%, $E$14)</f>
        <v>10.5884</v>
      </c>
      <c r="K299" s="59">
        <f>10.5953 * CHOOSE(CONTROL!$C$27, $C$14, 100%, $E$14)</f>
        <v>10.5953</v>
      </c>
      <c r="L299" s="59">
        <f>5.8653 * CHOOSE(CONTROL!$C$27, $C$14, 100%, $E$14)</f>
        <v>5.8653000000000004</v>
      </c>
      <c r="M299" s="59">
        <f>5.8722 * CHOOSE(CONTROL!$C$27, $C$14, 100%, $E$14)</f>
        <v>5.8722000000000003</v>
      </c>
      <c r="N299" s="59">
        <f>5.8653 * CHOOSE(CONTROL!$C$27, $C$14, 100%, $E$14)</f>
        <v>5.8653000000000004</v>
      </c>
      <c r="O299" s="59">
        <f>5.8722 * CHOOSE(CONTROL!$C$27, $C$14, 100%, $E$14)</f>
        <v>5.8722000000000003</v>
      </c>
    </row>
    <row r="300" spans="1:15" ht="15">
      <c r="A300" s="11">
        <v>50222</v>
      </c>
      <c r="B300" s="58">
        <f>4.836 * CHOOSE(CONTROL!$C$27, $C$14, 100%, $E$14)</f>
        <v>4.8360000000000003</v>
      </c>
      <c r="C300" s="58">
        <f>4.836 * CHOOSE(CONTROL!$C$27, $C$14, 100%, $E$14)</f>
        <v>4.8360000000000003</v>
      </c>
      <c r="D300" s="58">
        <f>4.8416 * CHOOSE(CONTROL!$C$27, $C$14, 100%, $E$14)</f>
        <v>4.8415999999999997</v>
      </c>
      <c r="E300" s="59">
        <f>5.9773 * CHOOSE(CONTROL!$C$27, $C$14, 100%, $E$14)</f>
        <v>5.9772999999999996</v>
      </c>
      <c r="F300" s="59">
        <f>5.9773 * CHOOSE(CONTROL!$C$27, $C$14, 100%, $E$14)</f>
        <v>5.9772999999999996</v>
      </c>
      <c r="G300" s="59">
        <f>5.9841 * CHOOSE(CONTROL!$C$27, $C$14, 100%, $E$14)</f>
        <v>5.9840999999999998</v>
      </c>
      <c r="H300" s="59">
        <f>10.6105* CHOOSE(CONTROL!$C$27, $C$14, 100%, $E$14)</f>
        <v>10.6105</v>
      </c>
      <c r="I300" s="59">
        <f>10.6174 * CHOOSE(CONTROL!$C$27, $C$14, 100%, $E$14)</f>
        <v>10.6174</v>
      </c>
      <c r="J300" s="59">
        <f>10.6105 * CHOOSE(CONTROL!$C$27, $C$14, 100%, $E$14)</f>
        <v>10.6105</v>
      </c>
      <c r="K300" s="59">
        <f>10.6174 * CHOOSE(CONTROL!$C$27, $C$14, 100%, $E$14)</f>
        <v>10.6174</v>
      </c>
      <c r="L300" s="59">
        <f>5.9773 * CHOOSE(CONTROL!$C$27, $C$14, 100%, $E$14)</f>
        <v>5.9772999999999996</v>
      </c>
      <c r="M300" s="59">
        <f>5.9841 * CHOOSE(CONTROL!$C$27, $C$14, 100%, $E$14)</f>
        <v>5.9840999999999998</v>
      </c>
      <c r="N300" s="59">
        <f>5.9773 * CHOOSE(CONTROL!$C$27, $C$14, 100%, $E$14)</f>
        <v>5.9772999999999996</v>
      </c>
      <c r="O300" s="59">
        <f>5.9841 * CHOOSE(CONTROL!$C$27, $C$14, 100%, $E$14)</f>
        <v>5.9840999999999998</v>
      </c>
    </row>
    <row r="301" spans="1:15" ht="15">
      <c r="A301" s="11">
        <v>50253</v>
      </c>
      <c r="B301" s="58">
        <f>4.8427 * CHOOSE(CONTROL!$C$27, $C$14, 100%, $E$14)</f>
        <v>4.8426999999999998</v>
      </c>
      <c r="C301" s="58">
        <f>4.8427 * CHOOSE(CONTROL!$C$27, $C$14, 100%, $E$14)</f>
        <v>4.8426999999999998</v>
      </c>
      <c r="D301" s="58">
        <f>4.8483 * CHOOSE(CONTROL!$C$27, $C$14, 100%, $E$14)</f>
        <v>4.8483000000000001</v>
      </c>
      <c r="E301" s="59">
        <f>5.8955 * CHOOSE(CONTROL!$C$27, $C$14, 100%, $E$14)</f>
        <v>5.8955000000000002</v>
      </c>
      <c r="F301" s="59">
        <f>5.8955 * CHOOSE(CONTROL!$C$27, $C$14, 100%, $E$14)</f>
        <v>5.8955000000000002</v>
      </c>
      <c r="G301" s="59">
        <f>5.9024 * CHOOSE(CONTROL!$C$27, $C$14, 100%, $E$14)</f>
        <v>5.9024000000000001</v>
      </c>
      <c r="H301" s="59">
        <f>10.6326* CHOOSE(CONTROL!$C$27, $C$14, 100%, $E$14)</f>
        <v>10.6326</v>
      </c>
      <c r="I301" s="59">
        <f>10.6395 * CHOOSE(CONTROL!$C$27, $C$14, 100%, $E$14)</f>
        <v>10.6395</v>
      </c>
      <c r="J301" s="59">
        <f>10.6326 * CHOOSE(CONTROL!$C$27, $C$14, 100%, $E$14)</f>
        <v>10.6326</v>
      </c>
      <c r="K301" s="59">
        <f>10.6395 * CHOOSE(CONTROL!$C$27, $C$14, 100%, $E$14)</f>
        <v>10.6395</v>
      </c>
      <c r="L301" s="59">
        <f>5.8955 * CHOOSE(CONTROL!$C$27, $C$14, 100%, $E$14)</f>
        <v>5.8955000000000002</v>
      </c>
      <c r="M301" s="59">
        <f>5.9024 * CHOOSE(CONTROL!$C$27, $C$14, 100%, $E$14)</f>
        <v>5.9024000000000001</v>
      </c>
      <c r="N301" s="59">
        <f>5.8955 * CHOOSE(CONTROL!$C$27, $C$14, 100%, $E$14)</f>
        <v>5.8955000000000002</v>
      </c>
      <c r="O301" s="59">
        <f>5.9024 * CHOOSE(CONTROL!$C$27, $C$14, 100%, $E$14)</f>
        <v>5.9024000000000001</v>
      </c>
    </row>
    <row r="302" spans="1:15" ht="15">
      <c r="A302" s="11">
        <v>50284</v>
      </c>
      <c r="B302" s="58">
        <f>4.8396 * CHOOSE(CONTROL!$C$27, $C$14, 100%, $E$14)</f>
        <v>4.8395999999999999</v>
      </c>
      <c r="C302" s="58">
        <f>4.8396 * CHOOSE(CONTROL!$C$27, $C$14, 100%, $E$14)</f>
        <v>4.8395999999999999</v>
      </c>
      <c r="D302" s="58">
        <f>4.8453 * CHOOSE(CONTROL!$C$27, $C$14, 100%, $E$14)</f>
        <v>4.8452999999999999</v>
      </c>
      <c r="E302" s="59">
        <f>5.8837 * CHOOSE(CONTROL!$C$27, $C$14, 100%, $E$14)</f>
        <v>5.8837000000000002</v>
      </c>
      <c r="F302" s="59">
        <f>5.8837 * CHOOSE(CONTROL!$C$27, $C$14, 100%, $E$14)</f>
        <v>5.8837000000000002</v>
      </c>
      <c r="G302" s="59">
        <f>5.8906 * CHOOSE(CONTROL!$C$27, $C$14, 100%, $E$14)</f>
        <v>5.8906000000000001</v>
      </c>
      <c r="H302" s="59">
        <f>10.6547* CHOOSE(CONTROL!$C$27, $C$14, 100%, $E$14)</f>
        <v>10.6547</v>
      </c>
      <c r="I302" s="59">
        <f>10.6616 * CHOOSE(CONTROL!$C$27, $C$14, 100%, $E$14)</f>
        <v>10.6616</v>
      </c>
      <c r="J302" s="59">
        <f>10.6547 * CHOOSE(CONTROL!$C$27, $C$14, 100%, $E$14)</f>
        <v>10.6547</v>
      </c>
      <c r="K302" s="59">
        <f>10.6616 * CHOOSE(CONTROL!$C$27, $C$14, 100%, $E$14)</f>
        <v>10.6616</v>
      </c>
      <c r="L302" s="59">
        <f>5.8837 * CHOOSE(CONTROL!$C$27, $C$14, 100%, $E$14)</f>
        <v>5.8837000000000002</v>
      </c>
      <c r="M302" s="59">
        <f>5.8906 * CHOOSE(CONTROL!$C$27, $C$14, 100%, $E$14)</f>
        <v>5.8906000000000001</v>
      </c>
      <c r="N302" s="59">
        <f>5.8837 * CHOOSE(CONTROL!$C$27, $C$14, 100%, $E$14)</f>
        <v>5.8837000000000002</v>
      </c>
      <c r="O302" s="59">
        <f>5.8906 * CHOOSE(CONTROL!$C$27, $C$14, 100%, $E$14)</f>
        <v>5.8906000000000001</v>
      </c>
    </row>
    <row r="303" spans="1:15" ht="15">
      <c r="A303" s="11">
        <v>50314</v>
      </c>
      <c r="B303" s="58">
        <f>4.8375 * CHOOSE(CONTROL!$C$27, $C$14, 100%, $E$14)</f>
        <v>4.8375000000000004</v>
      </c>
      <c r="C303" s="58">
        <f>4.8375 * CHOOSE(CONTROL!$C$27, $C$14, 100%, $E$14)</f>
        <v>4.8375000000000004</v>
      </c>
      <c r="D303" s="58">
        <f>4.8415 * CHOOSE(CONTROL!$C$27, $C$14, 100%, $E$14)</f>
        <v>4.8414999999999999</v>
      </c>
      <c r="E303" s="59">
        <f>5.9087 * CHOOSE(CONTROL!$C$27, $C$14, 100%, $E$14)</f>
        <v>5.9086999999999996</v>
      </c>
      <c r="F303" s="59">
        <f>5.9087 * CHOOSE(CONTROL!$C$27, $C$14, 100%, $E$14)</f>
        <v>5.9086999999999996</v>
      </c>
      <c r="G303" s="59">
        <f>5.9137 * CHOOSE(CONTROL!$C$27, $C$14, 100%, $E$14)</f>
        <v>5.9137000000000004</v>
      </c>
      <c r="H303" s="59">
        <f>10.6769* CHOOSE(CONTROL!$C$27, $C$14, 100%, $E$14)</f>
        <v>10.6769</v>
      </c>
      <c r="I303" s="59">
        <f>10.6818 * CHOOSE(CONTROL!$C$27, $C$14, 100%, $E$14)</f>
        <v>10.681800000000001</v>
      </c>
      <c r="J303" s="59">
        <f>10.6769 * CHOOSE(CONTROL!$C$27, $C$14, 100%, $E$14)</f>
        <v>10.6769</v>
      </c>
      <c r="K303" s="59">
        <f>10.6818 * CHOOSE(CONTROL!$C$27, $C$14, 100%, $E$14)</f>
        <v>10.681800000000001</v>
      </c>
      <c r="L303" s="59">
        <f>5.9087 * CHOOSE(CONTROL!$C$27, $C$14, 100%, $E$14)</f>
        <v>5.9086999999999996</v>
      </c>
      <c r="M303" s="59">
        <f>5.9137 * CHOOSE(CONTROL!$C$27, $C$14, 100%, $E$14)</f>
        <v>5.9137000000000004</v>
      </c>
      <c r="N303" s="59">
        <f>5.9087 * CHOOSE(CONTROL!$C$27, $C$14, 100%, $E$14)</f>
        <v>5.9086999999999996</v>
      </c>
      <c r="O303" s="59">
        <f>5.9137 * CHOOSE(CONTROL!$C$27, $C$14, 100%, $E$14)</f>
        <v>5.9137000000000004</v>
      </c>
    </row>
    <row r="304" spans="1:15" ht="15">
      <c r="A304" s="11">
        <v>50345</v>
      </c>
      <c r="B304" s="58">
        <f>4.8405 * CHOOSE(CONTROL!$C$27, $C$14, 100%, $E$14)</f>
        <v>4.8404999999999996</v>
      </c>
      <c r="C304" s="58">
        <f>4.8405 * CHOOSE(CONTROL!$C$27, $C$14, 100%, $E$14)</f>
        <v>4.8404999999999996</v>
      </c>
      <c r="D304" s="58">
        <f>4.8445 * CHOOSE(CONTROL!$C$27, $C$14, 100%, $E$14)</f>
        <v>4.8445</v>
      </c>
      <c r="E304" s="59">
        <f>5.9301 * CHOOSE(CONTROL!$C$27, $C$14, 100%, $E$14)</f>
        <v>5.9301000000000004</v>
      </c>
      <c r="F304" s="59">
        <f>5.9301 * CHOOSE(CONTROL!$C$27, $C$14, 100%, $E$14)</f>
        <v>5.9301000000000004</v>
      </c>
      <c r="G304" s="59">
        <f>5.935 * CHOOSE(CONTROL!$C$27, $C$14, 100%, $E$14)</f>
        <v>5.9349999999999996</v>
      </c>
      <c r="H304" s="59">
        <f>10.6992* CHOOSE(CONTROL!$C$27, $C$14, 100%, $E$14)</f>
        <v>10.699199999999999</v>
      </c>
      <c r="I304" s="59">
        <f>10.7041 * CHOOSE(CONTROL!$C$27, $C$14, 100%, $E$14)</f>
        <v>10.7041</v>
      </c>
      <c r="J304" s="59">
        <f>10.6992 * CHOOSE(CONTROL!$C$27, $C$14, 100%, $E$14)</f>
        <v>10.699199999999999</v>
      </c>
      <c r="K304" s="59">
        <f>10.7041 * CHOOSE(CONTROL!$C$27, $C$14, 100%, $E$14)</f>
        <v>10.7041</v>
      </c>
      <c r="L304" s="59">
        <f>5.9301 * CHOOSE(CONTROL!$C$27, $C$14, 100%, $E$14)</f>
        <v>5.9301000000000004</v>
      </c>
      <c r="M304" s="59">
        <f>5.935 * CHOOSE(CONTROL!$C$27, $C$14, 100%, $E$14)</f>
        <v>5.9349999999999996</v>
      </c>
      <c r="N304" s="59">
        <f>5.9301 * CHOOSE(CONTROL!$C$27, $C$14, 100%, $E$14)</f>
        <v>5.9301000000000004</v>
      </c>
      <c r="O304" s="59">
        <f>5.935 * CHOOSE(CONTROL!$C$27, $C$14, 100%, $E$14)</f>
        <v>5.9349999999999996</v>
      </c>
    </row>
    <row r="305" spans="1:15" ht="15">
      <c r="A305" s="11">
        <v>50375</v>
      </c>
      <c r="B305" s="58">
        <f>4.8405 * CHOOSE(CONTROL!$C$27, $C$14, 100%, $E$14)</f>
        <v>4.8404999999999996</v>
      </c>
      <c r="C305" s="58">
        <f>4.8405 * CHOOSE(CONTROL!$C$27, $C$14, 100%, $E$14)</f>
        <v>4.8404999999999996</v>
      </c>
      <c r="D305" s="58">
        <f>4.8445 * CHOOSE(CONTROL!$C$27, $C$14, 100%, $E$14)</f>
        <v>4.8445</v>
      </c>
      <c r="E305" s="59">
        <f>5.8821 * CHOOSE(CONTROL!$C$27, $C$14, 100%, $E$14)</f>
        <v>5.8821000000000003</v>
      </c>
      <c r="F305" s="59">
        <f>5.8821 * CHOOSE(CONTROL!$C$27, $C$14, 100%, $E$14)</f>
        <v>5.8821000000000003</v>
      </c>
      <c r="G305" s="59">
        <f>5.887 * CHOOSE(CONTROL!$C$27, $C$14, 100%, $E$14)</f>
        <v>5.8869999999999996</v>
      </c>
      <c r="H305" s="59">
        <f>10.7215* CHOOSE(CONTROL!$C$27, $C$14, 100%, $E$14)</f>
        <v>10.721500000000001</v>
      </c>
      <c r="I305" s="59">
        <f>10.7264 * CHOOSE(CONTROL!$C$27, $C$14, 100%, $E$14)</f>
        <v>10.7264</v>
      </c>
      <c r="J305" s="59">
        <f>10.7215 * CHOOSE(CONTROL!$C$27, $C$14, 100%, $E$14)</f>
        <v>10.721500000000001</v>
      </c>
      <c r="K305" s="59">
        <f>10.7264 * CHOOSE(CONTROL!$C$27, $C$14, 100%, $E$14)</f>
        <v>10.7264</v>
      </c>
      <c r="L305" s="59">
        <f>5.8821 * CHOOSE(CONTROL!$C$27, $C$14, 100%, $E$14)</f>
        <v>5.8821000000000003</v>
      </c>
      <c r="M305" s="59">
        <f>5.887 * CHOOSE(CONTROL!$C$27, $C$14, 100%, $E$14)</f>
        <v>5.8869999999999996</v>
      </c>
      <c r="N305" s="59">
        <f>5.8821 * CHOOSE(CONTROL!$C$27, $C$14, 100%, $E$14)</f>
        <v>5.8821000000000003</v>
      </c>
      <c r="O305" s="59">
        <f>5.887 * CHOOSE(CONTROL!$C$27, $C$14, 100%, $E$14)</f>
        <v>5.8869999999999996</v>
      </c>
    </row>
    <row r="306" spans="1:15" ht="15">
      <c r="A306" s="11">
        <v>50406</v>
      </c>
      <c r="B306" s="58">
        <f>4.8843 * CHOOSE(CONTROL!$C$27, $C$14, 100%, $E$14)</f>
        <v>4.8842999999999996</v>
      </c>
      <c r="C306" s="58">
        <f>4.8843 * CHOOSE(CONTROL!$C$27, $C$14, 100%, $E$14)</f>
        <v>4.8842999999999996</v>
      </c>
      <c r="D306" s="58">
        <f>4.8883 * CHOOSE(CONTROL!$C$27, $C$14, 100%, $E$14)</f>
        <v>4.8883000000000001</v>
      </c>
      <c r="E306" s="59">
        <f>5.9668 * CHOOSE(CONTROL!$C$27, $C$14, 100%, $E$14)</f>
        <v>5.9668000000000001</v>
      </c>
      <c r="F306" s="59">
        <f>5.9668 * CHOOSE(CONTROL!$C$27, $C$14, 100%, $E$14)</f>
        <v>5.9668000000000001</v>
      </c>
      <c r="G306" s="59">
        <f>5.9717 * CHOOSE(CONTROL!$C$27, $C$14, 100%, $E$14)</f>
        <v>5.9717000000000002</v>
      </c>
      <c r="H306" s="59">
        <f>10.7438* CHOOSE(CONTROL!$C$27, $C$14, 100%, $E$14)</f>
        <v>10.7438</v>
      </c>
      <c r="I306" s="59">
        <f>10.7487 * CHOOSE(CONTROL!$C$27, $C$14, 100%, $E$14)</f>
        <v>10.748699999999999</v>
      </c>
      <c r="J306" s="59">
        <f>10.7438 * CHOOSE(CONTROL!$C$27, $C$14, 100%, $E$14)</f>
        <v>10.7438</v>
      </c>
      <c r="K306" s="59">
        <f>10.7487 * CHOOSE(CONTROL!$C$27, $C$14, 100%, $E$14)</f>
        <v>10.748699999999999</v>
      </c>
      <c r="L306" s="59">
        <f>5.9668 * CHOOSE(CONTROL!$C$27, $C$14, 100%, $E$14)</f>
        <v>5.9668000000000001</v>
      </c>
      <c r="M306" s="59">
        <f>5.9717 * CHOOSE(CONTROL!$C$27, $C$14, 100%, $E$14)</f>
        <v>5.9717000000000002</v>
      </c>
      <c r="N306" s="59">
        <f>5.9668 * CHOOSE(CONTROL!$C$27, $C$14, 100%, $E$14)</f>
        <v>5.9668000000000001</v>
      </c>
      <c r="O306" s="59">
        <f>5.9717 * CHOOSE(CONTROL!$C$27, $C$14, 100%, $E$14)</f>
        <v>5.9717000000000002</v>
      </c>
    </row>
    <row r="307" spans="1:15" ht="15">
      <c r="A307" s="11">
        <v>50437</v>
      </c>
      <c r="B307" s="58">
        <f>4.8813 * CHOOSE(CONTROL!$C$27, $C$14, 100%, $E$14)</f>
        <v>4.8813000000000004</v>
      </c>
      <c r="C307" s="58">
        <f>4.8813 * CHOOSE(CONTROL!$C$27, $C$14, 100%, $E$14)</f>
        <v>4.8813000000000004</v>
      </c>
      <c r="D307" s="58">
        <f>4.8853 * CHOOSE(CONTROL!$C$27, $C$14, 100%, $E$14)</f>
        <v>4.8853</v>
      </c>
      <c r="E307" s="59">
        <f>5.8715 * CHOOSE(CONTROL!$C$27, $C$14, 100%, $E$14)</f>
        <v>5.8715000000000002</v>
      </c>
      <c r="F307" s="59">
        <f>5.8715 * CHOOSE(CONTROL!$C$27, $C$14, 100%, $E$14)</f>
        <v>5.8715000000000002</v>
      </c>
      <c r="G307" s="59">
        <f>5.8764 * CHOOSE(CONTROL!$C$27, $C$14, 100%, $E$14)</f>
        <v>5.8764000000000003</v>
      </c>
      <c r="H307" s="59">
        <f>10.7662* CHOOSE(CONTROL!$C$27, $C$14, 100%, $E$14)</f>
        <v>10.7662</v>
      </c>
      <c r="I307" s="59">
        <f>10.7711 * CHOOSE(CONTROL!$C$27, $C$14, 100%, $E$14)</f>
        <v>10.771100000000001</v>
      </c>
      <c r="J307" s="59">
        <f>10.7662 * CHOOSE(CONTROL!$C$27, $C$14, 100%, $E$14)</f>
        <v>10.7662</v>
      </c>
      <c r="K307" s="59">
        <f>10.7711 * CHOOSE(CONTROL!$C$27, $C$14, 100%, $E$14)</f>
        <v>10.771100000000001</v>
      </c>
      <c r="L307" s="59">
        <f>5.8715 * CHOOSE(CONTROL!$C$27, $C$14, 100%, $E$14)</f>
        <v>5.8715000000000002</v>
      </c>
      <c r="M307" s="59">
        <f>5.8764 * CHOOSE(CONTROL!$C$27, $C$14, 100%, $E$14)</f>
        <v>5.8764000000000003</v>
      </c>
      <c r="N307" s="59">
        <f>5.8715 * CHOOSE(CONTROL!$C$27, $C$14, 100%, $E$14)</f>
        <v>5.8715000000000002</v>
      </c>
      <c r="O307" s="59">
        <f>5.8764 * CHOOSE(CONTROL!$C$27, $C$14, 100%, $E$14)</f>
        <v>5.8764000000000003</v>
      </c>
    </row>
    <row r="308" spans="1:15" ht="15">
      <c r="A308" s="11">
        <v>50465</v>
      </c>
      <c r="B308" s="58">
        <f>4.8783 * CHOOSE(CONTROL!$C$27, $C$14, 100%, $E$14)</f>
        <v>4.8783000000000003</v>
      </c>
      <c r="C308" s="58">
        <f>4.8783 * CHOOSE(CONTROL!$C$27, $C$14, 100%, $E$14)</f>
        <v>4.8783000000000003</v>
      </c>
      <c r="D308" s="58">
        <f>4.8823 * CHOOSE(CONTROL!$C$27, $C$14, 100%, $E$14)</f>
        <v>4.8822999999999999</v>
      </c>
      <c r="E308" s="59">
        <f>5.9428 * CHOOSE(CONTROL!$C$27, $C$14, 100%, $E$14)</f>
        <v>5.9428000000000001</v>
      </c>
      <c r="F308" s="59">
        <f>5.9428 * CHOOSE(CONTROL!$C$27, $C$14, 100%, $E$14)</f>
        <v>5.9428000000000001</v>
      </c>
      <c r="G308" s="59">
        <f>5.9478 * CHOOSE(CONTROL!$C$27, $C$14, 100%, $E$14)</f>
        <v>5.9478</v>
      </c>
      <c r="H308" s="59">
        <f>10.7886* CHOOSE(CONTROL!$C$27, $C$14, 100%, $E$14)</f>
        <v>10.788600000000001</v>
      </c>
      <c r="I308" s="59">
        <f>10.7935 * CHOOSE(CONTROL!$C$27, $C$14, 100%, $E$14)</f>
        <v>10.7935</v>
      </c>
      <c r="J308" s="59">
        <f>10.7886 * CHOOSE(CONTROL!$C$27, $C$14, 100%, $E$14)</f>
        <v>10.788600000000001</v>
      </c>
      <c r="K308" s="59">
        <f>10.7935 * CHOOSE(CONTROL!$C$27, $C$14, 100%, $E$14)</f>
        <v>10.7935</v>
      </c>
      <c r="L308" s="59">
        <f>5.9428 * CHOOSE(CONTROL!$C$27, $C$14, 100%, $E$14)</f>
        <v>5.9428000000000001</v>
      </c>
      <c r="M308" s="59">
        <f>5.9478 * CHOOSE(CONTROL!$C$27, $C$14, 100%, $E$14)</f>
        <v>5.9478</v>
      </c>
      <c r="N308" s="59">
        <f>5.9428 * CHOOSE(CONTROL!$C$27, $C$14, 100%, $E$14)</f>
        <v>5.9428000000000001</v>
      </c>
      <c r="O308" s="59">
        <f>5.9478 * CHOOSE(CONTROL!$C$27, $C$14, 100%, $E$14)</f>
        <v>5.9478</v>
      </c>
    </row>
    <row r="309" spans="1:15" ht="15">
      <c r="A309" s="11">
        <v>50496</v>
      </c>
      <c r="B309" s="58">
        <f>4.8767 * CHOOSE(CONTROL!$C$27, $C$14, 100%, $E$14)</f>
        <v>4.8766999999999996</v>
      </c>
      <c r="C309" s="58">
        <f>4.8767 * CHOOSE(CONTROL!$C$27, $C$14, 100%, $E$14)</f>
        <v>4.8766999999999996</v>
      </c>
      <c r="D309" s="58">
        <f>4.8807 * CHOOSE(CONTROL!$C$27, $C$14, 100%, $E$14)</f>
        <v>4.8807</v>
      </c>
      <c r="E309" s="59">
        <f>6.0175 * CHOOSE(CONTROL!$C$27, $C$14, 100%, $E$14)</f>
        <v>6.0175000000000001</v>
      </c>
      <c r="F309" s="59">
        <f>6.0175 * CHOOSE(CONTROL!$C$27, $C$14, 100%, $E$14)</f>
        <v>6.0175000000000001</v>
      </c>
      <c r="G309" s="59">
        <f>6.0224 * CHOOSE(CONTROL!$C$27, $C$14, 100%, $E$14)</f>
        <v>6.0224000000000002</v>
      </c>
      <c r="H309" s="59">
        <f>10.8111* CHOOSE(CONTROL!$C$27, $C$14, 100%, $E$14)</f>
        <v>10.8111</v>
      </c>
      <c r="I309" s="59">
        <f>10.816 * CHOOSE(CONTROL!$C$27, $C$14, 100%, $E$14)</f>
        <v>10.816000000000001</v>
      </c>
      <c r="J309" s="59">
        <f>10.8111 * CHOOSE(CONTROL!$C$27, $C$14, 100%, $E$14)</f>
        <v>10.8111</v>
      </c>
      <c r="K309" s="59">
        <f>10.816 * CHOOSE(CONTROL!$C$27, $C$14, 100%, $E$14)</f>
        <v>10.816000000000001</v>
      </c>
      <c r="L309" s="59">
        <f>6.0175 * CHOOSE(CONTROL!$C$27, $C$14, 100%, $E$14)</f>
        <v>6.0175000000000001</v>
      </c>
      <c r="M309" s="59">
        <f>6.0224 * CHOOSE(CONTROL!$C$27, $C$14, 100%, $E$14)</f>
        <v>6.0224000000000002</v>
      </c>
      <c r="N309" s="59">
        <f>6.0175 * CHOOSE(CONTROL!$C$27, $C$14, 100%, $E$14)</f>
        <v>6.0175000000000001</v>
      </c>
      <c r="O309" s="59">
        <f>6.0224 * CHOOSE(CONTROL!$C$27, $C$14, 100%, $E$14)</f>
        <v>6.0224000000000002</v>
      </c>
    </row>
    <row r="310" spans="1:15" ht="15">
      <c r="A310" s="11">
        <v>50526</v>
      </c>
      <c r="B310" s="58">
        <f>4.8767 * CHOOSE(CONTROL!$C$27, $C$14, 100%, $E$14)</f>
        <v>4.8766999999999996</v>
      </c>
      <c r="C310" s="58">
        <f>4.8767 * CHOOSE(CONTROL!$C$27, $C$14, 100%, $E$14)</f>
        <v>4.8766999999999996</v>
      </c>
      <c r="D310" s="58">
        <f>4.8823 * CHOOSE(CONTROL!$C$27, $C$14, 100%, $E$14)</f>
        <v>4.8822999999999999</v>
      </c>
      <c r="E310" s="59">
        <f>6.047 * CHOOSE(CONTROL!$C$27, $C$14, 100%, $E$14)</f>
        <v>6.0469999999999997</v>
      </c>
      <c r="F310" s="59">
        <f>6.047 * CHOOSE(CONTROL!$C$27, $C$14, 100%, $E$14)</f>
        <v>6.0469999999999997</v>
      </c>
      <c r="G310" s="59">
        <f>6.0539 * CHOOSE(CONTROL!$C$27, $C$14, 100%, $E$14)</f>
        <v>6.0538999999999996</v>
      </c>
      <c r="H310" s="59">
        <f>10.8336* CHOOSE(CONTROL!$C$27, $C$14, 100%, $E$14)</f>
        <v>10.833600000000001</v>
      </c>
      <c r="I310" s="59">
        <f>10.8405 * CHOOSE(CONTROL!$C$27, $C$14, 100%, $E$14)</f>
        <v>10.8405</v>
      </c>
      <c r="J310" s="59">
        <f>10.8336 * CHOOSE(CONTROL!$C$27, $C$14, 100%, $E$14)</f>
        <v>10.833600000000001</v>
      </c>
      <c r="K310" s="59">
        <f>10.8405 * CHOOSE(CONTROL!$C$27, $C$14, 100%, $E$14)</f>
        <v>10.8405</v>
      </c>
      <c r="L310" s="59">
        <f>6.047 * CHOOSE(CONTROL!$C$27, $C$14, 100%, $E$14)</f>
        <v>6.0469999999999997</v>
      </c>
      <c r="M310" s="59">
        <f>6.0539 * CHOOSE(CONTROL!$C$27, $C$14, 100%, $E$14)</f>
        <v>6.0538999999999996</v>
      </c>
      <c r="N310" s="59">
        <f>6.047 * CHOOSE(CONTROL!$C$27, $C$14, 100%, $E$14)</f>
        <v>6.0469999999999997</v>
      </c>
      <c r="O310" s="59">
        <f>6.0539 * CHOOSE(CONTROL!$C$27, $C$14, 100%, $E$14)</f>
        <v>6.0538999999999996</v>
      </c>
    </row>
    <row r="311" spans="1:15" ht="15">
      <c r="A311" s="11">
        <v>50557</v>
      </c>
      <c r="B311" s="58">
        <f>4.8827 * CHOOSE(CONTROL!$C$27, $C$14, 100%, $E$14)</f>
        <v>4.8826999999999998</v>
      </c>
      <c r="C311" s="58">
        <f>4.8827 * CHOOSE(CONTROL!$C$27, $C$14, 100%, $E$14)</f>
        <v>4.8826999999999998</v>
      </c>
      <c r="D311" s="58">
        <f>4.8884 * CHOOSE(CONTROL!$C$27, $C$14, 100%, $E$14)</f>
        <v>4.8883999999999999</v>
      </c>
      <c r="E311" s="59">
        <f>6.0217 * CHOOSE(CONTROL!$C$27, $C$14, 100%, $E$14)</f>
        <v>6.0217000000000001</v>
      </c>
      <c r="F311" s="59">
        <f>6.0217 * CHOOSE(CONTROL!$C$27, $C$14, 100%, $E$14)</f>
        <v>6.0217000000000001</v>
      </c>
      <c r="G311" s="59">
        <f>6.0286 * CHOOSE(CONTROL!$C$27, $C$14, 100%, $E$14)</f>
        <v>6.0286</v>
      </c>
      <c r="H311" s="59">
        <f>10.8562* CHOOSE(CONTROL!$C$27, $C$14, 100%, $E$14)</f>
        <v>10.856199999999999</v>
      </c>
      <c r="I311" s="59">
        <f>10.8631 * CHOOSE(CONTROL!$C$27, $C$14, 100%, $E$14)</f>
        <v>10.863099999999999</v>
      </c>
      <c r="J311" s="59">
        <f>10.8562 * CHOOSE(CONTROL!$C$27, $C$14, 100%, $E$14)</f>
        <v>10.856199999999999</v>
      </c>
      <c r="K311" s="59">
        <f>10.8631 * CHOOSE(CONTROL!$C$27, $C$14, 100%, $E$14)</f>
        <v>10.863099999999999</v>
      </c>
      <c r="L311" s="59">
        <f>6.0217 * CHOOSE(CONTROL!$C$27, $C$14, 100%, $E$14)</f>
        <v>6.0217000000000001</v>
      </c>
      <c r="M311" s="59">
        <f>6.0286 * CHOOSE(CONTROL!$C$27, $C$14, 100%, $E$14)</f>
        <v>6.0286</v>
      </c>
      <c r="N311" s="59">
        <f>6.0217 * CHOOSE(CONTROL!$C$27, $C$14, 100%, $E$14)</f>
        <v>6.0217000000000001</v>
      </c>
      <c r="O311" s="59">
        <f>6.0286 * CHOOSE(CONTROL!$C$27, $C$14, 100%, $E$14)</f>
        <v>6.0286</v>
      </c>
    </row>
    <row r="312" spans="1:15" ht="15">
      <c r="A312" s="11">
        <v>50587</v>
      </c>
      <c r="B312" s="58">
        <f>4.9646 * CHOOSE(CONTROL!$C$27, $C$14, 100%, $E$14)</f>
        <v>4.9645999999999999</v>
      </c>
      <c r="C312" s="58">
        <f>4.9646 * CHOOSE(CONTROL!$C$27, $C$14, 100%, $E$14)</f>
        <v>4.9645999999999999</v>
      </c>
      <c r="D312" s="58">
        <f>4.9703 * CHOOSE(CONTROL!$C$27, $C$14, 100%, $E$14)</f>
        <v>4.9702999999999999</v>
      </c>
      <c r="E312" s="59">
        <f>6.1322 * CHOOSE(CONTROL!$C$27, $C$14, 100%, $E$14)</f>
        <v>6.1322000000000001</v>
      </c>
      <c r="F312" s="59">
        <f>6.1322 * CHOOSE(CONTROL!$C$27, $C$14, 100%, $E$14)</f>
        <v>6.1322000000000001</v>
      </c>
      <c r="G312" s="59">
        <f>6.1391 * CHOOSE(CONTROL!$C$27, $C$14, 100%, $E$14)</f>
        <v>6.1391</v>
      </c>
      <c r="H312" s="59">
        <f>10.8788* CHOOSE(CONTROL!$C$27, $C$14, 100%, $E$14)</f>
        <v>10.8788</v>
      </c>
      <c r="I312" s="59">
        <f>10.8857 * CHOOSE(CONTROL!$C$27, $C$14, 100%, $E$14)</f>
        <v>10.8857</v>
      </c>
      <c r="J312" s="59">
        <f>10.8788 * CHOOSE(CONTROL!$C$27, $C$14, 100%, $E$14)</f>
        <v>10.8788</v>
      </c>
      <c r="K312" s="59">
        <f>10.8857 * CHOOSE(CONTROL!$C$27, $C$14, 100%, $E$14)</f>
        <v>10.8857</v>
      </c>
      <c r="L312" s="59">
        <f>6.1322 * CHOOSE(CONTROL!$C$27, $C$14, 100%, $E$14)</f>
        <v>6.1322000000000001</v>
      </c>
      <c r="M312" s="59">
        <f>6.1391 * CHOOSE(CONTROL!$C$27, $C$14, 100%, $E$14)</f>
        <v>6.1391</v>
      </c>
      <c r="N312" s="59">
        <f>6.1322 * CHOOSE(CONTROL!$C$27, $C$14, 100%, $E$14)</f>
        <v>6.1322000000000001</v>
      </c>
      <c r="O312" s="59">
        <f>6.1391 * CHOOSE(CONTROL!$C$27, $C$14, 100%, $E$14)</f>
        <v>6.1391</v>
      </c>
    </row>
    <row r="313" spans="1:15" ht="15">
      <c r="A313" s="11">
        <v>50618</v>
      </c>
      <c r="B313" s="58">
        <f>4.9713 * CHOOSE(CONTROL!$C$27, $C$14, 100%, $E$14)</f>
        <v>4.9713000000000003</v>
      </c>
      <c r="C313" s="58">
        <f>4.9713 * CHOOSE(CONTROL!$C$27, $C$14, 100%, $E$14)</f>
        <v>4.9713000000000003</v>
      </c>
      <c r="D313" s="58">
        <f>4.977 * CHOOSE(CONTROL!$C$27, $C$14, 100%, $E$14)</f>
        <v>4.9770000000000003</v>
      </c>
      <c r="E313" s="59">
        <f>6.0481 * CHOOSE(CONTROL!$C$27, $C$14, 100%, $E$14)</f>
        <v>6.0480999999999998</v>
      </c>
      <c r="F313" s="59">
        <f>6.0481 * CHOOSE(CONTROL!$C$27, $C$14, 100%, $E$14)</f>
        <v>6.0480999999999998</v>
      </c>
      <c r="G313" s="59">
        <f>6.055 * CHOOSE(CONTROL!$C$27, $C$14, 100%, $E$14)</f>
        <v>6.0549999999999997</v>
      </c>
      <c r="H313" s="59">
        <f>10.9015* CHOOSE(CONTROL!$C$27, $C$14, 100%, $E$14)</f>
        <v>10.9015</v>
      </c>
      <c r="I313" s="59">
        <f>10.9083 * CHOOSE(CONTROL!$C$27, $C$14, 100%, $E$14)</f>
        <v>10.908300000000001</v>
      </c>
      <c r="J313" s="59">
        <f>10.9015 * CHOOSE(CONTROL!$C$27, $C$14, 100%, $E$14)</f>
        <v>10.9015</v>
      </c>
      <c r="K313" s="59">
        <f>10.9083 * CHOOSE(CONTROL!$C$27, $C$14, 100%, $E$14)</f>
        <v>10.908300000000001</v>
      </c>
      <c r="L313" s="59">
        <f>6.0481 * CHOOSE(CONTROL!$C$27, $C$14, 100%, $E$14)</f>
        <v>6.0480999999999998</v>
      </c>
      <c r="M313" s="59">
        <f>6.055 * CHOOSE(CONTROL!$C$27, $C$14, 100%, $E$14)</f>
        <v>6.0549999999999997</v>
      </c>
      <c r="N313" s="59">
        <f>6.0481 * CHOOSE(CONTROL!$C$27, $C$14, 100%, $E$14)</f>
        <v>6.0480999999999998</v>
      </c>
      <c r="O313" s="59">
        <f>6.055 * CHOOSE(CONTROL!$C$27, $C$14, 100%, $E$14)</f>
        <v>6.0549999999999997</v>
      </c>
    </row>
    <row r="314" spans="1:15" ht="15">
      <c r="A314" s="11">
        <v>50649</v>
      </c>
      <c r="B314" s="58">
        <f>4.9683 * CHOOSE(CONTROL!$C$27, $C$14, 100%, $E$14)</f>
        <v>4.9683000000000002</v>
      </c>
      <c r="C314" s="58">
        <f>4.9683 * CHOOSE(CONTROL!$C$27, $C$14, 100%, $E$14)</f>
        <v>4.9683000000000002</v>
      </c>
      <c r="D314" s="58">
        <f>4.9739 * CHOOSE(CONTROL!$C$27, $C$14, 100%, $E$14)</f>
        <v>4.9739000000000004</v>
      </c>
      <c r="E314" s="59">
        <f>6.0361 * CHOOSE(CONTROL!$C$27, $C$14, 100%, $E$14)</f>
        <v>6.0361000000000002</v>
      </c>
      <c r="F314" s="59">
        <f>6.0361 * CHOOSE(CONTROL!$C$27, $C$14, 100%, $E$14)</f>
        <v>6.0361000000000002</v>
      </c>
      <c r="G314" s="59">
        <f>6.043 * CHOOSE(CONTROL!$C$27, $C$14, 100%, $E$14)</f>
        <v>6.0430000000000001</v>
      </c>
      <c r="H314" s="59">
        <f>10.9242* CHOOSE(CONTROL!$C$27, $C$14, 100%, $E$14)</f>
        <v>10.924200000000001</v>
      </c>
      <c r="I314" s="59">
        <f>10.9311 * CHOOSE(CONTROL!$C$27, $C$14, 100%, $E$14)</f>
        <v>10.931100000000001</v>
      </c>
      <c r="J314" s="59">
        <f>10.9242 * CHOOSE(CONTROL!$C$27, $C$14, 100%, $E$14)</f>
        <v>10.924200000000001</v>
      </c>
      <c r="K314" s="59">
        <f>10.9311 * CHOOSE(CONTROL!$C$27, $C$14, 100%, $E$14)</f>
        <v>10.931100000000001</v>
      </c>
      <c r="L314" s="59">
        <f>6.0361 * CHOOSE(CONTROL!$C$27, $C$14, 100%, $E$14)</f>
        <v>6.0361000000000002</v>
      </c>
      <c r="M314" s="59">
        <f>6.043 * CHOOSE(CONTROL!$C$27, $C$14, 100%, $E$14)</f>
        <v>6.0430000000000001</v>
      </c>
      <c r="N314" s="59">
        <f>6.0361 * CHOOSE(CONTROL!$C$27, $C$14, 100%, $E$14)</f>
        <v>6.0361000000000002</v>
      </c>
      <c r="O314" s="59">
        <f>6.043 * CHOOSE(CONTROL!$C$27, $C$14, 100%, $E$14)</f>
        <v>6.0430000000000001</v>
      </c>
    </row>
    <row r="315" spans="1:15" ht="15">
      <c r="A315" s="11">
        <v>50679</v>
      </c>
      <c r="B315" s="58">
        <f>4.9666 * CHOOSE(CONTROL!$C$27, $C$14, 100%, $E$14)</f>
        <v>4.9665999999999997</v>
      </c>
      <c r="C315" s="58">
        <f>4.9666 * CHOOSE(CONTROL!$C$27, $C$14, 100%, $E$14)</f>
        <v>4.9665999999999997</v>
      </c>
      <c r="D315" s="58">
        <f>4.9706 * CHOOSE(CONTROL!$C$27, $C$14, 100%, $E$14)</f>
        <v>4.9706000000000001</v>
      </c>
      <c r="E315" s="59">
        <f>6.0622 * CHOOSE(CONTROL!$C$27, $C$14, 100%, $E$14)</f>
        <v>6.0621999999999998</v>
      </c>
      <c r="F315" s="59">
        <f>6.0622 * CHOOSE(CONTROL!$C$27, $C$14, 100%, $E$14)</f>
        <v>6.0621999999999998</v>
      </c>
      <c r="G315" s="59">
        <f>6.0671 * CHOOSE(CONTROL!$C$27, $C$14, 100%, $E$14)</f>
        <v>6.0670999999999999</v>
      </c>
      <c r="H315" s="59">
        <f>10.9469* CHOOSE(CONTROL!$C$27, $C$14, 100%, $E$14)</f>
        <v>10.946899999999999</v>
      </c>
      <c r="I315" s="59">
        <f>10.9518 * CHOOSE(CONTROL!$C$27, $C$14, 100%, $E$14)</f>
        <v>10.9518</v>
      </c>
      <c r="J315" s="59">
        <f>10.9469 * CHOOSE(CONTROL!$C$27, $C$14, 100%, $E$14)</f>
        <v>10.946899999999999</v>
      </c>
      <c r="K315" s="59">
        <f>10.9518 * CHOOSE(CONTROL!$C$27, $C$14, 100%, $E$14)</f>
        <v>10.9518</v>
      </c>
      <c r="L315" s="59">
        <f>6.0622 * CHOOSE(CONTROL!$C$27, $C$14, 100%, $E$14)</f>
        <v>6.0621999999999998</v>
      </c>
      <c r="M315" s="59">
        <f>6.0671 * CHOOSE(CONTROL!$C$27, $C$14, 100%, $E$14)</f>
        <v>6.0670999999999999</v>
      </c>
      <c r="N315" s="59">
        <f>6.0622 * CHOOSE(CONTROL!$C$27, $C$14, 100%, $E$14)</f>
        <v>6.0621999999999998</v>
      </c>
      <c r="O315" s="59">
        <f>6.0671 * CHOOSE(CONTROL!$C$27, $C$14, 100%, $E$14)</f>
        <v>6.0670999999999999</v>
      </c>
    </row>
    <row r="316" spans="1:15" ht="15">
      <c r="A316" s="11">
        <v>50710</v>
      </c>
      <c r="B316" s="58">
        <f>4.9696 * CHOOSE(CONTROL!$C$27, $C$14, 100%, $E$14)</f>
        <v>4.9695999999999998</v>
      </c>
      <c r="C316" s="58">
        <f>4.9696 * CHOOSE(CONTROL!$C$27, $C$14, 100%, $E$14)</f>
        <v>4.9695999999999998</v>
      </c>
      <c r="D316" s="58">
        <f>4.9736 * CHOOSE(CONTROL!$C$27, $C$14, 100%, $E$14)</f>
        <v>4.9736000000000002</v>
      </c>
      <c r="E316" s="59">
        <f>6.084 * CHOOSE(CONTROL!$C$27, $C$14, 100%, $E$14)</f>
        <v>6.0839999999999996</v>
      </c>
      <c r="F316" s="59">
        <f>6.084 * CHOOSE(CONTROL!$C$27, $C$14, 100%, $E$14)</f>
        <v>6.0839999999999996</v>
      </c>
      <c r="G316" s="59">
        <f>6.0889 * CHOOSE(CONTROL!$C$27, $C$14, 100%, $E$14)</f>
        <v>6.0888999999999998</v>
      </c>
      <c r="H316" s="59">
        <f>10.9697* CHOOSE(CONTROL!$C$27, $C$14, 100%, $E$14)</f>
        <v>10.9697</v>
      </c>
      <c r="I316" s="59">
        <f>10.9747 * CHOOSE(CONTROL!$C$27, $C$14, 100%, $E$14)</f>
        <v>10.9747</v>
      </c>
      <c r="J316" s="59">
        <f>10.9697 * CHOOSE(CONTROL!$C$27, $C$14, 100%, $E$14)</f>
        <v>10.9697</v>
      </c>
      <c r="K316" s="59">
        <f>10.9747 * CHOOSE(CONTROL!$C$27, $C$14, 100%, $E$14)</f>
        <v>10.9747</v>
      </c>
      <c r="L316" s="59">
        <f>6.084 * CHOOSE(CONTROL!$C$27, $C$14, 100%, $E$14)</f>
        <v>6.0839999999999996</v>
      </c>
      <c r="M316" s="59">
        <f>6.0889 * CHOOSE(CONTROL!$C$27, $C$14, 100%, $E$14)</f>
        <v>6.0888999999999998</v>
      </c>
      <c r="N316" s="59">
        <f>6.084 * CHOOSE(CONTROL!$C$27, $C$14, 100%, $E$14)</f>
        <v>6.0839999999999996</v>
      </c>
      <c r="O316" s="59">
        <f>6.0889 * CHOOSE(CONTROL!$C$27, $C$14, 100%, $E$14)</f>
        <v>6.0888999999999998</v>
      </c>
    </row>
    <row r="317" spans="1:15" ht="15">
      <c r="A317" s="11">
        <v>50740</v>
      </c>
      <c r="B317" s="58">
        <f>4.9696 * CHOOSE(CONTROL!$C$27, $C$14, 100%, $E$14)</f>
        <v>4.9695999999999998</v>
      </c>
      <c r="C317" s="58">
        <f>4.9696 * CHOOSE(CONTROL!$C$27, $C$14, 100%, $E$14)</f>
        <v>4.9695999999999998</v>
      </c>
      <c r="D317" s="58">
        <f>4.9736 * CHOOSE(CONTROL!$C$27, $C$14, 100%, $E$14)</f>
        <v>4.9736000000000002</v>
      </c>
      <c r="E317" s="59">
        <f>6.061 * CHOOSE(CONTROL!$C$27, $C$14, 100%, $E$14)</f>
        <v>6.0609999999999999</v>
      </c>
      <c r="F317" s="59">
        <f>6.061 * CHOOSE(CONTROL!$C$27, $C$14, 100%, $E$14)</f>
        <v>6.0609999999999999</v>
      </c>
      <c r="G317" s="59">
        <f>6.066 * CHOOSE(CONTROL!$C$27, $C$14, 100%, $E$14)</f>
        <v>6.0659999999999998</v>
      </c>
      <c r="H317" s="59">
        <f>10.9926* CHOOSE(CONTROL!$C$27, $C$14, 100%, $E$14)</f>
        <v>10.992599999999999</v>
      </c>
      <c r="I317" s="59">
        <f>10.9975 * CHOOSE(CONTROL!$C$27, $C$14, 100%, $E$14)</f>
        <v>10.9975</v>
      </c>
      <c r="J317" s="59">
        <f>10.9926 * CHOOSE(CONTROL!$C$27, $C$14, 100%, $E$14)</f>
        <v>10.992599999999999</v>
      </c>
      <c r="K317" s="59">
        <f>10.9975 * CHOOSE(CONTROL!$C$27, $C$14, 100%, $E$14)</f>
        <v>10.9975</v>
      </c>
      <c r="L317" s="59">
        <f>6.061 * CHOOSE(CONTROL!$C$27, $C$14, 100%, $E$14)</f>
        <v>6.0609999999999999</v>
      </c>
      <c r="M317" s="59">
        <f>6.066 * CHOOSE(CONTROL!$C$27, $C$14, 100%, $E$14)</f>
        <v>6.0659999999999998</v>
      </c>
      <c r="N317" s="59">
        <f>6.061 * CHOOSE(CONTROL!$C$27, $C$14, 100%, $E$14)</f>
        <v>6.0609999999999999</v>
      </c>
      <c r="O317" s="59">
        <f>6.066 * CHOOSE(CONTROL!$C$27, $C$14, 100%, $E$14)</f>
        <v>6.0659999999999998</v>
      </c>
    </row>
    <row r="318" spans="1:15" ht="15">
      <c r="A318" s="11">
        <v>50771</v>
      </c>
      <c r="B318" s="58">
        <f>5.014 * CHOOSE(CONTROL!$C$27, $C$14, 100%, $E$14)</f>
        <v>5.0140000000000002</v>
      </c>
      <c r="C318" s="58">
        <f>5.014 * CHOOSE(CONTROL!$C$27, $C$14, 100%, $E$14)</f>
        <v>5.0140000000000002</v>
      </c>
      <c r="D318" s="58">
        <f>5.018 * CHOOSE(CONTROL!$C$27, $C$14, 100%, $E$14)</f>
        <v>5.0179999999999998</v>
      </c>
      <c r="E318" s="59">
        <f>6.1195 * CHOOSE(CONTROL!$C$27, $C$14, 100%, $E$14)</f>
        <v>6.1195000000000004</v>
      </c>
      <c r="F318" s="59">
        <f>6.1195 * CHOOSE(CONTROL!$C$27, $C$14, 100%, $E$14)</f>
        <v>6.1195000000000004</v>
      </c>
      <c r="G318" s="59">
        <f>6.1244 * CHOOSE(CONTROL!$C$27, $C$14, 100%, $E$14)</f>
        <v>6.1243999999999996</v>
      </c>
      <c r="H318" s="59">
        <f>11.0155* CHOOSE(CONTROL!$C$27, $C$14, 100%, $E$14)</f>
        <v>11.015499999999999</v>
      </c>
      <c r="I318" s="59">
        <f>11.0204 * CHOOSE(CONTROL!$C$27, $C$14, 100%, $E$14)</f>
        <v>11.0204</v>
      </c>
      <c r="J318" s="59">
        <f>11.0155 * CHOOSE(CONTROL!$C$27, $C$14, 100%, $E$14)</f>
        <v>11.015499999999999</v>
      </c>
      <c r="K318" s="59">
        <f>11.0204 * CHOOSE(CONTROL!$C$27, $C$14, 100%, $E$14)</f>
        <v>11.0204</v>
      </c>
      <c r="L318" s="59">
        <f>6.1195 * CHOOSE(CONTROL!$C$27, $C$14, 100%, $E$14)</f>
        <v>6.1195000000000004</v>
      </c>
      <c r="M318" s="59">
        <f>6.1244 * CHOOSE(CONTROL!$C$27, $C$14, 100%, $E$14)</f>
        <v>6.1243999999999996</v>
      </c>
      <c r="N318" s="59">
        <f>6.1195 * CHOOSE(CONTROL!$C$27, $C$14, 100%, $E$14)</f>
        <v>6.1195000000000004</v>
      </c>
      <c r="O318" s="59">
        <f>6.1244 * CHOOSE(CONTROL!$C$27, $C$14, 100%, $E$14)</f>
        <v>6.1243999999999996</v>
      </c>
    </row>
    <row r="319" spans="1:15" ht="15">
      <c r="A319" s="11">
        <v>50802</v>
      </c>
      <c r="B319" s="58">
        <f>5.0109 * CHOOSE(CONTROL!$C$27, $C$14, 100%, $E$14)</f>
        <v>5.0109000000000004</v>
      </c>
      <c r="C319" s="58">
        <f>5.0109 * CHOOSE(CONTROL!$C$27, $C$14, 100%, $E$14)</f>
        <v>5.0109000000000004</v>
      </c>
      <c r="D319" s="58">
        <f>5.0149 * CHOOSE(CONTROL!$C$27, $C$14, 100%, $E$14)</f>
        <v>5.0148999999999999</v>
      </c>
      <c r="E319" s="59">
        <f>6.0216 * CHOOSE(CONTROL!$C$27, $C$14, 100%, $E$14)</f>
        <v>6.0216000000000003</v>
      </c>
      <c r="F319" s="59">
        <f>6.0216 * CHOOSE(CONTROL!$C$27, $C$14, 100%, $E$14)</f>
        <v>6.0216000000000003</v>
      </c>
      <c r="G319" s="59">
        <f>6.0266 * CHOOSE(CONTROL!$C$27, $C$14, 100%, $E$14)</f>
        <v>6.0266000000000002</v>
      </c>
      <c r="H319" s="59">
        <f>11.0384* CHOOSE(CONTROL!$C$27, $C$14, 100%, $E$14)</f>
        <v>11.038399999999999</v>
      </c>
      <c r="I319" s="59">
        <f>11.0434 * CHOOSE(CONTROL!$C$27, $C$14, 100%, $E$14)</f>
        <v>11.0434</v>
      </c>
      <c r="J319" s="59">
        <f>11.0384 * CHOOSE(CONTROL!$C$27, $C$14, 100%, $E$14)</f>
        <v>11.038399999999999</v>
      </c>
      <c r="K319" s="59">
        <f>11.0434 * CHOOSE(CONTROL!$C$27, $C$14, 100%, $E$14)</f>
        <v>11.0434</v>
      </c>
      <c r="L319" s="59">
        <f>6.0216 * CHOOSE(CONTROL!$C$27, $C$14, 100%, $E$14)</f>
        <v>6.0216000000000003</v>
      </c>
      <c r="M319" s="59">
        <f>6.0266 * CHOOSE(CONTROL!$C$27, $C$14, 100%, $E$14)</f>
        <v>6.0266000000000002</v>
      </c>
      <c r="N319" s="59">
        <f>6.0216 * CHOOSE(CONTROL!$C$27, $C$14, 100%, $E$14)</f>
        <v>6.0216000000000003</v>
      </c>
      <c r="O319" s="59">
        <f>6.0266 * CHOOSE(CONTROL!$C$27, $C$14, 100%, $E$14)</f>
        <v>6.0266000000000002</v>
      </c>
    </row>
    <row r="320" spans="1:15" ht="15">
      <c r="A320" s="11">
        <v>50830</v>
      </c>
      <c r="B320" s="58">
        <f>5.0079 * CHOOSE(CONTROL!$C$27, $C$14, 100%, $E$14)</f>
        <v>5.0079000000000002</v>
      </c>
      <c r="C320" s="58">
        <f>5.0079 * CHOOSE(CONTROL!$C$27, $C$14, 100%, $E$14)</f>
        <v>5.0079000000000002</v>
      </c>
      <c r="D320" s="58">
        <f>5.0119 * CHOOSE(CONTROL!$C$27, $C$14, 100%, $E$14)</f>
        <v>5.0118999999999998</v>
      </c>
      <c r="E320" s="59">
        <f>6.095 * CHOOSE(CONTROL!$C$27, $C$14, 100%, $E$14)</f>
        <v>6.0949999999999998</v>
      </c>
      <c r="F320" s="59">
        <f>6.095 * CHOOSE(CONTROL!$C$27, $C$14, 100%, $E$14)</f>
        <v>6.0949999999999998</v>
      </c>
      <c r="G320" s="59">
        <f>6.0999 * CHOOSE(CONTROL!$C$27, $C$14, 100%, $E$14)</f>
        <v>6.0998999999999999</v>
      </c>
      <c r="H320" s="59">
        <f>11.0614* CHOOSE(CONTROL!$C$27, $C$14, 100%, $E$14)</f>
        <v>11.061400000000001</v>
      </c>
      <c r="I320" s="59">
        <f>11.0664 * CHOOSE(CONTROL!$C$27, $C$14, 100%, $E$14)</f>
        <v>11.0664</v>
      </c>
      <c r="J320" s="59">
        <f>11.0614 * CHOOSE(CONTROL!$C$27, $C$14, 100%, $E$14)</f>
        <v>11.061400000000001</v>
      </c>
      <c r="K320" s="59">
        <f>11.0664 * CHOOSE(CONTROL!$C$27, $C$14, 100%, $E$14)</f>
        <v>11.0664</v>
      </c>
      <c r="L320" s="59">
        <f>6.095 * CHOOSE(CONTROL!$C$27, $C$14, 100%, $E$14)</f>
        <v>6.0949999999999998</v>
      </c>
      <c r="M320" s="59">
        <f>6.0999 * CHOOSE(CONTROL!$C$27, $C$14, 100%, $E$14)</f>
        <v>6.0998999999999999</v>
      </c>
      <c r="N320" s="59">
        <f>6.095 * CHOOSE(CONTROL!$C$27, $C$14, 100%, $E$14)</f>
        <v>6.0949999999999998</v>
      </c>
      <c r="O320" s="59">
        <f>6.0999 * CHOOSE(CONTROL!$C$27, $C$14, 100%, $E$14)</f>
        <v>6.0998999999999999</v>
      </c>
    </row>
    <row r="321" spans="1:15" ht="15">
      <c r="A321" s="11">
        <v>50861</v>
      </c>
      <c r="B321" s="58">
        <f>5.0064 * CHOOSE(CONTROL!$C$27, $C$14, 100%, $E$14)</f>
        <v>5.0064000000000002</v>
      </c>
      <c r="C321" s="58">
        <f>5.0064 * CHOOSE(CONTROL!$C$27, $C$14, 100%, $E$14)</f>
        <v>5.0064000000000002</v>
      </c>
      <c r="D321" s="58">
        <f>5.0104 * CHOOSE(CONTROL!$C$27, $C$14, 100%, $E$14)</f>
        <v>5.0103999999999997</v>
      </c>
      <c r="E321" s="59">
        <f>6.1718 * CHOOSE(CONTROL!$C$27, $C$14, 100%, $E$14)</f>
        <v>6.1718000000000002</v>
      </c>
      <c r="F321" s="59">
        <f>6.1718 * CHOOSE(CONTROL!$C$27, $C$14, 100%, $E$14)</f>
        <v>6.1718000000000002</v>
      </c>
      <c r="G321" s="59">
        <f>6.1767 * CHOOSE(CONTROL!$C$27, $C$14, 100%, $E$14)</f>
        <v>6.1767000000000003</v>
      </c>
      <c r="H321" s="59">
        <f>11.0845* CHOOSE(CONTROL!$C$27, $C$14, 100%, $E$14)</f>
        <v>11.0845</v>
      </c>
      <c r="I321" s="59">
        <f>11.0894 * CHOOSE(CONTROL!$C$27, $C$14, 100%, $E$14)</f>
        <v>11.089399999999999</v>
      </c>
      <c r="J321" s="59">
        <f>11.0845 * CHOOSE(CONTROL!$C$27, $C$14, 100%, $E$14)</f>
        <v>11.0845</v>
      </c>
      <c r="K321" s="59">
        <f>11.0894 * CHOOSE(CONTROL!$C$27, $C$14, 100%, $E$14)</f>
        <v>11.089399999999999</v>
      </c>
      <c r="L321" s="59">
        <f>6.1718 * CHOOSE(CONTROL!$C$27, $C$14, 100%, $E$14)</f>
        <v>6.1718000000000002</v>
      </c>
      <c r="M321" s="59">
        <f>6.1767 * CHOOSE(CONTROL!$C$27, $C$14, 100%, $E$14)</f>
        <v>6.1767000000000003</v>
      </c>
      <c r="N321" s="59">
        <f>6.1718 * CHOOSE(CONTROL!$C$27, $C$14, 100%, $E$14)</f>
        <v>6.1718000000000002</v>
      </c>
      <c r="O321" s="59">
        <f>6.1767 * CHOOSE(CONTROL!$C$27, $C$14, 100%, $E$14)</f>
        <v>6.1767000000000003</v>
      </c>
    </row>
    <row r="322" spans="1:15" ht="15">
      <c r="A322" s="11">
        <v>50891</v>
      </c>
      <c r="B322" s="58">
        <f>5.0064 * CHOOSE(CONTROL!$C$27, $C$14, 100%, $E$14)</f>
        <v>5.0064000000000002</v>
      </c>
      <c r="C322" s="58">
        <f>5.0064 * CHOOSE(CONTROL!$C$27, $C$14, 100%, $E$14)</f>
        <v>5.0064000000000002</v>
      </c>
      <c r="D322" s="58">
        <f>5.0121 * CHOOSE(CONTROL!$C$27, $C$14, 100%, $E$14)</f>
        <v>5.0121000000000002</v>
      </c>
      <c r="E322" s="59">
        <f>6.2021 * CHOOSE(CONTROL!$C$27, $C$14, 100%, $E$14)</f>
        <v>6.2020999999999997</v>
      </c>
      <c r="F322" s="59">
        <f>6.2021 * CHOOSE(CONTROL!$C$27, $C$14, 100%, $E$14)</f>
        <v>6.2020999999999997</v>
      </c>
      <c r="G322" s="59">
        <f>6.209 * CHOOSE(CONTROL!$C$27, $C$14, 100%, $E$14)</f>
        <v>6.2089999999999996</v>
      </c>
      <c r="H322" s="59">
        <f>11.1076* CHOOSE(CONTROL!$C$27, $C$14, 100%, $E$14)</f>
        <v>11.1076</v>
      </c>
      <c r="I322" s="59">
        <f>11.1145 * CHOOSE(CONTROL!$C$27, $C$14, 100%, $E$14)</f>
        <v>11.1145</v>
      </c>
      <c r="J322" s="59">
        <f>11.1076 * CHOOSE(CONTROL!$C$27, $C$14, 100%, $E$14)</f>
        <v>11.1076</v>
      </c>
      <c r="K322" s="59">
        <f>11.1145 * CHOOSE(CONTROL!$C$27, $C$14, 100%, $E$14)</f>
        <v>11.1145</v>
      </c>
      <c r="L322" s="59">
        <f>6.2021 * CHOOSE(CONTROL!$C$27, $C$14, 100%, $E$14)</f>
        <v>6.2020999999999997</v>
      </c>
      <c r="M322" s="59">
        <f>6.209 * CHOOSE(CONTROL!$C$27, $C$14, 100%, $E$14)</f>
        <v>6.2089999999999996</v>
      </c>
      <c r="N322" s="59">
        <f>6.2021 * CHOOSE(CONTROL!$C$27, $C$14, 100%, $E$14)</f>
        <v>6.2020999999999997</v>
      </c>
      <c r="O322" s="59">
        <f>6.209 * CHOOSE(CONTROL!$C$27, $C$14, 100%, $E$14)</f>
        <v>6.2089999999999996</v>
      </c>
    </row>
    <row r="323" spans="1:15" ht="15">
      <c r="A323" s="11">
        <v>50922</v>
      </c>
      <c r="B323" s="58">
        <f>5.0125 * CHOOSE(CONTROL!$C$27, $C$14, 100%, $E$14)</f>
        <v>5.0125000000000002</v>
      </c>
      <c r="C323" s="58">
        <f>5.0125 * CHOOSE(CONTROL!$C$27, $C$14, 100%, $E$14)</f>
        <v>5.0125000000000002</v>
      </c>
      <c r="D323" s="58">
        <f>5.0181 * CHOOSE(CONTROL!$C$27, $C$14, 100%, $E$14)</f>
        <v>5.0180999999999996</v>
      </c>
      <c r="E323" s="59">
        <f>6.176 * CHOOSE(CONTROL!$C$27, $C$14, 100%, $E$14)</f>
        <v>6.1760000000000002</v>
      </c>
      <c r="F323" s="59">
        <f>6.176 * CHOOSE(CONTROL!$C$27, $C$14, 100%, $E$14)</f>
        <v>6.1760000000000002</v>
      </c>
      <c r="G323" s="59">
        <f>6.1829 * CHOOSE(CONTROL!$C$27, $C$14, 100%, $E$14)</f>
        <v>6.1829000000000001</v>
      </c>
      <c r="H323" s="59">
        <f>11.1307* CHOOSE(CONTROL!$C$27, $C$14, 100%, $E$14)</f>
        <v>11.130699999999999</v>
      </c>
      <c r="I323" s="59">
        <f>11.1376 * CHOOSE(CONTROL!$C$27, $C$14, 100%, $E$14)</f>
        <v>11.137600000000001</v>
      </c>
      <c r="J323" s="59">
        <f>11.1307 * CHOOSE(CONTROL!$C$27, $C$14, 100%, $E$14)</f>
        <v>11.130699999999999</v>
      </c>
      <c r="K323" s="59">
        <f>11.1376 * CHOOSE(CONTROL!$C$27, $C$14, 100%, $E$14)</f>
        <v>11.137600000000001</v>
      </c>
      <c r="L323" s="59">
        <f>6.176 * CHOOSE(CONTROL!$C$27, $C$14, 100%, $E$14)</f>
        <v>6.1760000000000002</v>
      </c>
      <c r="M323" s="59">
        <f>6.1829 * CHOOSE(CONTROL!$C$27, $C$14, 100%, $E$14)</f>
        <v>6.1829000000000001</v>
      </c>
      <c r="N323" s="59">
        <f>6.176 * CHOOSE(CONTROL!$C$27, $C$14, 100%, $E$14)</f>
        <v>6.1760000000000002</v>
      </c>
      <c r="O323" s="59">
        <f>6.1829 * CHOOSE(CONTROL!$C$27, $C$14, 100%, $E$14)</f>
        <v>6.1829000000000001</v>
      </c>
    </row>
    <row r="324" spans="1:15" ht="15">
      <c r="A324" s="11">
        <v>50952</v>
      </c>
      <c r="B324" s="58">
        <f>5.0952 * CHOOSE(CONTROL!$C$27, $C$14, 100%, $E$14)</f>
        <v>5.0952000000000002</v>
      </c>
      <c r="C324" s="58">
        <f>5.0952 * CHOOSE(CONTROL!$C$27, $C$14, 100%, $E$14)</f>
        <v>5.0952000000000002</v>
      </c>
      <c r="D324" s="58">
        <f>5.1008 * CHOOSE(CONTROL!$C$27, $C$14, 100%, $E$14)</f>
        <v>5.1007999999999996</v>
      </c>
      <c r="E324" s="59">
        <f>6.2809 * CHOOSE(CONTROL!$C$27, $C$14, 100%, $E$14)</f>
        <v>6.2808999999999999</v>
      </c>
      <c r="F324" s="59">
        <f>6.2809 * CHOOSE(CONTROL!$C$27, $C$14, 100%, $E$14)</f>
        <v>6.2808999999999999</v>
      </c>
      <c r="G324" s="59">
        <f>6.2878 * CHOOSE(CONTROL!$C$27, $C$14, 100%, $E$14)</f>
        <v>6.2877999999999998</v>
      </c>
      <c r="H324" s="59">
        <f>11.1539* CHOOSE(CONTROL!$C$27, $C$14, 100%, $E$14)</f>
        <v>11.1539</v>
      </c>
      <c r="I324" s="59">
        <f>11.1608 * CHOOSE(CONTROL!$C$27, $C$14, 100%, $E$14)</f>
        <v>11.1608</v>
      </c>
      <c r="J324" s="59">
        <f>11.1539 * CHOOSE(CONTROL!$C$27, $C$14, 100%, $E$14)</f>
        <v>11.1539</v>
      </c>
      <c r="K324" s="59">
        <f>11.1608 * CHOOSE(CONTROL!$C$27, $C$14, 100%, $E$14)</f>
        <v>11.1608</v>
      </c>
      <c r="L324" s="59">
        <f>6.2809 * CHOOSE(CONTROL!$C$27, $C$14, 100%, $E$14)</f>
        <v>6.2808999999999999</v>
      </c>
      <c r="M324" s="59">
        <f>6.2878 * CHOOSE(CONTROL!$C$27, $C$14, 100%, $E$14)</f>
        <v>6.2877999999999998</v>
      </c>
      <c r="N324" s="59">
        <f>6.2809 * CHOOSE(CONTROL!$C$27, $C$14, 100%, $E$14)</f>
        <v>6.2808999999999999</v>
      </c>
      <c r="O324" s="59">
        <f>6.2878 * CHOOSE(CONTROL!$C$27, $C$14, 100%, $E$14)</f>
        <v>6.2877999999999998</v>
      </c>
    </row>
    <row r="325" spans="1:15" ht="15">
      <c r="A325" s="11">
        <v>50983</v>
      </c>
      <c r="B325" s="58">
        <f>5.1019 * CHOOSE(CONTROL!$C$27, $C$14, 100%, $E$14)</f>
        <v>5.1018999999999997</v>
      </c>
      <c r="C325" s="58">
        <f>5.1019 * CHOOSE(CONTROL!$C$27, $C$14, 100%, $E$14)</f>
        <v>5.1018999999999997</v>
      </c>
      <c r="D325" s="58">
        <f>5.1075 * CHOOSE(CONTROL!$C$27, $C$14, 100%, $E$14)</f>
        <v>5.1074999999999999</v>
      </c>
      <c r="E325" s="59">
        <f>6.1944 * CHOOSE(CONTROL!$C$27, $C$14, 100%, $E$14)</f>
        <v>6.1943999999999999</v>
      </c>
      <c r="F325" s="59">
        <f>6.1944 * CHOOSE(CONTROL!$C$27, $C$14, 100%, $E$14)</f>
        <v>6.1943999999999999</v>
      </c>
      <c r="G325" s="59">
        <f>6.2013 * CHOOSE(CONTROL!$C$27, $C$14, 100%, $E$14)</f>
        <v>6.2012999999999998</v>
      </c>
      <c r="H325" s="59">
        <f>11.1771* CHOOSE(CONTROL!$C$27, $C$14, 100%, $E$14)</f>
        <v>11.177099999999999</v>
      </c>
      <c r="I325" s="59">
        <f>11.184 * CHOOSE(CONTROL!$C$27, $C$14, 100%, $E$14)</f>
        <v>11.183999999999999</v>
      </c>
      <c r="J325" s="59">
        <f>11.1771 * CHOOSE(CONTROL!$C$27, $C$14, 100%, $E$14)</f>
        <v>11.177099999999999</v>
      </c>
      <c r="K325" s="59">
        <f>11.184 * CHOOSE(CONTROL!$C$27, $C$14, 100%, $E$14)</f>
        <v>11.183999999999999</v>
      </c>
      <c r="L325" s="59">
        <f>6.1944 * CHOOSE(CONTROL!$C$27, $C$14, 100%, $E$14)</f>
        <v>6.1943999999999999</v>
      </c>
      <c r="M325" s="59">
        <f>6.2013 * CHOOSE(CONTROL!$C$27, $C$14, 100%, $E$14)</f>
        <v>6.2012999999999998</v>
      </c>
      <c r="N325" s="59">
        <f>6.1944 * CHOOSE(CONTROL!$C$27, $C$14, 100%, $E$14)</f>
        <v>6.1943999999999999</v>
      </c>
      <c r="O325" s="59">
        <f>6.2013 * CHOOSE(CONTROL!$C$27, $C$14, 100%, $E$14)</f>
        <v>6.2012999999999998</v>
      </c>
    </row>
    <row r="326" spans="1:15" ht="15">
      <c r="A326" s="11">
        <v>51014</v>
      </c>
      <c r="B326" s="58">
        <f>5.0988 * CHOOSE(CONTROL!$C$27, $C$14, 100%, $E$14)</f>
        <v>5.0987999999999998</v>
      </c>
      <c r="C326" s="58">
        <f>5.0988 * CHOOSE(CONTROL!$C$27, $C$14, 100%, $E$14)</f>
        <v>5.0987999999999998</v>
      </c>
      <c r="D326" s="58">
        <f>5.1045 * CHOOSE(CONTROL!$C$27, $C$14, 100%, $E$14)</f>
        <v>5.1044999999999998</v>
      </c>
      <c r="E326" s="59">
        <f>6.1822 * CHOOSE(CONTROL!$C$27, $C$14, 100%, $E$14)</f>
        <v>6.1821999999999999</v>
      </c>
      <c r="F326" s="59">
        <f>6.1822 * CHOOSE(CONTROL!$C$27, $C$14, 100%, $E$14)</f>
        <v>6.1821999999999999</v>
      </c>
      <c r="G326" s="59">
        <f>6.1891 * CHOOSE(CONTROL!$C$27, $C$14, 100%, $E$14)</f>
        <v>6.1890999999999998</v>
      </c>
      <c r="H326" s="59">
        <f>11.2004* CHOOSE(CONTROL!$C$27, $C$14, 100%, $E$14)</f>
        <v>11.2004</v>
      </c>
      <c r="I326" s="59">
        <f>11.2073 * CHOOSE(CONTROL!$C$27, $C$14, 100%, $E$14)</f>
        <v>11.2073</v>
      </c>
      <c r="J326" s="59">
        <f>11.2004 * CHOOSE(CONTROL!$C$27, $C$14, 100%, $E$14)</f>
        <v>11.2004</v>
      </c>
      <c r="K326" s="59">
        <f>11.2073 * CHOOSE(CONTROL!$C$27, $C$14, 100%, $E$14)</f>
        <v>11.2073</v>
      </c>
      <c r="L326" s="59">
        <f>6.1822 * CHOOSE(CONTROL!$C$27, $C$14, 100%, $E$14)</f>
        <v>6.1821999999999999</v>
      </c>
      <c r="M326" s="59">
        <f>6.1891 * CHOOSE(CONTROL!$C$27, $C$14, 100%, $E$14)</f>
        <v>6.1890999999999998</v>
      </c>
      <c r="N326" s="59">
        <f>6.1822 * CHOOSE(CONTROL!$C$27, $C$14, 100%, $E$14)</f>
        <v>6.1821999999999999</v>
      </c>
      <c r="O326" s="59">
        <f>6.1891 * CHOOSE(CONTROL!$C$27, $C$14, 100%, $E$14)</f>
        <v>6.1890999999999998</v>
      </c>
    </row>
    <row r="327" spans="1:15" ht="15">
      <c r="A327" s="11">
        <v>51044</v>
      </c>
      <c r="B327" s="58">
        <f>5.0975 * CHOOSE(CONTROL!$C$27, $C$14, 100%, $E$14)</f>
        <v>5.0975000000000001</v>
      </c>
      <c r="C327" s="58">
        <f>5.0975 * CHOOSE(CONTROL!$C$27, $C$14, 100%, $E$14)</f>
        <v>5.0975000000000001</v>
      </c>
      <c r="D327" s="58">
        <f>5.1015 * CHOOSE(CONTROL!$C$27, $C$14, 100%, $E$14)</f>
        <v>5.1014999999999997</v>
      </c>
      <c r="E327" s="59">
        <f>6.2093 * CHOOSE(CONTROL!$C$27, $C$14, 100%, $E$14)</f>
        <v>6.2092999999999998</v>
      </c>
      <c r="F327" s="59">
        <f>6.2093 * CHOOSE(CONTROL!$C$27, $C$14, 100%, $E$14)</f>
        <v>6.2092999999999998</v>
      </c>
      <c r="G327" s="59">
        <f>6.2142 * CHOOSE(CONTROL!$C$27, $C$14, 100%, $E$14)</f>
        <v>6.2141999999999999</v>
      </c>
      <c r="H327" s="59">
        <f>11.2238* CHOOSE(CONTROL!$C$27, $C$14, 100%, $E$14)</f>
        <v>11.223800000000001</v>
      </c>
      <c r="I327" s="59">
        <f>11.2287 * CHOOSE(CONTROL!$C$27, $C$14, 100%, $E$14)</f>
        <v>11.2287</v>
      </c>
      <c r="J327" s="59">
        <f>11.2238 * CHOOSE(CONTROL!$C$27, $C$14, 100%, $E$14)</f>
        <v>11.223800000000001</v>
      </c>
      <c r="K327" s="59">
        <f>11.2287 * CHOOSE(CONTROL!$C$27, $C$14, 100%, $E$14)</f>
        <v>11.2287</v>
      </c>
      <c r="L327" s="59">
        <f>6.2093 * CHOOSE(CONTROL!$C$27, $C$14, 100%, $E$14)</f>
        <v>6.2092999999999998</v>
      </c>
      <c r="M327" s="59">
        <f>6.2142 * CHOOSE(CONTROL!$C$27, $C$14, 100%, $E$14)</f>
        <v>6.2141999999999999</v>
      </c>
      <c r="N327" s="59">
        <f>6.2093 * CHOOSE(CONTROL!$C$27, $C$14, 100%, $E$14)</f>
        <v>6.2092999999999998</v>
      </c>
      <c r="O327" s="59">
        <f>6.2142 * CHOOSE(CONTROL!$C$27, $C$14, 100%, $E$14)</f>
        <v>6.2141999999999999</v>
      </c>
    </row>
    <row r="328" spans="1:15" ht="15">
      <c r="A328" s="11">
        <v>51075</v>
      </c>
      <c r="B328" s="58">
        <f>5.1006 * CHOOSE(CONTROL!$C$27, $C$14, 100%, $E$14)</f>
        <v>5.1006</v>
      </c>
      <c r="C328" s="58">
        <f>5.1006 * CHOOSE(CONTROL!$C$27, $C$14, 100%, $E$14)</f>
        <v>5.1006</v>
      </c>
      <c r="D328" s="58">
        <f>5.1046 * CHOOSE(CONTROL!$C$27, $C$14, 100%, $E$14)</f>
        <v>5.1045999999999996</v>
      </c>
      <c r="E328" s="59">
        <f>6.2316 * CHOOSE(CONTROL!$C$27, $C$14, 100%, $E$14)</f>
        <v>6.2316000000000003</v>
      </c>
      <c r="F328" s="59">
        <f>6.2316 * CHOOSE(CONTROL!$C$27, $C$14, 100%, $E$14)</f>
        <v>6.2316000000000003</v>
      </c>
      <c r="G328" s="59">
        <f>6.2366 * CHOOSE(CONTROL!$C$27, $C$14, 100%, $E$14)</f>
        <v>6.2366000000000001</v>
      </c>
      <c r="H328" s="59">
        <f>11.2471* CHOOSE(CONTROL!$C$27, $C$14, 100%, $E$14)</f>
        <v>11.2471</v>
      </c>
      <c r="I328" s="59">
        <f>11.2521 * CHOOSE(CONTROL!$C$27, $C$14, 100%, $E$14)</f>
        <v>11.2521</v>
      </c>
      <c r="J328" s="59">
        <f>11.2471 * CHOOSE(CONTROL!$C$27, $C$14, 100%, $E$14)</f>
        <v>11.2471</v>
      </c>
      <c r="K328" s="59">
        <f>11.2521 * CHOOSE(CONTROL!$C$27, $C$14, 100%, $E$14)</f>
        <v>11.2521</v>
      </c>
      <c r="L328" s="59">
        <f>6.2316 * CHOOSE(CONTROL!$C$27, $C$14, 100%, $E$14)</f>
        <v>6.2316000000000003</v>
      </c>
      <c r="M328" s="59">
        <f>6.2366 * CHOOSE(CONTROL!$C$27, $C$14, 100%, $E$14)</f>
        <v>6.2366000000000001</v>
      </c>
      <c r="N328" s="59">
        <f>6.2316 * CHOOSE(CONTROL!$C$27, $C$14, 100%, $E$14)</f>
        <v>6.2316000000000003</v>
      </c>
      <c r="O328" s="59">
        <f>6.2366 * CHOOSE(CONTROL!$C$27, $C$14, 100%, $E$14)</f>
        <v>6.2366000000000001</v>
      </c>
    </row>
    <row r="329" spans="1:15" ht="15">
      <c r="A329" s="11">
        <v>51105</v>
      </c>
      <c r="B329" s="58">
        <f>5.1006 * CHOOSE(CONTROL!$C$27, $C$14, 100%, $E$14)</f>
        <v>5.1006</v>
      </c>
      <c r="C329" s="58">
        <f>5.1006 * CHOOSE(CONTROL!$C$27, $C$14, 100%, $E$14)</f>
        <v>5.1006</v>
      </c>
      <c r="D329" s="58">
        <f>5.1046 * CHOOSE(CONTROL!$C$27, $C$14, 100%, $E$14)</f>
        <v>5.1045999999999996</v>
      </c>
      <c r="E329" s="59">
        <f>6.181 * CHOOSE(CONTROL!$C$27, $C$14, 100%, $E$14)</f>
        <v>6.181</v>
      </c>
      <c r="F329" s="59">
        <f>6.181 * CHOOSE(CONTROL!$C$27, $C$14, 100%, $E$14)</f>
        <v>6.181</v>
      </c>
      <c r="G329" s="59">
        <f>6.1859 * CHOOSE(CONTROL!$C$27, $C$14, 100%, $E$14)</f>
        <v>6.1859000000000002</v>
      </c>
      <c r="H329" s="59">
        <f>11.2706* CHOOSE(CONTROL!$C$27, $C$14, 100%, $E$14)</f>
        <v>11.2706</v>
      </c>
      <c r="I329" s="59">
        <f>11.2755 * CHOOSE(CONTROL!$C$27, $C$14, 100%, $E$14)</f>
        <v>11.275499999999999</v>
      </c>
      <c r="J329" s="59">
        <f>11.2706 * CHOOSE(CONTROL!$C$27, $C$14, 100%, $E$14)</f>
        <v>11.2706</v>
      </c>
      <c r="K329" s="59">
        <f>11.2755 * CHOOSE(CONTROL!$C$27, $C$14, 100%, $E$14)</f>
        <v>11.275499999999999</v>
      </c>
      <c r="L329" s="59">
        <f>6.181 * CHOOSE(CONTROL!$C$27, $C$14, 100%, $E$14)</f>
        <v>6.181</v>
      </c>
      <c r="M329" s="59">
        <f>6.1859 * CHOOSE(CONTROL!$C$27, $C$14, 100%, $E$14)</f>
        <v>6.1859000000000002</v>
      </c>
      <c r="N329" s="59">
        <f>6.181 * CHOOSE(CONTROL!$C$27, $C$14, 100%, $E$14)</f>
        <v>6.181</v>
      </c>
      <c r="O329" s="59">
        <f>6.1859 * CHOOSE(CONTROL!$C$27, $C$14, 100%, $E$14)</f>
        <v>6.1859000000000002</v>
      </c>
    </row>
    <row r="330" spans="1:15" ht="15">
      <c r="A330" s="11">
        <v>51136</v>
      </c>
      <c r="B330" s="58">
        <f>5.146 * CHOOSE(CONTROL!$C$27, $C$14, 100%, $E$14)</f>
        <v>5.1459999999999999</v>
      </c>
      <c r="C330" s="58">
        <f>5.146 * CHOOSE(CONTROL!$C$27, $C$14, 100%, $E$14)</f>
        <v>5.1459999999999999</v>
      </c>
      <c r="D330" s="58">
        <f>5.1499 * CHOOSE(CONTROL!$C$27, $C$14, 100%, $E$14)</f>
        <v>5.1498999999999997</v>
      </c>
      <c r="E330" s="59">
        <f>6.2686 * CHOOSE(CONTROL!$C$27, $C$14, 100%, $E$14)</f>
        <v>6.2686000000000002</v>
      </c>
      <c r="F330" s="59">
        <f>6.2686 * CHOOSE(CONTROL!$C$27, $C$14, 100%, $E$14)</f>
        <v>6.2686000000000002</v>
      </c>
      <c r="G330" s="59">
        <f>6.2735 * CHOOSE(CONTROL!$C$27, $C$14, 100%, $E$14)</f>
        <v>6.2735000000000003</v>
      </c>
      <c r="H330" s="59">
        <f>11.2941* CHOOSE(CONTROL!$C$27, $C$14, 100%, $E$14)</f>
        <v>11.2941</v>
      </c>
      <c r="I330" s="59">
        <f>11.299 * CHOOSE(CONTROL!$C$27, $C$14, 100%, $E$14)</f>
        <v>11.298999999999999</v>
      </c>
      <c r="J330" s="59">
        <f>11.2941 * CHOOSE(CONTROL!$C$27, $C$14, 100%, $E$14)</f>
        <v>11.2941</v>
      </c>
      <c r="K330" s="59">
        <f>11.299 * CHOOSE(CONTROL!$C$27, $C$14, 100%, $E$14)</f>
        <v>11.298999999999999</v>
      </c>
      <c r="L330" s="59">
        <f>6.2686 * CHOOSE(CONTROL!$C$27, $C$14, 100%, $E$14)</f>
        <v>6.2686000000000002</v>
      </c>
      <c r="M330" s="59">
        <f>6.2735 * CHOOSE(CONTROL!$C$27, $C$14, 100%, $E$14)</f>
        <v>6.2735000000000003</v>
      </c>
      <c r="N330" s="59">
        <f>6.2686 * CHOOSE(CONTROL!$C$27, $C$14, 100%, $E$14)</f>
        <v>6.2686000000000002</v>
      </c>
      <c r="O330" s="59">
        <f>6.2735 * CHOOSE(CONTROL!$C$27, $C$14, 100%, $E$14)</f>
        <v>6.2735000000000003</v>
      </c>
    </row>
    <row r="331" spans="1:15" ht="15">
      <c r="A331" s="11">
        <v>51167</v>
      </c>
      <c r="B331" s="58">
        <f>5.1429 * CHOOSE(CONTROL!$C$27, $C$14, 100%, $E$14)</f>
        <v>5.1429</v>
      </c>
      <c r="C331" s="58">
        <f>5.1429 * CHOOSE(CONTROL!$C$27, $C$14, 100%, $E$14)</f>
        <v>5.1429</v>
      </c>
      <c r="D331" s="58">
        <f>5.1469 * CHOOSE(CONTROL!$C$27, $C$14, 100%, $E$14)</f>
        <v>5.1468999999999996</v>
      </c>
      <c r="E331" s="59">
        <f>6.1681 * CHOOSE(CONTROL!$C$27, $C$14, 100%, $E$14)</f>
        <v>6.1680999999999999</v>
      </c>
      <c r="F331" s="59">
        <f>6.1681 * CHOOSE(CONTROL!$C$27, $C$14, 100%, $E$14)</f>
        <v>6.1680999999999999</v>
      </c>
      <c r="G331" s="59">
        <f>6.173 * CHOOSE(CONTROL!$C$27, $C$14, 100%, $E$14)</f>
        <v>6.173</v>
      </c>
      <c r="H331" s="59">
        <f>11.3176* CHOOSE(CONTROL!$C$27, $C$14, 100%, $E$14)</f>
        <v>11.317600000000001</v>
      </c>
      <c r="I331" s="59">
        <f>11.3225 * CHOOSE(CONTROL!$C$27, $C$14, 100%, $E$14)</f>
        <v>11.3225</v>
      </c>
      <c r="J331" s="59">
        <f>11.3176 * CHOOSE(CONTROL!$C$27, $C$14, 100%, $E$14)</f>
        <v>11.317600000000001</v>
      </c>
      <c r="K331" s="59">
        <f>11.3225 * CHOOSE(CONTROL!$C$27, $C$14, 100%, $E$14)</f>
        <v>11.3225</v>
      </c>
      <c r="L331" s="59">
        <f>6.1681 * CHOOSE(CONTROL!$C$27, $C$14, 100%, $E$14)</f>
        <v>6.1680999999999999</v>
      </c>
      <c r="M331" s="59">
        <f>6.173 * CHOOSE(CONTROL!$C$27, $C$14, 100%, $E$14)</f>
        <v>6.173</v>
      </c>
      <c r="N331" s="59">
        <f>6.1681 * CHOOSE(CONTROL!$C$27, $C$14, 100%, $E$14)</f>
        <v>6.1680999999999999</v>
      </c>
      <c r="O331" s="59">
        <f>6.173 * CHOOSE(CONTROL!$C$27, $C$14, 100%, $E$14)</f>
        <v>6.173</v>
      </c>
    </row>
    <row r="332" spans="1:15" ht="15">
      <c r="A332" s="11">
        <v>51196</v>
      </c>
      <c r="B332" s="58">
        <f>5.1399 * CHOOSE(CONTROL!$C$27, $C$14, 100%, $E$14)</f>
        <v>5.1398999999999999</v>
      </c>
      <c r="C332" s="58">
        <f>5.1399 * CHOOSE(CONTROL!$C$27, $C$14, 100%, $E$14)</f>
        <v>5.1398999999999999</v>
      </c>
      <c r="D332" s="58">
        <f>5.1439 * CHOOSE(CONTROL!$C$27, $C$14, 100%, $E$14)</f>
        <v>5.1439000000000004</v>
      </c>
      <c r="E332" s="59">
        <f>6.2435 * CHOOSE(CONTROL!$C$27, $C$14, 100%, $E$14)</f>
        <v>6.2435</v>
      </c>
      <c r="F332" s="59">
        <f>6.2435 * CHOOSE(CONTROL!$C$27, $C$14, 100%, $E$14)</f>
        <v>6.2435</v>
      </c>
      <c r="G332" s="59">
        <f>6.2485 * CHOOSE(CONTROL!$C$27, $C$14, 100%, $E$14)</f>
        <v>6.2484999999999999</v>
      </c>
      <c r="H332" s="59">
        <f>11.3412* CHOOSE(CONTROL!$C$27, $C$14, 100%, $E$14)</f>
        <v>11.341200000000001</v>
      </c>
      <c r="I332" s="59">
        <f>11.3461 * CHOOSE(CONTROL!$C$27, $C$14, 100%, $E$14)</f>
        <v>11.3461</v>
      </c>
      <c r="J332" s="59">
        <f>11.3412 * CHOOSE(CONTROL!$C$27, $C$14, 100%, $E$14)</f>
        <v>11.341200000000001</v>
      </c>
      <c r="K332" s="59">
        <f>11.3461 * CHOOSE(CONTROL!$C$27, $C$14, 100%, $E$14)</f>
        <v>11.3461</v>
      </c>
      <c r="L332" s="59">
        <f>6.2435 * CHOOSE(CONTROL!$C$27, $C$14, 100%, $E$14)</f>
        <v>6.2435</v>
      </c>
      <c r="M332" s="59">
        <f>6.2485 * CHOOSE(CONTROL!$C$27, $C$14, 100%, $E$14)</f>
        <v>6.2484999999999999</v>
      </c>
      <c r="N332" s="59">
        <f>6.2435 * CHOOSE(CONTROL!$C$27, $C$14, 100%, $E$14)</f>
        <v>6.2435</v>
      </c>
      <c r="O332" s="59">
        <f>6.2485 * CHOOSE(CONTROL!$C$27, $C$14, 100%, $E$14)</f>
        <v>6.2484999999999999</v>
      </c>
    </row>
    <row r="333" spans="1:15" ht="15">
      <c r="A333" s="11">
        <v>51227</v>
      </c>
      <c r="B333" s="58">
        <f>5.1385 * CHOOSE(CONTROL!$C$27, $C$14, 100%, $E$14)</f>
        <v>5.1384999999999996</v>
      </c>
      <c r="C333" s="58">
        <f>5.1385 * CHOOSE(CONTROL!$C$27, $C$14, 100%, $E$14)</f>
        <v>5.1384999999999996</v>
      </c>
      <c r="D333" s="58">
        <f>5.1425 * CHOOSE(CONTROL!$C$27, $C$14, 100%, $E$14)</f>
        <v>5.1425000000000001</v>
      </c>
      <c r="E333" s="59">
        <f>6.3226 * CHOOSE(CONTROL!$C$27, $C$14, 100%, $E$14)</f>
        <v>6.3226000000000004</v>
      </c>
      <c r="F333" s="59">
        <f>6.3226 * CHOOSE(CONTROL!$C$27, $C$14, 100%, $E$14)</f>
        <v>6.3226000000000004</v>
      </c>
      <c r="G333" s="59">
        <f>6.3275 * CHOOSE(CONTROL!$C$27, $C$14, 100%, $E$14)</f>
        <v>6.3274999999999997</v>
      </c>
      <c r="H333" s="59">
        <f>11.3648* CHOOSE(CONTROL!$C$27, $C$14, 100%, $E$14)</f>
        <v>11.364800000000001</v>
      </c>
      <c r="I333" s="59">
        <f>11.3697 * CHOOSE(CONTROL!$C$27, $C$14, 100%, $E$14)</f>
        <v>11.3697</v>
      </c>
      <c r="J333" s="59">
        <f>11.3648 * CHOOSE(CONTROL!$C$27, $C$14, 100%, $E$14)</f>
        <v>11.364800000000001</v>
      </c>
      <c r="K333" s="59">
        <f>11.3697 * CHOOSE(CONTROL!$C$27, $C$14, 100%, $E$14)</f>
        <v>11.3697</v>
      </c>
      <c r="L333" s="59">
        <f>6.3226 * CHOOSE(CONTROL!$C$27, $C$14, 100%, $E$14)</f>
        <v>6.3226000000000004</v>
      </c>
      <c r="M333" s="59">
        <f>6.3275 * CHOOSE(CONTROL!$C$27, $C$14, 100%, $E$14)</f>
        <v>6.3274999999999997</v>
      </c>
      <c r="N333" s="59">
        <f>6.3226 * CHOOSE(CONTROL!$C$27, $C$14, 100%, $E$14)</f>
        <v>6.3226000000000004</v>
      </c>
      <c r="O333" s="59">
        <f>6.3275 * CHOOSE(CONTROL!$C$27, $C$14, 100%, $E$14)</f>
        <v>6.3274999999999997</v>
      </c>
    </row>
    <row r="334" spans="1:15" ht="15">
      <c r="A334" s="11">
        <v>51257</v>
      </c>
      <c r="B334" s="58">
        <f>5.1385 * CHOOSE(CONTROL!$C$27, $C$14, 100%, $E$14)</f>
        <v>5.1384999999999996</v>
      </c>
      <c r="C334" s="58">
        <f>5.1385 * CHOOSE(CONTROL!$C$27, $C$14, 100%, $E$14)</f>
        <v>5.1384999999999996</v>
      </c>
      <c r="D334" s="58">
        <f>5.1441 * CHOOSE(CONTROL!$C$27, $C$14, 100%, $E$14)</f>
        <v>5.1440999999999999</v>
      </c>
      <c r="E334" s="59">
        <f>6.3538 * CHOOSE(CONTROL!$C$27, $C$14, 100%, $E$14)</f>
        <v>6.3537999999999997</v>
      </c>
      <c r="F334" s="59">
        <f>6.3538 * CHOOSE(CONTROL!$C$27, $C$14, 100%, $E$14)</f>
        <v>6.3537999999999997</v>
      </c>
      <c r="G334" s="59">
        <f>6.3607 * CHOOSE(CONTROL!$C$27, $C$14, 100%, $E$14)</f>
        <v>6.3606999999999996</v>
      </c>
      <c r="H334" s="59">
        <f>11.3885* CHOOSE(CONTROL!$C$27, $C$14, 100%, $E$14)</f>
        <v>11.388500000000001</v>
      </c>
      <c r="I334" s="59">
        <f>11.3954 * CHOOSE(CONTROL!$C$27, $C$14, 100%, $E$14)</f>
        <v>11.3954</v>
      </c>
      <c r="J334" s="59">
        <f>11.3885 * CHOOSE(CONTROL!$C$27, $C$14, 100%, $E$14)</f>
        <v>11.388500000000001</v>
      </c>
      <c r="K334" s="59">
        <f>11.3954 * CHOOSE(CONTROL!$C$27, $C$14, 100%, $E$14)</f>
        <v>11.3954</v>
      </c>
      <c r="L334" s="59">
        <f>6.3538 * CHOOSE(CONTROL!$C$27, $C$14, 100%, $E$14)</f>
        <v>6.3537999999999997</v>
      </c>
      <c r="M334" s="59">
        <f>6.3607 * CHOOSE(CONTROL!$C$27, $C$14, 100%, $E$14)</f>
        <v>6.3606999999999996</v>
      </c>
      <c r="N334" s="59">
        <f>6.3538 * CHOOSE(CONTROL!$C$27, $C$14, 100%, $E$14)</f>
        <v>6.3537999999999997</v>
      </c>
      <c r="O334" s="59">
        <f>6.3607 * CHOOSE(CONTROL!$C$27, $C$14, 100%, $E$14)</f>
        <v>6.3606999999999996</v>
      </c>
    </row>
    <row r="335" spans="1:15" ht="15">
      <c r="A335" s="11">
        <v>51288</v>
      </c>
      <c r="B335" s="58">
        <f>5.1446 * CHOOSE(CONTROL!$C$27, $C$14, 100%, $E$14)</f>
        <v>5.1445999999999996</v>
      </c>
      <c r="C335" s="58">
        <f>5.1446 * CHOOSE(CONTROL!$C$27, $C$14, 100%, $E$14)</f>
        <v>5.1445999999999996</v>
      </c>
      <c r="D335" s="58">
        <f>5.1502 * CHOOSE(CONTROL!$C$27, $C$14, 100%, $E$14)</f>
        <v>5.1501999999999999</v>
      </c>
      <c r="E335" s="59">
        <f>6.3268 * CHOOSE(CONTROL!$C$27, $C$14, 100%, $E$14)</f>
        <v>6.3268000000000004</v>
      </c>
      <c r="F335" s="59">
        <f>6.3268 * CHOOSE(CONTROL!$C$27, $C$14, 100%, $E$14)</f>
        <v>6.3268000000000004</v>
      </c>
      <c r="G335" s="59">
        <f>6.3337 * CHOOSE(CONTROL!$C$27, $C$14, 100%, $E$14)</f>
        <v>6.3337000000000003</v>
      </c>
      <c r="H335" s="59">
        <f>11.4122* CHOOSE(CONTROL!$C$27, $C$14, 100%, $E$14)</f>
        <v>11.4122</v>
      </c>
      <c r="I335" s="59">
        <f>11.4191 * CHOOSE(CONTROL!$C$27, $C$14, 100%, $E$14)</f>
        <v>11.4191</v>
      </c>
      <c r="J335" s="59">
        <f>11.4122 * CHOOSE(CONTROL!$C$27, $C$14, 100%, $E$14)</f>
        <v>11.4122</v>
      </c>
      <c r="K335" s="59">
        <f>11.4191 * CHOOSE(CONTROL!$C$27, $C$14, 100%, $E$14)</f>
        <v>11.4191</v>
      </c>
      <c r="L335" s="59">
        <f>6.3268 * CHOOSE(CONTROL!$C$27, $C$14, 100%, $E$14)</f>
        <v>6.3268000000000004</v>
      </c>
      <c r="M335" s="59">
        <f>6.3337 * CHOOSE(CONTROL!$C$27, $C$14, 100%, $E$14)</f>
        <v>6.3337000000000003</v>
      </c>
      <c r="N335" s="59">
        <f>6.3268 * CHOOSE(CONTROL!$C$27, $C$14, 100%, $E$14)</f>
        <v>6.3268000000000004</v>
      </c>
      <c r="O335" s="59">
        <f>6.3337 * CHOOSE(CONTROL!$C$27, $C$14, 100%, $E$14)</f>
        <v>6.3337000000000003</v>
      </c>
    </row>
    <row r="336" spans="1:15" ht="15">
      <c r="A336" s="11">
        <v>51318</v>
      </c>
      <c r="B336" s="58">
        <f>5.2293 * CHOOSE(CONTROL!$C$27, $C$14, 100%, $E$14)</f>
        <v>5.2293000000000003</v>
      </c>
      <c r="C336" s="58">
        <f>5.2293 * CHOOSE(CONTROL!$C$27, $C$14, 100%, $E$14)</f>
        <v>5.2293000000000003</v>
      </c>
      <c r="D336" s="58">
        <f>5.235 * CHOOSE(CONTROL!$C$27, $C$14, 100%, $E$14)</f>
        <v>5.2350000000000003</v>
      </c>
      <c r="E336" s="59">
        <f>6.4346 * CHOOSE(CONTROL!$C$27, $C$14, 100%, $E$14)</f>
        <v>6.4345999999999997</v>
      </c>
      <c r="F336" s="59">
        <f>6.4346 * CHOOSE(CONTROL!$C$27, $C$14, 100%, $E$14)</f>
        <v>6.4345999999999997</v>
      </c>
      <c r="G336" s="59">
        <f>6.4415 * CHOOSE(CONTROL!$C$27, $C$14, 100%, $E$14)</f>
        <v>6.4414999999999996</v>
      </c>
      <c r="H336" s="59">
        <f>11.436* CHOOSE(CONTROL!$C$27, $C$14, 100%, $E$14)</f>
        <v>11.436</v>
      </c>
      <c r="I336" s="59">
        <f>11.4429 * CHOOSE(CONTROL!$C$27, $C$14, 100%, $E$14)</f>
        <v>11.4429</v>
      </c>
      <c r="J336" s="59">
        <f>11.436 * CHOOSE(CONTROL!$C$27, $C$14, 100%, $E$14)</f>
        <v>11.436</v>
      </c>
      <c r="K336" s="59">
        <f>11.4429 * CHOOSE(CONTROL!$C$27, $C$14, 100%, $E$14)</f>
        <v>11.4429</v>
      </c>
      <c r="L336" s="59">
        <f>6.4346 * CHOOSE(CONTROL!$C$27, $C$14, 100%, $E$14)</f>
        <v>6.4345999999999997</v>
      </c>
      <c r="M336" s="59">
        <f>6.4415 * CHOOSE(CONTROL!$C$27, $C$14, 100%, $E$14)</f>
        <v>6.4414999999999996</v>
      </c>
      <c r="N336" s="59">
        <f>6.4346 * CHOOSE(CONTROL!$C$27, $C$14, 100%, $E$14)</f>
        <v>6.4345999999999997</v>
      </c>
      <c r="O336" s="59">
        <f>6.4415 * CHOOSE(CONTROL!$C$27, $C$14, 100%, $E$14)</f>
        <v>6.4414999999999996</v>
      </c>
    </row>
    <row r="337" spans="1:15" ht="15">
      <c r="A337" s="11">
        <v>51349</v>
      </c>
      <c r="B337" s="58">
        <f>5.236 * CHOOSE(CONTROL!$C$27, $C$14, 100%, $E$14)</f>
        <v>5.2359999999999998</v>
      </c>
      <c r="C337" s="58">
        <f>5.236 * CHOOSE(CONTROL!$C$27, $C$14, 100%, $E$14)</f>
        <v>5.2359999999999998</v>
      </c>
      <c r="D337" s="58">
        <f>5.2416 * CHOOSE(CONTROL!$C$27, $C$14, 100%, $E$14)</f>
        <v>5.2416</v>
      </c>
      <c r="E337" s="59">
        <f>6.3455 * CHOOSE(CONTROL!$C$27, $C$14, 100%, $E$14)</f>
        <v>6.3455000000000004</v>
      </c>
      <c r="F337" s="59">
        <f>6.3455 * CHOOSE(CONTROL!$C$27, $C$14, 100%, $E$14)</f>
        <v>6.3455000000000004</v>
      </c>
      <c r="G337" s="59">
        <f>6.3524 * CHOOSE(CONTROL!$C$27, $C$14, 100%, $E$14)</f>
        <v>6.3524000000000003</v>
      </c>
      <c r="H337" s="59">
        <f>11.4598* CHOOSE(CONTROL!$C$27, $C$14, 100%, $E$14)</f>
        <v>11.4598</v>
      </c>
      <c r="I337" s="59">
        <f>11.4667 * CHOOSE(CONTROL!$C$27, $C$14, 100%, $E$14)</f>
        <v>11.466699999999999</v>
      </c>
      <c r="J337" s="59">
        <f>11.4598 * CHOOSE(CONTROL!$C$27, $C$14, 100%, $E$14)</f>
        <v>11.4598</v>
      </c>
      <c r="K337" s="59">
        <f>11.4667 * CHOOSE(CONTROL!$C$27, $C$14, 100%, $E$14)</f>
        <v>11.466699999999999</v>
      </c>
      <c r="L337" s="59">
        <f>6.3455 * CHOOSE(CONTROL!$C$27, $C$14, 100%, $E$14)</f>
        <v>6.3455000000000004</v>
      </c>
      <c r="M337" s="59">
        <f>6.3524 * CHOOSE(CONTROL!$C$27, $C$14, 100%, $E$14)</f>
        <v>6.3524000000000003</v>
      </c>
      <c r="N337" s="59">
        <f>6.3455 * CHOOSE(CONTROL!$C$27, $C$14, 100%, $E$14)</f>
        <v>6.3455000000000004</v>
      </c>
      <c r="O337" s="59">
        <f>6.3524 * CHOOSE(CONTROL!$C$27, $C$14, 100%, $E$14)</f>
        <v>6.3524000000000003</v>
      </c>
    </row>
    <row r="338" spans="1:15" ht="15">
      <c r="A338" s="11">
        <v>51380</v>
      </c>
      <c r="B338" s="58">
        <f>5.233 * CHOOSE(CONTROL!$C$27, $C$14, 100%, $E$14)</f>
        <v>5.2329999999999997</v>
      </c>
      <c r="C338" s="58">
        <f>5.233 * CHOOSE(CONTROL!$C$27, $C$14, 100%, $E$14)</f>
        <v>5.2329999999999997</v>
      </c>
      <c r="D338" s="58">
        <f>5.2386 * CHOOSE(CONTROL!$C$27, $C$14, 100%, $E$14)</f>
        <v>5.2385999999999999</v>
      </c>
      <c r="E338" s="59">
        <f>6.333 * CHOOSE(CONTROL!$C$27, $C$14, 100%, $E$14)</f>
        <v>6.3330000000000002</v>
      </c>
      <c r="F338" s="59">
        <f>6.333 * CHOOSE(CONTROL!$C$27, $C$14, 100%, $E$14)</f>
        <v>6.3330000000000002</v>
      </c>
      <c r="G338" s="59">
        <f>6.3399 * CHOOSE(CONTROL!$C$27, $C$14, 100%, $E$14)</f>
        <v>6.3399000000000001</v>
      </c>
      <c r="H338" s="59">
        <f>11.4837* CHOOSE(CONTROL!$C$27, $C$14, 100%, $E$14)</f>
        <v>11.483700000000001</v>
      </c>
      <c r="I338" s="59">
        <f>11.4906 * CHOOSE(CONTROL!$C$27, $C$14, 100%, $E$14)</f>
        <v>11.490600000000001</v>
      </c>
      <c r="J338" s="59">
        <f>11.4837 * CHOOSE(CONTROL!$C$27, $C$14, 100%, $E$14)</f>
        <v>11.483700000000001</v>
      </c>
      <c r="K338" s="59">
        <f>11.4906 * CHOOSE(CONTROL!$C$27, $C$14, 100%, $E$14)</f>
        <v>11.490600000000001</v>
      </c>
      <c r="L338" s="59">
        <f>6.333 * CHOOSE(CONTROL!$C$27, $C$14, 100%, $E$14)</f>
        <v>6.3330000000000002</v>
      </c>
      <c r="M338" s="59">
        <f>6.3399 * CHOOSE(CONTROL!$C$27, $C$14, 100%, $E$14)</f>
        <v>6.3399000000000001</v>
      </c>
      <c r="N338" s="59">
        <f>6.333 * CHOOSE(CONTROL!$C$27, $C$14, 100%, $E$14)</f>
        <v>6.3330000000000002</v>
      </c>
      <c r="O338" s="59">
        <f>6.3399 * CHOOSE(CONTROL!$C$27, $C$14, 100%, $E$14)</f>
        <v>6.3399000000000001</v>
      </c>
    </row>
    <row r="339" spans="1:15" ht="15">
      <c r="A339" s="11">
        <v>51410</v>
      </c>
      <c r="B339" s="58">
        <f>5.2321 * CHOOSE(CONTROL!$C$27, $C$14, 100%, $E$14)</f>
        <v>5.2321</v>
      </c>
      <c r="C339" s="58">
        <f>5.2321 * CHOOSE(CONTROL!$C$27, $C$14, 100%, $E$14)</f>
        <v>5.2321</v>
      </c>
      <c r="D339" s="58">
        <f>5.2361 * CHOOSE(CONTROL!$C$27, $C$14, 100%, $E$14)</f>
        <v>5.2361000000000004</v>
      </c>
      <c r="E339" s="59">
        <f>6.3612 * CHOOSE(CONTROL!$C$27, $C$14, 100%, $E$14)</f>
        <v>6.3612000000000002</v>
      </c>
      <c r="F339" s="59">
        <f>6.3612 * CHOOSE(CONTROL!$C$27, $C$14, 100%, $E$14)</f>
        <v>6.3612000000000002</v>
      </c>
      <c r="G339" s="59">
        <f>6.3661 * CHOOSE(CONTROL!$C$27, $C$14, 100%, $E$14)</f>
        <v>6.3661000000000003</v>
      </c>
      <c r="H339" s="59">
        <f>11.5076* CHOOSE(CONTROL!$C$27, $C$14, 100%, $E$14)</f>
        <v>11.5076</v>
      </c>
      <c r="I339" s="59">
        <f>11.5125 * CHOOSE(CONTROL!$C$27, $C$14, 100%, $E$14)</f>
        <v>11.512499999999999</v>
      </c>
      <c r="J339" s="59">
        <f>11.5076 * CHOOSE(CONTROL!$C$27, $C$14, 100%, $E$14)</f>
        <v>11.5076</v>
      </c>
      <c r="K339" s="59">
        <f>11.5125 * CHOOSE(CONTROL!$C$27, $C$14, 100%, $E$14)</f>
        <v>11.512499999999999</v>
      </c>
      <c r="L339" s="59">
        <f>6.3612 * CHOOSE(CONTROL!$C$27, $C$14, 100%, $E$14)</f>
        <v>6.3612000000000002</v>
      </c>
      <c r="M339" s="59">
        <f>6.3661 * CHOOSE(CONTROL!$C$27, $C$14, 100%, $E$14)</f>
        <v>6.3661000000000003</v>
      </c>
      <c r="N339" s="59">
        <f>6.3612 * CHOOSE(CONTROL!$C$27, $C$14, 100%, $E$14)</f>
        <v>6.3612000000000002</v>
      </c>
      <c r="O339" s="59">
        <f>6.3661 * CHOOSE(CONTROL!$C$27, $C$14, 100%, $E$14)</f>
        <v>6.3661000000000003</v>
      </c>
    </row>
    <row r="340" spans="1:15" ht="15">
      <c r="A340" s="11">
        <v>51441</v>
      </c>
      <c r="B340" s="58">
        <f>5.2352 * CHOOSE(CONTROL!$C$27, $C$14, 100%, $E$14)</f>
        <v>5.2351999999999999</v>
      </c>
      <c r="C340" s="58">
        <f>5.2352 * CHOOSE(CONTROL!$C$27, $C$14, 100%, $E$14)</f>
        <v>5.2351999999999999</v>
      </c>
      <c r="D340" s="58">
        <f>5.2392 * CHOOSE(CONTROL!$C$27, $C$14, 100%, $E$14)</f>
        <v>5.2392000000000003</v>
      </c>
      <c r="E340" s="59">
        <f>6.3842 * CHOOSE(CONTROL!$C$27, $C$14, 100%, $E$14)</f>
        <v>6.3841999999999999</v>
      </c>
      <c r="F340" s="59">
        <f>6.3842 * CHOOSE(CONTROL!$C$27, $C$14, 100%, $E$14)</f>
        <v>6.3841999999999999</v>
      </c>
      <c r="G340" s="59">
        <f>6.3891 * CHOOSE(CONTROL!$C$27, $C$14, 100%, $E$14)</f>
        <v>6.3891</v>
      </c>
      <c r="H340" s="59">
        <f>11.5316* CHOOSE(CONTROL!$C$27, $C$14, 100%, $E$14)</f>
        <v>11.531599999999999</v>
      </c>
      <c r="I340" s="59">
        <f>11.5365 * CHOOSE(CONTROL!$C$27, $C$14, 100%, $E$14)</f>
        <v>11.5365</v>
      </c>
      <c r="J340" s="59">
        <f>11.5316 * CHOOSE(CONTROL!$C$27, $C$14, 100%, $E$14)</f>
        <v>11.531599999999999</v>
      </c>
      <c r="K340" s="59">
        <f>11.5365 * CHOOSE(CONTROL!$C$27, $C$14, 100%, $E$14)</f>
        <v>11.5365</v>
      </c>
      <c r="L340" s="59">
        <f>6.3842 * CHOOSE(CONTROL!$C$27, $C$14, 100%, $E$14)</f>
        <v>6.3841999999999999</v>
      </c>
      <c r="M340" s="59">
        <f>6.3891 * CHOOSE(CONTROL!$C$27, $C$14, 100%, $E$14)</f>
        <v>6.3891</v>
      </c>
      <c r="N340" s="59">
        <f>6.3842 * CHOOSE(CONTROL!$C$27, $C$14, 100%, $E$14)</f>
        <v>6.3841999999999999</v>
      </c>
      <c r="O340" s="59">
        <f>6.3891 * CHOOSE(CONTROL!$C$27, $C$14, 100%, $E$14)</f>
        <v>6.3891</v>
      </c>
    </row>
    <row r="341" spans="1:15" ht="15">
      <c r="A341" s="11">
        <v>51471</v>
      </c>
      <c r="B341" s="58">
        <f>5.2352 * CHOOSE(CONTROL!$C$27, $C$14, 100%, $E$14)</f>
        <v>5.2351999999999999</v>
      </c>
      <c r="C341" s="58">
        <f>5.2352 * CHOOSE(CONTROL!$C$27, $C$14, 100%, $E$14)</f>
        <v>5.2351999999999999</v>
      </c>
      <c r="D341" s="58">
        <f>5.2392 * CHOOSE(CONTROL!$C$27, $C$14, 100%, $E$14)</f>
        <v>5.2392000000000003</v>
      </c>
      <c r="E341" s="59">
        <f>6.3321 * CHOOSE(CONTROL!$C$27, $C$14, 100%, $E$14)</f>
        <v>6.3320999999999996</v>
      </c>
      <c r="F341" s="59">
        <f>6.3321 * CHOOSE(CONTROL!$C$27, $C$14, 100%, $E$14)</f>
        <v>6.3320999999999996</v>
      </c>
      <c r="G341" s="59">
        <f>6.337 * CHOOSE(CONTROL!$C$27, $C$14, 100%, $E$14)</f>
        <v>6.3369999999999997</v>
      </c>
      <c r="H341" s="59">
        <f>11.5556* CHOOSE(CONTROL!$C$27, $C$14, 100%, $E$14)</f>
        <v>11.5556</v>
      </c>
      <c r="I341" s="59">
        <f>11.5605 * CHOOSE(CONTROL!$C$27, $C$14, 100%, $E$14)</f>
        <v>11.560499999999999</v>
      </c>
      <c r="J341" s="59">
        <f>11.5556 * CHOOSE(CONTROL!$C$27, $C$14, 100%, $E$14)</f>
        <v>11.5556</v>
      </c>
      <c r="K341" s="59">
        <f>11.5605 * CHOOSE(CONTROL!$C$27, $C$14, 100%, $E$14)</f>
        <v>11.560499999999999</v>
      </c>
      <c r="L341" s="59">
        <f>6.3321 * CHOOSE(CONTROL!$C$27, $C$14, 100%, $E$14)</f>
        <v>6.3320999999999996</v>
      </c>
      <c r="M341" s="59">
        <f>6.337 * CHOOSE(CONTROL!$C$27, $C$14, 100%, $E$14)</f>
        <v>6.3369999999999997</v>
      </c>
      <c r="N341" s="59">
        <f>6.3321 * CHOOSE(CONTROL!$C$27, $C$14, 100%, $E$14)</f>
        <v>6.3320999999999996</v>
      </c>
      <c r="O341" s="59">
        <f>6.337 * CHOOSE(CONTROL!$C$27, $C$14, 100%, $E$14)</f>
        <v>6.3369999999999997</v>
      </c>
    </row>
    <row r="342" spans="1:15" ht="15">
      <c r="A342" s="11">
        <v>51502</v>
      </c>
      <c r="B342" s="58">
        <f>5.2816 * CHOOSE(CONTROL!$C$27, $C$14, 100%, $E$14)</f>
        <v>5.2816000000000001</v>
      </c>
      <c r="C342" s="58">
        <f>5.2816 * CHOOSE(CONTROL!$C$27, $C$14, 100%, $E$14)</f>
        <v>5.2816000000000001</v>
      </c>
      <c r="D342" s="58">
        <f>5.2856 * CHOOSE(CONTROL!$C$27, $C$14, 100%, $E$14)</f>
        <v>5.2855999999999996</v>
      </c>
      <c r="E342" s="59">
        <f>6.4218 * CHOOSE(CONTROL!$C$27, $C$14, 100%, $E$14)</f>
        <v>6.4218000000000002</v>
      </c>
      <c r="F342" s="59">
        <f>6.4218 * CHOOSE(CONTROL!$C$27, $C$14, 100%, $E$14)</f>
        <v>6.4218000000000002</v>
      </c>
      <c r="G342" s="59">
        <f>6.4267 * CHOOSE(CONTROL!$C$27, $C$14, 100%, $E$14)</f>
        <v>6.4267000000000003</v>
      </c>
      <c r="H342" s="59">
        <f>11.5797* CHOOSE(CONTROL!$C$27, $C$14, 100%, $E$14)</f>
        <v>11.579700000000001</v>
      </c>
      <c r="I342" s="59">
        <f>11.5846 * CHOOSE(CONTROL!$C$27, $C$14, 100%, $E$14)</f>
        <v>11.5846</v>
      </c>
      <c r="J342" s="59">
        <f>11.5797 * CHOOSE(CONTROL!$C$27, $C$14, 100%, $E$14)</f>
        <v>11.579700000000001</v>
      </c>
      <c r="K342" s="59">
        <f>11.5846 * CHOOSE(CONTROL!$C$27, $C$14, 100%, $E$14)</f>
        <v>11.5846</v>
      </c>
      <c r="L342" s="59">
        <f>6.4218 * CHOOSE(CONTROL!$C$27, $C$14, 100%, $E$14)</f>
        <v>6.4218000000000002</v>
      </c>
      <c r="M342" s="59">
        <f>6.4267 * CHOOSE(CONTROL!$C$27, $C$14, 100%, $E$14)</f>
        <v>6.4267000000000003</v>
      </c>
      <c r="N342" s="59">
        <f>6.4218 * CHOOSE(CONTROL!$C$27, $C$14, 100%, $E$14)</f>
        <v>6.4218000000000002</v>
      </c>
      <c r="O342" s="59">
        <f>6.4267 * CHOOSE(CONTROL!$C$27, $C$14, 100%, $E$14)</f>
        <v>6.4267000000000003</v>
      </c>
    </row>
    <row r="343" spans="1:15" ht="15">
      <c r="A343" s="11">
        <v>51533</v>
      </c>
      <c r="B343" s="58">
        <f>5.2786 * CHOOSE(CONTROL!$C$27, $C$14, 100%, $E$14)</f>
        <v>5.2786</v>
      </c>
      <c r="C343" s="58">
        <f>5.2786 * CHOOSE(CONTROL!$C$27, $C$14, 100%, $E$14)</f>
        <v>5.2786</v>
      </c>
      <c r="D343" s="58">
        <f>5.2826 * CHOOSE(CONTROL!$C$27, $C$14, 100%, $E$14)</f>
        <v>5.2826000000000004</v>
      </c>
      <c r="E343" s="59">
        <f>6.3185 * CHOOSE(CONTROL!$C$27, $C$14, 100%, $E$14)</f>
        <v>6.3185000000000002</v>
      </c>
      <c r="F343" s="59">
        <f>6.3185 * CHOOSE(CONTROL!$C$27, $C$14, 100%, $E$14)</f>
        <v>6.3185000000000002</v>
      </c>
      <c r="G343" s="59">
        <f>6.3234 * CHOOSE(CONTROL!$C$27, $C$14, 100%, $E$14)</f>
        <v>6.3234000000000004</v>
      </c>
      <c r="H343" s="59">
        <f>11.6038* CHOOSE(CONTROL!$C$27, $C$14, 100%, $E$14)</f>
        <v>11.6038</v>
      </c>
      <c r="I343" s="59">
        <f>11.6087 * CHOOSE(CONTROL!$C$27, $C$14, 100%, $E$14)</f>
        <v>11.608700000000001</v>
      </c>
      <c r="J343" s="59">
        <f>11.6038 * CHOOSE(CONTROL!$C$27, $C$14, 100%, $E$14)</f>
        <v>11.6038</v>
      </c>
      <c r="K343" s="59">
        <f>11.6087 * CHOOSE(CONTROL!$C$27, $C$14, 100%, $E$14)</f>
        <v>11.608700000000001</v>
      </c>
      <c r="L343" s="59">
        <f>6.3185 * CHOOSE(CONTROL!$C$27, $C$14, 100%, $E$14)</f>
        <v>6.3185000000000002</v>
      </c>
      <c r="M343" s="59">
        <f>6.3234 * CHOOSE(CONTROL!$C$27, $C$14, 100%, $E$14)</f>
        <v>6.3234000000000004</v>
      </c>
      <c r="N343" s="59">
        <f>6.3185 * CHOOSE(CONTROL!$C$27, $C$14, 100%, $E$14)</f>
        <v>6.3185000000000002</v>
      </c>
      <c r="O343" s="59">
        <f>6.3234 * CHOOSE(CONTROL!$C$27, $C$14, 100%, $E$14)</f>
        <v>6.3234000000000004</v>
      </c>
    </row>
    <row r="344" spans="1:15" ht="15">
      <c r="A344" s="11">
        <v>51561</v>
      </c>
      <c r="B344" s="58">
        <f>5.2755 * CHOOSE(CONTROL!$C$27, $C$14, 100%, $E$14)</f>
        <v>5.2755000000000001</v>
      </c>
      <c r="C344" s="58">
        <f>5.2755 * CHOOSE(CONTROL!$C$27, $C$14, 100%, $E$14)</f>
        <v>5.2755000000000001</v>
      </c>
      <c r="D344" s="58">
        <f>5.2795 * CHOOSE(CONTROL!$C$27, $C$14, 100%, $E$14)</f>
        <v>5.2794999999999996</v>
      </c>
      <c r="E344" s="59">
        <f>6.3961 * CHOOSE(CONTROL!$C$27, $C$14, 100%, $E$14)</f>
        <v>6.3960999999999997</v>
      </c>
      <c r="F344" s="59">
        <f>6.3961 * CHOOSE(CONTROL!$C$27, $C$14, 100%, $E$14)</f>
        <v>6.3960999999999997</v>
      </c>
      <c r="G344" s="59">
        <f>6.4011 * CHOOSE(CONTROL!$C$27, $C$14, 100%, $E$14)</f>
        <v>6.4010999999999996</v>
      </c>
      <c r="H344" s="59">
        <f>11.628* CHOOSE(CONTROL!$C$27, $C$14, 100%, $E$14)</f>
        <v>11.628</v>
      </c>
      <c r="I344" s="59">
        <f>11.6329 * CHOOSE(CONTROL!$C$27, $C$14, 100%, $E$14)</f>
        <v>11.632899999999999</v>
      </c>
      <c r="J344" s="59">
        <f>11.628 * CHOOSE(CONTROL!$C$27, $C$14, 100%, $E$14)</f>
        <v>11.628</v>
      </c>
      <c r="K344" s="59">
        <f>11.6329 * CHOOSE(CONTROL!$C$27, $C$14, 100%, $E$14)</f>
        <v>11.632899999999999</v>
      </c>
      <c r="L344" s="59">
        <f>6.3961 * CHOOSE(CONTROL!$C$27, $C$14, 100%, $E$14)</f>
        <v>6.3960999999999997</v>
      </c>
      <c r="M344" s="59">
        <f>6.4011 * CHOOSE(CONTROL!$C$27, $C$14, 100%, $E$14)</f>
        <v>6.4010999999999996</v>
      </c>
      <c r="N344" s="59">
        <f>6.3961 * CHOOSE(CONTROL!$C$27, $C$14, 100%, $E$14)</f>
        <v>6.3960999999999997</v>
      </c>
      <c r="O344" s="59">
        <f>6.4011 * CHOOSE(CONTROL!$C$27, $C$14, 100%, $E$14)</f>
        <v>6.4010999999999996</v>
      </c>
    </row>
    <row r="345" spans="1:15" ht="15">
      <c r="A345" s="11">
        <v>51592</v>
      </c>
      <c r="B345" s="58">
        <f>5.2743 * CHOOSE(CONTROL!$C$27, $C$14, 100%, $E$14)</f>
        <v>5.2743000000000002</v>
      </c>
      <c r="C345" s="58">
        <f>5.2743 * CHOOSE(CONTROL!$C$27, $C$14, 100%, $E$14)</f>
        <v>5.2743000000000002</v>
      </c>
      <c r="D345" s="58">
        <f>5.2783 * CHOOSE(CONTROL!$C$27, $C$14, 100%, $E$14)</f>
        <v>5.2782999999999998</v>
      </c>
      <c r="E345" s="59">
        <f>6.4775 * CHOOSE(CONTROL!$C$27, $C$14, 100%, $E$14)</f>
        <v>6.4775</v>
      </c>
      <c r="F345" s="59">
        <f>6.4775 * CHOOSE(CONTROL!$C$27, $C$14, 100%, $E$14)</f>
        <v>6.4775</v>
      </c>
      <c r="G345" s="59">
        <f>6.4825 * CHOOSE(CONTROL!$C$27, $C$14, 100%, $E$14)</f>
        <v>6.4824999999999999</v>
      </c>
      <c r="H345" s="59">
        <f>11.6522* CHOOSE(CONTROL!$C$27, $C$14, 100%, $E$14)</f>
        <v>11.652200000000001</v>
      </c>
      <c r="I345" s="59">
        <f>11.6571 * CHOOSE(CONTROL!$C$27, $C$14, 100%, $E$14)</f>
        <v>11.6571</v>
      </c>
      <c r="J345" s="59">
        <f>11.6522 * CHOOSE(CONTROL!$C$27, $C$14, 100%, $E$14)</f>
        <v>11.652200000000001</v>
      </c>
      <c r="K345" s="59">
        <f>11.6571 * CHOOSE(CONTROL!$C$27, $C$14, 100%, $E$14)</f>
        <v>11.6571</v>
      </c>
      <c r="L345" s="59">
        <f>6.4775 * CHOOSE(CONTROL!$C$27, $C$14, 100%, $E$14)</f>
        <v>6.4775</v>
      </c>
      <c r="M345" s="59">
        <f>6.4825 * CHOOSE(CONTROL!$C$27, $C$14, 100%, $E$14)</f>
        <v>6.4824999999999999</v>
      </c>
      <c r="N345" s="59">
        <f>6.4775 * CHOOSE(CONTROL!$C$27, $C$14, 100%, $E$14)</f>
        <v>6.4775</v>
      </c>
      <c r="O345" s="59">
        <f>6.4825 * CHOOSE(CONTROL!$C$27, $C$14, 100%, $E$14)</f>
        <v>6.4824999999999999</v>
      </c>
    </row>
    <row r="346" spans="1:15" ht="15">
      <c r="A346" s="11">
        <v>51622</v>
      </c>
      <c r="B346" s="58">
        <f>5.2743 * CHOOSE(CONTROL!$C$27, $C$14, 100%, $E$14)</f>
        <v>5.2743000000000002</v>
      </c>
      <c r="C346" s="58">
        <f>5.2743 * CHOOSE(CONTROL!$C$27, $C$14, 100%, $E$14)</f>
        <v>5.2743000000000002</v>
      </c>
      <c r="D346" s="58">
        <f>5.2799 * CHOOSE(CONTROL!$C$27, $C$14, 100%, $E$14)</f>
        <v>5.2798999999999996</v>
      </c>
      <c r="E346" s="59">
        <f>6.5097 * CHOOSE(CONTROL!$C$27, $C$14, 100%, $E$14)</f>
        <v>6.5096999999999996</v>
      </c>
      <c r="F346" s="59">
        <f>6.5097 * CHOOSE(CONTROL!$C$27, $C$14, 100%, $E$14)</f>
        <v>6.5096999999999996</v>
      </c>
      <c r="G346" s="59">
        <f>6.5166 * CHOOSE(CONTROL!$C$27, $C$14, 100%, $E$14)</f>
        <v>6.5166000000000004</v>
      </c>
      <c r="H346" s="59">
        <f>11.6765* CHOOSE(CONTROL!$C$27, $C$14, 100%, $E$14)</f>
        <v>11.676500000000001</v>
      </c>
      <c r="I346" s="59">
        <f>11.6834 * CHOOSE(CONTROL!$C$27, $C$14, 100%, $E$14)</f>
        <v>11.683400000000001</v>
      </c>
      <c r="J346" s="59">
        <f>11.6765 * CHOOSE(CONTROL!$C$27, $C$14, 100%, $E$14)</f>
        <v>11.676500000000001</v>
      </c>
      <c r="K346" s="59">
        <f>11.6834 * CHOOSE(CONTROL!$C$27, $C$14, 100%, $E$14)</f>
        <v>11.683400000000001</v>
      </c>
      <c r="L346" s="59">
        <f>6.5097 * CHOOSE(CONTROL!$C$27, $C$14, 100%, $E$14)</f>
        <v>6.5096999999999996</v>
      </c>
      <c r="M346" s="59">
        <f>6.5166 * CHOOSE(CONTROL!$C$27, $C$14, 100%, $E$14)</f>
        <v>6.5166000000000004</v>
      </c>
      <c r="N346" s="59">
        <f>6.5097 * CHOOSE(CONTROL!$C$27, $C$14, 100%, $E$14)</f>
        <v>6.5096999999999996</v>
      </c>
      <c r="O346" s="59">
        <f>6.5166 * CHOOSE(CONTROL!$C$27, $C$14, 100%, $E$14)</f>
        <v>6.5166000000000004</v>
      </c>
    </row>
    <row r="347" spans="1:15" ht="15">
      <c r="A347" s="11">
        <v>51653</v>
      </c>
      <c r="B347" s="58">
        <f>5.2804 * CHOOSE(CONTROL!$C$27, $C$14, 100%, $E$14)</f>
        <v>5.2804000000000002</v>
      </c>
      <c r="C347" s="58">
        <f>5.2804 * CHOOSE(CONTROL!$C$27, $C$14, 100%, $E$14)</f>
        <v>5.2804000000000002</v>
      </c>
      <c r="D347" s="58">
        <f>5.286 * CHOOSE(CONTROL!$C$27, $C$14, 100%, $E$14)</f>
        <v>5.2859999999999996</v>
      </c>
      <c r="E347" s="59">
        <f>6.4818 * CHOOSE(CONTROL!$C$27, $C$14, 100%, $E$14)</f>
        <v>6.4817999999999998</v>
      </c>
      <c r="F347" s="59">
        <f>6.4818 * CHOOSE(CONTROL!$C$27, $C$14, 100%, $E$14)</f>
        <v>6.4817999999999998</v>
      </c>
      <c r="G347" s="59">
        <f>6.4887 * CHOOSE(CONTROL!$C$27, $C$14, 100%, $E$14)</f>
        <v>6.4886999999999997</v>
      </c>
      <c r="H347" s="59">
        <f>11.7008* CHOOSE(CONTROL!$C$27, $C$14, 100%, $E$14)</f>
        <v>11.700799999999999</v>
      </c>
      <c r="I347" s="59">
        <f>11.7077 * CHOOSE(CONTROL!$C$27, $C$14, 100%, $E$14)</f>
        <v>11.707700000000001</v>
      </c>
      <c r="J347" s="59">
        <f>11.7008 * CHOOSE(CONTROL!$C$27, $C$14, 100%, $E$14)</f>
        <v>11.700799999999999</v>
      </c>
      <c r="K347" s="59">
        <f>11.7077 * CHOOSE(CONTROL!$C$27, $C$14, 100%, $E$14)</f>
        <v>11.707700000000001</v>
      </c>
      <c r="L347" s="59">
        <f>6.4818 * CHOOSE(CONTROL!$C$27, $C$14, 100%, $E$14)</f>
        <v>6.4817999999999998</v>
      </c>
      <c r="M347" s="59">
        <f>6.4887 * CHOOSE(CONTROL!$C$27, $C$14, 100%, $E$14)</f>
        <v>6.4886999999999997</v>
      </c>
      <c r="N347" s="59">
        <f>6.4818 * CHOOSE(CONTROL!$C$27, $C$14, 100%, $E$14)</f>
        <v>6.4817999999999998</v>
      </c>
      <c r="O347" s="59">
        <f>6.4887 * CHOOSE(CONTROL!$C$27, $C$14, 100%, $E$14)</f>
        <v>6.4886999999999997</v>
      </c>
    </row>
    <row r="348" spans="1:15" ht="15">
      <c r="A348" s="11">
        <v>51683</v>
      </c>
      <c r="B348" s="58">
        <f>5.3669 * CHOOSE(CONTROL!$C$27, $C$14, 100%, $E$14)</f>
        <v>5.3669000000000002</v>
      </c>
      <c r="C348" s="58">
        <f>5.3669 * CHOOSE(CONTROL!$C$27, $C$14, 100%, $E$14)</f>
        <v>5.3669000000000002</v>
      </c>
      <c r="D348" s="58">
        <f>5.3725 * CHOOSE(CONTROL!$C$27, $C$14, 100%, $E$14)</f>
        <v>5.3724999999999996</v>
      </c>
      <c r="E348" s="59">
        <f>6.5916 * CHOOSE(CONTROL!$C$27, $C$14, 100%, $E$14)</f>
        <v>6.5915999999999997</v>
      </c>
      <c r="F348" s="59">
        <f>6.5916 * CHOOSE(CONTROL!$C$27, $C$14, 100%, $E$14)</f>
        <v>6.5915999999999997</v>
      </c>
      <c r="G348" s="59">
        <f>6.5985 * CHOOSE(CONTROL!$C$27, $C$14, 100%, $E$14)</f>
        <v>6.5984999999999996</v>
      </c>
      <c r="H348" s="59">
        <f>11.7252* CHOOSE(CONTROL!$C$27, $C$14, 100%, $E$14)</f>
        <v>11.725199999999999</v>
      </c>
      <c r="I348" s="59">
        <f>11.7321 * CHOOSE(CONTROL!$C$27, $C$14, 100%, $E$14)</f>
        <v>11.732100000000001</v>
      </c>
      <c r="J348" s="59">
        <f>11.7252 * CHOOSE(CONTROL!$C$27, $C$14, 100%, $E$14)</f>
        <v>11.725199999999999</v>
      </c>
      <c r="K348" s="59">
        <f>11.7321 * CHOOSE(CONTROL!$C$27, $C$14, 100%, $E$14)</f>
        <v>11.732100000000001</v>
      </c>
      <c r="L348" s="59">
        <f>6.5916 * CHOOSE(CONTROL!$C$27, $C$14, 100%, $E$14)</f>
        <v>6.5915999999999997</v>
      </c>
      <c r="M348" s="59">
        <f>6.5985 * CHOOSE(CONTROL!$C$27, $C$14, 100%, $E$14)</f>
        <v>6.5984999999999996</v>
      </c>
      <c r="N348" s="59">
        <f>6.5916 * CHOOSE(CONTROL!$C$27, $C$14, 100%, $E$14)</f>
        <v>6.5915999999999997</v>
      </c>
      <c r="O348" s="59">
        <f>6.5985 * CHOOSE(CONTROL!$C$27, $C$14, 100%, $E$14)</f>
        <v>6.5984999999999996</v>
      </c>
    </row>
    <row r="349" spans="1:15" ht="15">
      <c r="A349" s="11">
        <v>51714</v>
      </c>
      <c r="B349" s="58">
        <f>5.3736 * CHOOSE(CONTROL!$C$27, $C$14, 100%, $E$14)</f>
        <v>5.3735999999999997</v>
      </c>
      <c r="C349" s="58">
        <f>5.3736 * CHOOSE(CONTROL!$C$27, $C$14, 100%, $E$14)</f>
        <v>5.3735999999999997</v>
      </c>
      <c r="D349" s="58">
        <f>5.3792 * CHOOSE(CONTROL!$C$27, $C$14, 100%, $E$14)</f>
        <v>5.3792</v>
      </c>
      <c r="E349" s="59">
        <f>6.4999 * CHOOSE(CONTROL!$C$27, $C$14, 100%, $E$14)</f>
        <v>6.4999000000000002</v>
      </c>
      <c r="F349" s="59">
        <f>6.4999 * CHOOSE(CONTROL!$C$27, $C$14, 100%, $E$14)</f>
        <v>6.4999000000000002</v>
      </c>
      <c r="G349" s="59">
        <f>6.5068 * CHOOSE(CONTROL!$C$27, $C$14, 100%, $E$14)</f>
        <v>6.5068000000000001</v>
      </c>
      <c r="H349" s="59">
        <f>11.7496* CHOOSE(CONTROL!$C$27, $C$14, 100%, $E$14)</f>
        <v>11.749599999999999</v>
      </c>
      <c r="I349" s="59">
        <f>11.7565 * CHOOSE(CONTROL!$C$27, $C$14, 100%, $E$14)</f>
        <v>11.756500000000001</v>
      </c>
      <c r="J349" s="59">
        <f>11.7496 * CHOOSE(CONTROL!$C$27, $C$14, 100%, $E$14)</f>
        <v>11.749599999999999</v>
      </c>
      <c r="K349" s="59">
        <f>11.7565 * CHOOSE(CONTROL!$C$27, $C$14, 100%, $E$14)</f>
        <v>11.756500000000001</v>
      </c>
      <c r="L349" s="59">
        <f>6.4999 * CHOOSE(CONTROL!$C$27, $C$14, 100%, $E$14)</f>
        <v>6.4999000000000002</v>
      </c>
      <c r="M349" s="59">
        <f>6.5068 * CHOOSE(CONTROL!$C$27, $C$14, 100%, $E$14)</f>
        <v>6.5068000000000001</v>
      </c>
      <c r="N349" s="59">
        <f>6.4999 * CHOOSE(CONTROL!$C$27, $C$14, 100%, $E$14)</f>
        <v>6.4999000000000002</v>
      </c>
      <c r="O349" s="59">
        <f>6.5068 * CHOOSE(CONTROL!$C$27, $C$14, 100%, $E$14)</f>
        <v>6.5068000000000001</v>
      </c>
    </row>
    <row r="350" spans="1:15" ht="15">
      <c r="A350" s="11">
        <v>51745</v>
      </c>
      <c r="B350" s="58">
        <f>5.3705 * CHOOSE(CONTROL!$C$27, $C$14, 100%, $E$14)</f>
        <v>5.3704999999999998</v>
      </c>
      <c r="C350" s="58">
        <f>5.3705 * CHOOSE(CONTROL!$C$27, $C$14, 100%, $E$14)</f>
        <v>5.3704999999999998</v>
      </c>
      <c r="D350" s="58">
        <f>5.3761 * CHOOSE(CONTROL!$C$27, $C$14, 100%, $E$14)</f>
        <v>5.3761000000000001</v>
      </c>
      <c r="E350" s="59">
        <f>6.4871 * CHOOSE(CONTROL!$C$27, $C$14, 100%, $E$14)</f>
        <v>6.4870999999999999</v>
      </c>
      <c r="F350" s="59">
        <f>6.4871 * CHOOSE(CONTROL!$C$27, $C$14, 100%, $E$14)</f>
        <v>6.4870999999999999</v>
      </c>
      <c r="G350" s="59">
        <f>6.494 * CHOOSE(CONTROL!$C$27, $C$14, 100%, $E$14)</f>
        <v>6.4939999999999998</v>
      </c>
      <c r="H350" s="59">
        <f>11.7741* CHOOSE(CONTROL!$C$27, $C$14, 100%, $E$14)</f>
        <v>11.774100000000001</v>
      </c>
      <c r="I350" s="59">
        <f>11.781 * CHOOSE(CONTROL!$C$27, $C$14, 100%, $E$14)</f>
        <v>11.781000000000001</v>
      </c>
      <c r="J350" s="59">
        <f>11.7741 * CHOOSE(CONTROL!$C$27, $C$14, 100%, $E$14)</f>
        <v>11.774100000000001</v>
      </c>
      <c r="K350" s="59">
        <f>11.781 * CHOOSE(CONTROL!$C$27, $C$14, 100%, $E$14)</f>
        <v>11.781000000000001</v>
      </c>
      <c r="L350" s="59">
        <f>6.4871 * CHOOSE(CONTROL!$C$27, $C$14, 100%, $E$14)</f>
        <v>6.4870999999999999</v>
      </c>
      <c r="M350" s="59">
        <f>6.494 * CHOOSE(CONTROL!$C$27, $C$14, 100%, $E$14)</f>
        <v>6.4939999999999998</v>
      </c>
      <c r="N350" s="59">
        <f>6.4871 * CHOOSE(CONTROL!$C$27, $C$14, 100%, $E$14)</f>
        <v>6.4870999999999999</v>
      </c>
      <c r="O350" s="59">
        <f>6.494 * CHOOSE(CONTROL!$C$27, $C$14, 100%, $E$14)</f>
        <v>6.4939999999999998</v>
      </c>
    </row>
    <row r="351" spans="1:15" ht="15">
      <c r="A351" s="11">
        <v>51775</v>
      </c>
      <c r="B351" s="58">
        <f>5.3701 * CHOOSE(CONTROL!$C$27, $C$14, 100%, $E$14)</f>
        <v>5.3700999999999999</v>
      </c>
      <c r="C351" s="58">
        <f>5.3701 * CHOOSE(CONTROL!$C$27, $C$14, 100%, $E$14)</f>
        <v>5.3700999999999999</v>
      </c>
      <c r="D351" s="58">
        <f>5.3741 * CHOOSE(CONTROL!$C$27, $C$14, 100%, $E$14)</f>
        <v>5.3741000000000003</v>
      </c>
      <c r="E351" s="59">
        <f>6.5165 * CHOOSE(CONTROL!$C$27, $C$14, 100%, $E$14)</f>
        <v>6.5164999999999997</v>
      </c>
      <c r="F351" s="59">
        <f>6.5165 * CHOOSE(CONTROL!$C$27, $C$14, 100%, $E$14)</f>
        <v>6.5164999999999997</v>
      </c>
      <c r="G351" s="59">
        <f>6.5214 * CHOOSE(CONTROL!$C$27, $C$14, 100%, $E$14)</f>
        <v>6.5213999999999999</v>
      </c>
      <c r="H351" s="59">
        <f>11.7986* CHOOSE(CONTROL!$C$27, $C$14, 100%, $E$14)</f>
        <v>11.7986</v>
      </c>
      <c r="I351" s="59">
        <f>11.8035 * CHOOSE(CONTROL!$C$27, $C$14, 100%, $E$14)</f>
        <v>11.8035</v>
      </c>
      <c r="J351" s="59">
        <f>11.7986 * CHOOSE(CONTROL!$C$27, $C$14, 100%, $E$14)</f>
        <v>11.7986</v>
      </c>
      <c r="K351" s="59">
        <f>11.8035 * CHOOSE(CONTROL!$C$27, $C$14, 100%, $E$14)</f>
        <v>11.8035</v>
      </c>
      <c r="L351" s="59">
        <f>6.5165 * CHOOSE(CONTROL!$C$27, $C$14, 100%, $E$14)</f>
        <v>6.5164999999999997</v>
      </c>
      <c r="M351" s="59">
        <f>6.5214 * CHOOSE(CONTROL!$C$27, $C$14, 100%, $E$14)</f>
        <v>6.5213999999999999</v>
      </c>
      <c r="N351" s="59">
        <f>6.5165 * CHOOSE(CONTROL!$C$27, $C$14, 100%, $E$14)</f>
        <v>6.5164999999999997</v>
      </c>
      <c r="O351" s="59">
        <f>6.5214 * CHOOSE(CONTROL!$C$27, $C$14, 100%, $E$14)</f>
        <v>6.5213999999999999</v>
      </c>
    </row>
    <row r="352" spans="1:15" ht="15">
      <c r="A352" s="11">
        <v>51806</v>
      </c>
      <c r="B352" s="58">
        <f>5.3732 * CHOOSE(CONTROL!$C$27, $C$14, 100%, $E$14)</f>
        <v>5.3731999999999998</v>
      </c>
      <c r="C352" s="58">
        <f>5.3732 * CHOOSE(CONTROL!$C$27, $C$14, 100%, $E$14)</f>
        <v>5.3731999999999998</v>
      </c>
      <c r="D352" s="58">
        <f>5.3772 * CHOOSE(CONTROL!$C$27, $C$14, 100%, $E$14)</f>
        <v>5.3772000000000002</v>
      </c>
      <c r="E352" s="59">
        <f>6.54 * CHOOSE(CONTROL!$C$27, $C$14, 100%, $E$14)</f>
        <v>6.54</v>
      </c>
      <c r="F352" s="59">
        <f>6.54 * CHOOSE(CONTROL!$C$27, $C$14, 100%, $E$14)</f>
        <v>6.54</v>
      </c>
      <c r="G352" s="59">
        <f>6.545 * CHOOSE(CONTROL!$C$27, $C$14, 100%, $E$14)</f>
        <v>6.5449999999999999</v>
      </c>
      <c r="H352" s="59">
        <f>11.8232* CHOOSE(CONTROL!$C$27, $C$14, 100%, $E$14)</f>
        <v>11.8232</v>
      </c>
      <c r="I352" s="59">
        <f>11.8281 * CHOOSE(CONTROL!$C$27, $C$14, 100%, $E$14)</f>
        <v>11.828099999999999</v>
      </c>
      <c r="J352" s="59">
        <f>11.8232 * CHOOSE(CONTROL!$C$27, $C$14, 100%, $E$14)</f>
        <v>11.8232</v>
      </c>
      <c r="K352" s="59">
        <f>11.8281 * CHOOSE(CONTROL!$C$27, $C$14, 100%, $E$14)</f>
        <v>11.828099999999999</v>
      </c>
      <c r="L352" s="59">
        <f>6.54 * CHOOSE(CONTROL!$C$27, $C$14, 100%, $E$14)</f>
        <v>6.54</v>
      </c>
      <c r="M352" s="59">
        <f>6.545 * CHOOSE(CONTROL!$C$27, $C$14, 100%, $E$14)</f>
        <v>6.5449999999999999</v>
      </c>
      <c r="N352" s="59">
        <f>6.54 * CHOOSE(CONTROL!$C$27, $C$14, 100%, $E$14)</f>
        <v>6.54</v>
      </c>
      <c r="O352" s="59">
        <f>6.545 * CHOOSE(CONTROL!$C$27, $C$14, 100%, $E$14)</f>
        <v>6.5449999999999999</v>
      </c>
    </row>
    <row r="353" spans="1:15" ht="15">
      <c r="A353" s="11">
        <v>51836</v>
      </c>
      <c r="B353" s="58">
        <f>5.3732 * CHOOSE(CONTROL!$C$27, $C$14, 100%, $E$14)</f>
        <v>5.3731999999999998</v>
      </c>
      <c r="C353" s="58">
        <f>5.3732 * CHOOSE(CONTROL!$C$27, $C$14, 100%, $E$14)</f>
        <v>5.3731999999999998</v>
      </c>
      <c r="D353" s="58">
        <f>5.3772 * CHOOSE(CONTROL!$C$27, $C$14, 100%, $E$14)</f>
        <v>5.3772000000000002</v>
      </c>
      <c r="E353" s="59">
        <f>6.4865 * CHOOSE(CONTROL!$C$27, $C$14, 100%, $E$14)</f>
        <v>6.4865000000000004</v>
      </c>
      <c r="F353" s="59">
        <f>6.4865 * CHOOSE(CONTROL!$C$27, $C$14, 100%, $E$14)</f>
        <v>6.4865000000000004</v>
      </c>
      <c r="G353" s="59">
        <f>6.4914 * CHOOSE(CONTROL!$C$27, $C$14, 100%, $E$14)</f>
        <v>6.4913999999999996</v>
      </c>
      <c r="H353" s="59">
        <f>11.8478* CHOOSE(CONTROL!$C$27, $C$14, 100%, $E$14)</f>
        <v>11.847799999999999</v>
      </c>
      <c r="I353" s="59">
        <f>11.8527 * CHOOSE(CONTROL!$C$27, $C$14, 100%, $E$14)</f>
        <v>11.8527</v>
      </c>
      <c r="J353" s="59">
        <f>11.8478 * CHOOSE(CONTROL!$C$27, $C$14, 100%, $E$14)</f>
        <v>11.847799999999999</v>
      </c>
      <c r="K353" s="59">
        <f>11.8527 * CHOOSE(CONTROL!$C$27, $C$14, 100%, $E$14)</f>
        <v>11.8527</v>
      </c>
      <c r="L353" s="59">
        <f>6.4865 * CHOOSE(CONTROL!$C$27, $C$14, 100%, $E$14)</f>
        <v>6.4865000000000004</v>
      </c>
      <c r="M353" s="59">
        <f>6.4914 * CHOOSE(CONTROL!$C$27, $C$14, 100%, $E$14)</f>
        <v>6.4913999999999996</v>
      </c>
      <c r="N353" s="59">
        <f>6.4865 * CHOOSE(CONTROL!$C$27, $C$14, 100%, $E$14)</f>
        <v>6.4865000000000004</v>
      </c>
      <c r="O353" s="59">
        <f>6.4914 * CHOOSE(CONTROL!$C$27, $C$14, 100%, $E$14)</f>
        <v>6.4913999999999996</v>
      </c>
    </row>
    <row r="354" spans="1:15" ht="15">
      <c r="A354" s="11">
        <v>51867</v>
      </c>
      <c r="B354" s="58">
        <f>5.4207 * CHOOSE(CONTROL!$C$27, $C$14, 100%, $E$14)</f>
        <v>5.4207000000000001</v>
      </c>
      <c r="C354" s="58">
        <f>5.4207 * CHOOSE(CONTROL!$C$27, $C$14, 100%, $E$14)</f>
        <v>5.4207000000000001</v>
      </c>
      <c r="D354" s="58">
        <f>5.4247 * CHOOSE(CONTROL!$C$27, $C$14, 100%, $E$14)</f>
        <v>5.4246999999999996</v>
      </c>
      <c r="E354" s="59">
        <f>6.5785 * CHOOSE(CONTROL!$C$27, $C$14, 100%, $E$14)</f>
        <v>6.5785</v>
      </c>
      <c r="F354" s="59">
        <f>6.5785 * CHOOSE(CONTROL!$C$27, $C$14, 100%, $E$14)</f>
        <v>6.5785</v>
      </c>
      <c r="G354" s="59">
        <f>6.5834 * CHOOSE(CONTROL!$C$27, $C$14, 100%, $E$14)</f>
        <v>6.5834000000000001</v>
      </c>
      <c r="H354" s="59">
        <f>11.8725* CHOOSE(CONTROL!$C$27, $C$14, 100%, $E$14)</f>
        <v>11.8725</v>
      </c>
      <c r="I354" s="59">
        <f>11.8774 * CHOOSE(CONTROL!$C$27, $C$14, 100%, $E$14)</f>
        <v>11.8774</v>
      </c>
      <c r="J354" s="59">
        <f>11.8725 * CHOOSE(CONTROL!$C$27, $C$14, 100%, $E$14)</f>
        <v>11.8725</v>
      </c>
      <c r="K354" s="59">
        <f>11.8774 * CHOOSE(CONTROL!$C$27, $C$14, 100%, $E$14)</f>
        <v>11.8774</v>
      </c>
      <c r="L354" s="59">
        <f>6.5785 * CHOOSE(CONTROL!$C$27, $C$14, 100%, $E$14)</f>
        <v>6.5785</v>
      </c>
      <c r="M354" s="59">
        <f>6.5834 * CHOOSE(CONTROL!$C$27, $C$14, 100%, $E$14)</f>
        <v>6.5834000000000001</v>
      </c>
      <c r="N354" s="59">
        <f>6.5785 * CHOOSE(CONTROL!$C$27, $C$14, 100%, $E$14)</f>
        <v>6.5785</v>
      </c>
      <c r="O354" s="59">
        <f>6.5834 * CHOOSE(CONTROL!$C$27, $C$14, 100%, $E$14)</f>
        <v>6.5834000000000001</v>
      </c>
    </row>
    <row r="355" spans="1:15" ht="15">
      <c r="A355" s="11">
        <v>51898</v>
      </c>
      <c r="B355" s="58">
        <f>5.4177 * CHOOSE(CONTROL!$C$27, $C$14, 100%, $E$14)</f>
        <v>5.4177</v>
      </c>
      <c r="C355" s="58">
        <f>5.4177 * CHOOSE(CONTROL!$C$27, $C$14, 100%, $E$14)</f>
        <v>5.4177</v>
      </c>
      <c r="D355" s="58">
        <f>5.4217 * CHOOSE(CONTROL!$C$27, $C$14, 100%, $E$14)</f>
        <v>5.4217000000000004</v>
      </c>
      <c r="E355" s="59">
        <f>6.4724 * CHOOSE(CONTROL!$C$27, $C$14, 100%, $E$14)</f>
        <v>6.4724000000000004</v>
      </c>
      <c r="F355" s="59">
        <f>6.4724 * CHOOSE(CONTROL!$C$27, $C$14, 100%, $E$14)</f>
        <v>6.4724000000000004</v>
      </c>
      <c r="G355" s="59">
        <f>6.4773 * CHOOSE(CONTROL!$C$27, $C$14, 100%, $E$14)</f>
        <v>6.4772999999999996</v>
      </c>
      <c r="H355" s="59">
        <f>11.8972* CHOOSE(CONTROL!$C$27, $C$14, 100%, $E$14)</f>
        <v>11.8972</v>
      </c>
      <c r="I355" s="59">
        <f>11.9021 * CHOOSE(CONTROL!$C$27, $C$14, 100%, $E$14)</f>
        <v>11.902100000000001</v>
      </c>
      <c r="J355" s="59">
        <f>11.8972 * CHOOSE(CONTROL!$C$27, $C$14, 100%, $E$14)</f>
        <v>11.8972</v>
      </c>
      <c r="K355" s="59">
        <f>11.9021 * CHOOSE(CONTROL!$C$27, $C$14, 100%, $E$14)</f>
        <v>11.902100000000001</v>
      </c>
      <c r="L355" s="59">
        <f>6.4724 * CHOOSE(CONTROL!$C$27, $C$14, 100%, $E$14)</f>
        <v>6.4724000000000004</v>
      </c>
      <c r="M355" s="59">
        <f>6.4773 * CHOOSE(CONTROL!$C$27, $C$14, 100%, $E$14)</f>
        <v>6.4772999999999996</v>
      </c>
      <c r="N355" s="59">
        <f>6.4724 * CHOOSE(CONTROL!$C$27, $C$14, 100%, $E$14)</f>
        <v>6.4724000000000004</v>
      </c>
      <c r="O355" s="59">
        <f>6.4773 * CHOOSE(CONTROL!$C$27, $C$14, 100%, $E$14)</f>
        <v>6.4772999999999996</v>
      </c>
    </row>
    <row r="356" spans="1:15" ht="15">
      <c r="A356" s="11">
        <v>51926</v>
      </c>
      <c r="B356" s="58">
        <f>5.4147 * CHOOSE(CONTROL!$C$27, $C$14, 100%, $E$14)</f>
        <v>5.4146999999999998</v>
      </c>
      <c r="C356" s="58">
        <f>5.4147 * CHOOSE(CONTROL!$C$27, $C$14, 100%, $E$14)</f>
        <v>5.4146999999999998</v>
      </c>
      <c r="D356" s="58">
        <f>5.4187 * CHOOSE(CONTROL!$C$27, $C$14, 100%, $E$14)</f>
        <v>5.4187000000000003</v>
      </c>
      <c r="E356" s="59">
        <f>6.5523 * CHOOSE(CONTROL!$C$27, $C$14, 100%, $E$14)</f>
        <v>6.5522999999999998</v>
      </c>
      <c r="F356" s="59">
        <f>6.5523 * CHOOSE(CONTROL!$C$27, $C$14, 100%, $E$14)</f>
        <v>6.5522999999999998</v>
      </c>
      <c r="G356" s="59">
        <f>6.5572 * CHOOSE(CONTROL!$C$27, $C$14, 100%, $E$14)</f>
        <v>6.5571999999999999</v>
      </c>
      <c r="H356" s="59">
        <f>11.922* CHOOSE(CONTROL!$C$27, $C$14, 100%, $E$14)</f>
        <v>11.922000000000001</v>
      </c>
      <c r="I356" s="59">
        <f>11.9269 * CHOOSE(CONTROL!$C$27, $C$14, 100%, $E$14)</f>
        <v>11.9269</v>
      </c>
      <c r="J356" s="59">
        <f>11.922 * CHOOSE(CONTROL!$C$27, $C$14, 100%, $E$14)</f>
        <v>11.922000000000001</v>
      </c>
      <c r="K356" s="59">
        <f>11.9269 * CHOOSE(CONTROL!$C$27, $C$14, 100%, $E$14)</f>
        <v>11.9269</v>
      </c>
      <c r="L356" s="59">
        <f>6.5523 * CHOOSE(CONTROL!$C$27, $C$14, 100%, $E$14)</f>
        <v>6.5522999999999998</v>
      </c>
      <c r="M356" s="59">
        <f>6.5572 * CHOOSE(CONTROL!$C$27, $C$14, 100%, $E$14)</f>
        <v>6.5571999999999999</v>
      </c>
      <c r="N356" s="59">
        <f>6.5523 * CHOOSE(CONTROL!$C$27, $C$14, 100%, $E$14)</f>
        <v>6.5522999999999998</v>
      </c>
      <c r="O356" s="59">
        <f>6.5572 * CHOOSE(CONTROL!$C$27, $C$14, 100%, $E$14)</f>
        <v>6.5571999999999999</v>
      </c>
    </row>
    <row r="357" spans="1:15" ht="15">
      <c r="A357" s="11">
        <v>51957</v>
      </c>
      <c r="B357" s="58">
        <f>5.4135 * CHOOSE(CONTROL!$C$27, $C$14, 100%, $E$14)</f>
        <v>5.4135</v>
      </c>
      <c r="C357" s="58">
        <f>5.4135 * CHOOSE(CONTROL!$C$27, $C$14, 100%, $E$14)</f>
        <v>5.4135</v>
      </c>
      <c r="D357" s="58">
        <f>5.4175 * CHOOSE(CONTROL!$C$27, $C$14, 100%, $E$14)</f>
        <v>5.4175000000000004</v>
      </c>
      <c r="E357" s="59">
        <f>6.6361 * CHOOSE(CONTROL!$C$27, $C$14, 100%, $E$14)</f>
        <v>6.6360999999999999</v>
      </c>
      <c r="F357" s="59">
        <f>6.6361 * CHOOSE(CONTROL!$C$27, $C$14, 100%, $E$14)</f>
        <v>6.6360999999999999</v>
      </c>
      <c r="G357" s="59">
        <f>6.641 * CHOOSE(CONTROL!$C$27, $C$14, 100%, $E$14)</f>
        <v>6.641</v>
      </c>
      <c r="H357" s="59">
        <f>11.9469* CHOOSE(CONTROL!$C$27, $C$14, 100%, $E$14)</f>
        <v>11.946899999999999</v>
      </c>
      <c r="I357" s="59">
        <f>11.9518 * CHOOSE(CONTROL!$C$27, $C$14, 100%, $E$14)</f>
        <v>11.9518</v>
      </c>
      <c r="J357" s="59">
        <f>11.9469 * CHOOSE(CONTROL!$C$27, $C$14, 100%, $E$14)</f>
        <v>11.946899999999999</v>
      </c>
      <c r="K357" s="59">
        <f>11.9518 * CHOOSE(CONTROL!$C$27, $C$14, 100%, $E$14)</f>
        <v>11.9518</v>
      </c>
      <c r="L357" s="59">
        <f>6.6361 * CHOOSE(CONTROL!$C$27, $C$14, 100%, $E$14)</f>
        <v>6.6360999999999999</v>
      </c>
      <c r="M357" s="59">
        <f>6.641 * CHOOSE(CONTROL!$C$27, $C$14, 100%, $E$14)</f>
        <v>6.641</v>
      </c>
      <c r="N357" s="59">
        <f>6.6361 * CHOOSE(CONTROL!$C$27, $C$14, 100%, $E$14)</f>
        <v>6.6360999999999999</v>
      </c>
      <c r="O357" s="59">
        <f>6.641 * CHOOSE(CONTROL!$C$27, $C$14, 100%, $E$14)</f>
        <v>6.641</v>
      </c>
    </row>
    <row r="358" spans="1:15" ht="15">
      <c r="A358" s="11">
        <v>51987</v>
      </c>
      <c r="B358" s="58">
        <f>5.4135 * CHOOSE(CONTROL!$C$27, $C$14, 100%, $E$14)</f>
        <v>5.4135</v>
      </c>
      <c r="C358" s="58">
        <f>5.4135 * CHOOSE(CONTROL!$C$27, $C$14, 100%, $E$14)</f>
        <v>5.4135</v>
      </c>
      <c r="D358" s="58">
        <f>5.4192 * CHOOSE(CONTROL!$C$27, $C$14, 100%, $E$14)</f>
        <v>5.4192</v>
      </c>
      <c r="E358" s="59">
        <f>6.6691 * CHOOSE(CONTROL!$C$27, $C$14, 100%, $E$14)</f>
        <v>6.6691000000000003</v>
      </c>
      <c r="F358" s="59">
        <f>6.6691 * CHOOSE(CONTROL!$C$27, $C$14, 100%, $E$14)</f>
        <v>6.6691000000000003</v>
      </c>
      <c r="G358" s="59">
        <f>6.676 * CHOOSE(CONTROL!$C$27, $C$14, 100%, $E$14)</f>
        <v>6.6760000000000002</v>
      </c>
      <c r="H358" s="59">
        <f>11.9717* CHOOSE(CONTROL!$C$27, $C$14, 100%, $E$14)</f>
        <v>11.9717</v>
      </c>
      <c r="I358" s="59">
        <f>11.9786 * CHOOSE(CONTROL!$C$27, $C$14, 100%, $E$14)</f>
        <v>11.9786</v>
      </c>
      <c r="J358" s="59">
        <f>11.9717 * CHOOSE(CONTROL!$C$27, $C$14, 100%, $E$14)</f>
        <v>11.9717</v>
      </c>
      <c r="K358" s="59">
        <f>11.9786 * CHOOSE(CONTROL!$C$27, $C$14, 100%, $E$14)</f>
        <v>11.9786</v>
      </c>
      <c r="L358" s="59">
        <f>6.6691 * CHOOSE(CONTROL!$C$27, $C$14, 100%, $E$14)</f>
        <v>6.6691000000000003</v>
      </c>
      <c r="M358" s="59">
        <f>6.676 * CHOOSE(CONTROL!$C$27, $C$14, 100%, $E$14)</f>
        <v>6.6760000000000002</v>
      </c>
      <c r="N358" s="59">
        <f>6.6691 * CHOOSE(CONTROL!$C$27, $C$14, 100%, $E$14)</f>
        <v>6.6691000000000003</v>
      </c>
      <c r="O358" s="59">
        <f>6.676 * CHOOSE(CONTROL!$C$27, $C$14, 100%, $E$14)</f>
        <v>6.6760000000000002</v>
      </c>
    </row>
    <row r="359" spans="1:15" ht="15">
      <c r="A359" s="11">
        <v>52018</v>
      </c>
      <c r="B359" s="58">
        <f>5.4196 * CHOOSE(CONTROL!$C$27, $C$14, 100%, $E$14)</f>
        <v>5.4196</v>
      </c>
      <c r="C359" s="58">
        <f>5.4196 * CHOOSE(CONTROL!$C$27, $C$14, 100%, $E$14)</f>
        <v>5.4196</v>
      </c>
      <c r="D359" s="58">
        <f>5.4252 * CHOOSE(CONTROL!$C$27, $C$14, 100%, $E$14)</f>
        <v>5.4252000000000002</v>
      </c>
      <c r="E359" s="59">
        <f>6.6403 * CHOOSE(CONTROL!$C$27, $C$14, 100%, $E$14)</f>
        <v>6.6402999999999999</v>
      </c>
      <c r="F359" s="59">
        <f>6.6403 * CHOOSE(CONTROL!$C$27, $C$14, 100%, $E$14)</f>
        <v>6.6402999999999999</v>
      </c>
      <c r="G359" s="59">
        <f>6.6472 * CHOOSE(CONTROL!$C$27, $C$14, 100%, $E$14)</f>
        <v>6.6471999999999998</v>
      </c>
      <c r="H359" s="59">
        <f>11.9967* CHOOSE(CONTROL!$C$27, $C$14, 100%, $E$14)</f>
        <v>11.996700000000001</v>
      </c>
      <c r="I359" s="59">
        <f>12.0036 * CHOOSE(CONTROL!$C$27, $C$14, 100%, $E$14)</f>
        <v>12.0036</v>
      </c>
      <c r="J359" s="59">
        <f>11.9967 * CHOOSE(CONTROL!$C$27, $C$14, 100%, $E$14)</f>
        <v>11.996700000000001</v>
      </c>
      <c r="K359" s="59">
        <f>12.0036 * CHOOSE(CONTROL!$C$27, $C$14, 100%, $E$14)</f>
        <v>12.0036</v>
      </c>
      <c r="L359" s="59">
        <f>6.6403 * CHOOSE(CONTROL!$C$27, $C$14, 100%, $E$14)</f>
        <v>6.6402999999999999</v>
      </c>
      <c r="M359" s="59">
        <f>6.6472 * CHOOSE(CONTROL!$C$27, $C$14, 100%, $E$14)</f>
        <v>6.6471999999999998</v>
      </c>
      <c r="N359" s="59">
        <f>6.6403 * CHOOSE(CONTROL!$C$27, $C$14, 100%, $E$14)</f>
        <v>6.6402999999999999</v>
      </c>
      <c r="O359" s="59">
        <f>6.6472 * CHOOSE(CONTROL!$C$27, $C$14, 100%, $E$14)</f>
        <v>6.6471999999999998</v>
      </c>
    </row>
    <row r="360" spans="1:15" ht="15">
      <c r="A360" s="11">
        <v>52048</v>
      </c>
      <c r="B360" s="58">
        <f>5.5082 * CHOOSE(CONTROL!$C$27, $C$14, 100%, $E$14)</f>
        <v>5.5082000000000004</v>
      </c>
      <c r="C360" s="58">
        <f>5.5082 * CHOOSE(CONTROL!$C$27, $C$14, 100%, $E$14)</f>
        <v>5.5082000000000004</v>
      </c>
      <c r="D360" s="58">
        <f>5.5138 * CHOOSE(CONTROL!$C$27, $C$14, 100%, $E$14)</f>
        <v>5.5137999999999998</v>
      </c>
      <c r="E360" s="59">
        <f>6.7527 * CHOOSE(CONTROL!$C$27, $C$14, 100%, $E$14)</f>
        <v>6.7526999999999999</v>
      </c>
      <c r="F360" s="59">
        <f>6.7527 * CHOOSE(CONTROL!$C$27, $C$14, 100%, $E$14)</f>
        <v>6.7526999999999999</v>
      </c>
      <c r="G360" s="59">
        <f>6.7596 * CHOOSE(CONTROL!$C$27, $C$14, 100%, $E$14)</f>
        <v>6.7595999999999998</v>
      </c>
      <c r="H360" s="59">
        <f>12.0217* CHOOSE(CONTROL!$C$27, $C$14, 100%, $E$14)</f>
        <v>12.021699999999999</v>
      </c>
      <c r="I360" s="59">
        <f>12.0286 * CHOOSE(CONTROL!$C$27, $C$14, 100%, $E$14)</f>
        <v>12.028600000000001</v>
      </c>
      <c r="J360" s="59">
        <f>12.0217 * CHOOSE(CONTROL!$C$27, $C$14, 100%, $E$14)</f>
        <v>12.021699999999999</v>
      </c>
      <c r="K360" s="59">
        <f>12.0286 * CHOOSE(CONTROL!$C$27, $C$14, 100%, $E$14)</f>
        <v>12.028600000000001</v>
      </c>
      <c r="L360" s="59">
        <f>6.7527 * CHOOSE(CONTROL!$C$27, $C$14, 100%, $E$14)</f>
        <v>6.7526999999999999</v>
      </c>
      <c r="M360" s="59">
        <f>6.7596 * CHOOSE(CONTROL!$C$27, $C$14, 100%, $E$14)</f>
        <v>6.7595999999999998</v>
      </c>
      <c r="N360" s="59">
        <f>6.7527 * CHOOSE(CONTROL!$C$27, $C$14, 100%, $E$14)</f>
        <v>6.7526999999999999</v>
      </c>
      <c r="O360" s="59">
        <f>6.7596 * CHOOSE(CONTROL!$C$27, $C$14, 100%, $E$14)</f>
        <v>6.7595999999999998</v>
      </c>
    </row>
    <row r="361" spans="1:15" ht="15">
      <c r="A361" s="11">
        <v>52079</v>
      </c>
      <c r="B361" s="58">
        <f>5.5149 * CHOOSE(CONTROL!$C$27, $C$14, 100%, $E$14)</f>
        <v>5.5148999999999999</v>
      </c>
      <c r="C361" s="58">
        <f>5.5149 * CHOOSE(CONTROL!$C$27, $C$14, 100%, $E$14)</f>
        <v>5.5148999999999999</v>
      </c>
      <c r="D361" s="58">
        <f>5.5205 * CHOOSE(CONTROL!$C$27, $C$14, 100%, $E$14)</f>
        <v>5.5205000000000002</v>
      </c>
      <c r="E361" s="59">
        <f>6.6583 * CHOOSE(CONTROL!$C$27, $C$14, 100%, $E$14)</f>
        <v>6.6582999999999997</v>
      </c>
      <c r="F361" s="59">
        <f>6.6583 * CHOOSE(CONTROL!$C$27, $C$14, 100%, $E$14)</f>
        <v>6.6582999999999997</v>
      </c>
      <c r="G361" s="59">
        <f>6.6652 * CHOOSE(CONTROL!$C$27, $C$14, 100%, $E$14)</f>
        <v>6.6651999999999996</v>
      </c>
      <c r="H361" s="59">
        <f>12.0467* CHOOSE(CONTROL!$C$27, $C$14, 100%, $E$14)</f>
        <v>12.0467</v>
      </c>
      <c r="I361" s="59">
        <f>12.0536 * CHOOSE(CONTROL!$C$27, $C$14, 100%, $E$14)</f>
        <v>12.053599999999999</v>
      </c>
      <c r="J361" s="59">
        <f>12.0467 * CHOOSE(CONTROL!$C$27, $C$14, 100%, $E$14)</f>
        <v>12.0467</v>
      </c>
      <c r="K361" s="59">
        <f>12.0536 * CHOOSE(CONTROL!$C$27, $C$14, 100%, $E$14)</f>
        <v>12.053599999999999</v>
      </c>
      <c r="L361" s="59">
        <f>6.6583 * CHOOSE(CONTROL!$C$27, $C$14, 100%, $E$14)</f>
        <v>6.6582999999999997</v>
      </c>
      <c r="M361" s="59">
        <f>6.6652 * CHOOSE(CONTROL!$C$27, $C$14, 100%, $E$14)</f>
        <v>6.6651999999999996</v>
      </c>
      <c r="N361" s="59">
        <f>6.6583 * CHOOSE(CONTROL!$C$27, $C$14, 100%, $E$14)</f>
        <v>6.6582999999999997</v>
      </c>
      <c r="O361" s="59">
        <f>6.6652 * CHOOSE(CONTROL!$C$27, $C$14, 100%, $E$14)</f>
        <v>6.6651999999999996</v>
      </c>
    </row>
    <row r="362" spans="1:15" ht="15">
      <c r="A362" s="11">
        <v>52110</v>
      </c>
      <c r="B362" s="58">
        <f>5.5119 * CHOOSE(CONTROL!$C$27, $C$14, 100%, $E$14)</f>
        <v>5.5118999999999998</v>
      </c>
      <c r="C362" s="58">
        <f>5.5119 * CHOOSE(CONTROL!$C$27, $C$14, 100%, $E$14)</f>
        <v>5.5118999999999998</v>
      </c>
      <c r="D362" s="58">
        <f>5.5175 * CHOOSE(CONTROL!$C$27, $C$14, 100%, $E$14)</f>
        <v>5.5175000000000001</v>
      </c>
      <c r="E362" s="59">
        <f>6.6452 * CHOOSE(CONTROL!$C$27, $C$14, 100%, $E$14)</f>
        <v>6.6452</v>
      </c>
      <c r="F362" s="59">
        <f>6.6452 * CHOOSE(CONTROL!$C$27, $C$14, 100%, $E$14)</f>
        <v>6.6452</v>
      </c>
      <c r="G362" s="59">
        <f>6.6521 * CHOOSE(CONTROL!$C$27, $C$14, 100%, $E$14)</f>
        <v>6.6520999999999999</v>
      </c>
      <c r="H362" s="59">
        <f>12.0718* CHOOSE(CONTROL!$C$27, $C$14, 100%, $E$14)</f>
        <v>12.0718</v>
      </c>
      <c r="I362" s="59">
        <f>12.0787 * CHOOSE(CONTROL!$C$27, $C$14, 100%, $E$14)</f>
        <v>12.0787</v>
      </c>
      <c r="J362" s="59">
        <f>12.0718 * CHOOSE(CONTROL!$C$27, $C$14, 100%, $E$14)</f>
        <v>12.0718</v>
      </c>
      <c r="K362" s="59">
        <f>12.0787 * CHOOSE(CONTROL!$C$27, $C$14, 100%, $E$14)</f>
        <v>12.0787</v>
      </c>
      <c r="L362" s="59">
        <f>6.6452 * CHOOSE(CONTROL!$C$27, $C$14, 100%, $E$14)</f>
        <v>6.6452</v>
      </c>
      <c r="M362" s="59">
        <f>6.6521 * CHOOSE(CONTROL!$C$27, $C$14, 100%, $E$14)</f>
        <v>6.6520999999999999</v>
      </c>
      <c r="N362" s="59">
        <f>6.6452 * CHOOSE(CONTROL!$C$27, $C$14, 100%, $E$14)</f>
        <v>6.6452</v>
      </c>
      <c r="O362" s="59">
        <f>6.6521 * CHOOSE(CONTROL!$C$27, $C$14, 100%, $E$14)</f>
        <v>6.6520999999999999</v>
      </c>
    </row>
    <row r="363" spans="1:15" ht="15">
      <c r="A363" s="11">
        <v>52140</v>
      </c>
      <c r="B363" s="58">
        <f>5.5119 * CHOOSE(CONTROL!$C$27, $C$14, 100%, $E$14)</f>
        <v>5.5118999999999998</v>
      </c>
      <c r="C363" s="58">
        <f>5.5119 * CHOOSE(CONTROL!$C$27, $C$14, 100%, $E$14)</f>
        <v>5.5118999999999998</v>
      </c>
      <c r="D363" s="58">
        <f>5.5159 * CHOOSE(CONTROL!$C$27, $C$14, 100%, $E$14)</f>
        <v>5.5159000000000002</v>
      </c>
      <c r="E363" s="59">
        <f>6.6758 * CHOOSE(CONTROL!$C$27, $C$14, 100%, $E$14)</f>
        <v>6.6757999999999997</v>
      </c>
      <c r="F363" s="59">
        <f>6.6758 * CHOOSE(CONTROL!$C$27, $C$14, 100%, $E$14)</f>
        <v>6.6757999999999997</v>
      </c>
      <c r="G363" s="59">
        <f>6.6807 * CHOOSE(CONTROL!$C$27, $C$14, 100%, $E$14)</f>
        <v>6.6806999999999999</v>
      </c>
      <c r="H363" s="59">
        <f>12.097* CHOOSE(CONTROL!$C$27, $C$14, 100%, $E$14)</f>
        <v>12.097</v>
      </c>
      <c r="I363" s="59">
        <f>12.1019 * CHOOSE(CONTROL!$C$27, $C$14, 100%, $E$14)</f>
        <v>12.101900000000001</v>
      </c>
      <c r="J363" s="59">
        <f>12.097 * CHOOSE(CONTROL!$C$27, $C$14, 100%, $E$14)</f>
        <v>12.097</v>
      </c>
      <c r="K363" s="59">
        <f>12.1019 * CHOOSE(CONTROL!$C$27, $C$14, 100%, $E$14)</f>
        <v>12.101900000000001</v>
      </c>
      <c r="L363" s="59">
        <f>6.6758 * CHOOSE(CONTROL!$C$27, $C$14, 100%, $E$14)</f>
        <v>6.6757999999999997</v>
      </c>
      <c r="M363" s="59">
        <f>6.6807 * CHOOSE(CONTROL!$C$27, $C$14, 100%, $E$14)</f>
        <v>6.6806999999999999</v>
      </c>
      <c r="N363" s="59">
        <f>6.6758 * CHOOSE(CONTROL!$C$27, $C$14, 100%, $E$14)</f>
        <v>6.6757999999999997</v>
      </c>
      <c r="O363" s="59">
        <f>6.6807 * CHOOSE(CONTROL!$C$27, $C$14, 100%, $E$14)</f>
        <v>6.6806999999999999</v>
      </c>
    </row>
    <row r="364" spans="1:15" ht="15">
      <c r="A364" s="11">
        <v>52171</v>
      </c>
      <c r="B364" s="58">
        <f>5.515 * CHOOSE(CONTROL!$C$27, $C$14, 100%, $E$14)</f>
        <v>5.5149999999999997</v>
      </c>
      <c r="C364" s="58">
        <f>5.515 * CHOOSE(CONTROL!$C$27, $C$14, 100%, $E$14)</f>
        <v>5.5149999999999997</v>
      </c>
      <c r="D364" s="58">
        <f>5.519 * CHOOSE(CONTROL!$C$27, $C$14, 100%, $E$14)</f>
        <v>5.5190000000000001</v>
      </c>
      <c r="E364" s="59">
        <f>6.6999 * CHOOSE(CONTROL!$C$27, $C$14, 100%, $E$14)</f>
        <v>6.6999000000000004</v>
      </c>
      <c r="F364" s="59">
        <f>6.6999 * CHOOSE(CONTROL!$C$27, $C$14, 100%, $E$14)</f>
        <v>6.6999000000000004</v>
      </c>
      <c r="G364" s="59">
        <f>6.7049 * CHOOSE(CONTROL!$C$27, $C$14, 100%, $E$14)</f>
        <v>6.7049000000000003</v>
      </c>
      <c r="H364" s="59">
        <f>12.1222* CHOOSE(CONTROL!$C$27, $C$14, 100%, $E$14)</f>
        <v>12.122199999999999</v>
      </c>
      <c r="I364" s="59">
        <f>12.1271 * CHOOSE(CONTROL!$C$27, $C$14, 100%, $E$14)</f>
        <v>12.1271</v>
      </c>
      <c r="J364" s="59">
        <f>12.1222 * CHOOSE(CONTROL!$C$27, $C$14, 100%, $E$14)</f>
        <v>12.122199999999999</v>
      </c>
      <c r="K364" s="59">
        <f>12.1271 * CHOOSE(CONTROL!$C$27, $C$14, 100%, $E$14)</f>
        <v>12.1271</v>
      </c>
      <c r="L364" s="59">
        <f>6.6999 * CHOOSE(CONTROL!$C$27, $C$14, 100%, $E$14)</f>
        <v>6.6999000000000004</v>
      </c>
      <c r="M364" s="59">
        <f>6.7049 * CHOOSE(CONTROL!$C$27, $C$14, 100%, $E$14)</f>
        <v>6.7049000000000003</v>
      </c>
      <c r="N364" s="59">
        <f>6.6999 * CHOOSE(CONTROL!$C$27, $C$14, 100%, $E$14)</f>
        <v>6.6999000000000004</v>
      </c>
      <c r="O364" s="59">
        <f>6.7049 * CHOOSE(CONTROL!$C$27, $C$14, 100%, $E$14)</f>
        <v>6.7049000000000003</v>
      </c>
    </row>
    <row r="365" spans="1:15" ht="15">
      <c r="A365" s="11">
        <v>52201</v>
      </c>
      <c r="B365" s="58">
        <f>5.515 * CHOOSE(CONTROL!$C$27, $C$14, 100%, $E$14)</f>
        <v>5.5149999999999997</v>
      </c>
      <c r="C365" s="58">
        <f>5.515 * CHOOSE(CONTROL!$C$27, $C$14, 100%, $E$14)</f>
        <v>5.5149999999999997</v>
      </c>
      <c r="D365" s="58">
        <f>5.519 * CHOOSE(CONTROL!$C$27, $C$14, 100%, $E$14)</f>
        <v>5.5190000000000001</v>
      </c>
      <c r="E365" s="59">
        <f>6.6449 * CHOOSE(CONTROL!$C$27, $C$14, 100%, $E$14)</f>
        <v>6.6448999999999998</v>
      </c>
      <c r="F365" s="59">
        <f>6.6449 * CHOOSE(CONTROL!$C$27, $C$14, 100%, $E$14)</f>
        <v>6.6448999999999998</v>
      </c>
      <c r="G365" s="59">
        <f>6.6498 * CHOOSE(CONTROL!$C$27, $C$14, 100%, $E$14)</f>
        <v>6.6497999999999999</v>
      </c>
      <c r="H365" s="59">
        <f>12.1474* CHOOSE(CONTROL!$C$27, $C$14, 100%, $E$14)</f>
        <v>12.147399999999999</v>
      </c>
      <c r="I365" s="59">
        <f>12.1523 * CHOOSE(CONTROL!$C$27, $C$14, 100%, $E$14)</f>
        <v>12.1523</v>
      </c>
      <c r="J365" s="59">
        <f>12.1474 * CHOOSE(CONTROL!$C$27, $C$14, 100%, $E$14)</f>
        <v>12.147399999999999</v>
      </c>
      <c r="K365" s="59">
        <f>12.1523 * CHOOSE(CONTROL!$C$27, $C$14, 100%, $E$14)</f>
        <v>12.1523</v>
      </c>
      <c r="L365" s="59">
        <f>6.6449 * CHOOSE(CONTROL!$C$27, $C$14, 100%, $E$14)</f>
        <v>6.6448999999999998</v>
      </c>
      <c r="M365" s="59">
        <f>6.6498 * CHOOSE(CONTROL!$C$27, $C$14, 100%, $E$14)</f>
        <v>6.6497999999999999</v>
      </c>
      <c r="N365" s="59">
        <f>6.6449 * CHOOSE(CONTROL!$C$27, $C$14, 100%, $E$14)</f>
        <v>6.6448999999999998</v>
      </c>
      <c r="O365" s="59">
        <f>6.6498 * CHOOSE(CONTROL!$C$27, $C$14, 100%, $E$14)</f>
        <v>6.6497999999999999</v>
      </c>
    </row>
    <row r="366" spans="1:15" ht="15">
      <c r="A366" s="11">
        <v>52232</v>
      </c>
      <c r="B366" s="58">
        <f>5.5637 * CHOOSE(CONTROL!$C$27, $C$14, 100%, $E$14)</f>
        <v>5.5636999999999999</v>
      </c>
      <c r="C366" s="58">
        <f>5.5637 * CHOOSE(CONTROL!$C$27, $C$14, 100%, $E$14)</f>
        <v>5.5636999999999999</v>
      </c>
      <c r="D366" s="58">
        <f>5.5677 * CHOOSE(CONTROL!$C$27, $C$14, 100%, $E$14)</f>
        <v>5.5677000000000003</v>
      </c>
      <c r="E366" s="59">
        <f>6.7392 * CHOOSE(CONTROL!$C$27, $C$14, 100%, $E$14)</f>
        <v>6.7392000000000003</v>
      </c>
      <c r="F366" s="59">
        <f>6.7392 * CHOOSE(CONTROL!$C$27, $C$14, 100%, $E$14)</f>
        <v>6.7392000000000003</v>
      </c>
      <c r="G366" s="59">
        <f>6.7441 * CHOOSE(CONTROL!$C$27, $C$14, 100%, $E$14)</f>
        <v>6.7441000000000004</v>
      </c>
      <c r="H366" s="59">
        <f>12.1727* CHOOSE(CONTROL!$C$27, $C$14, 100%, $E$14)</f>
        <v>12.172700000000001</v>
      </c>
      <c r="I366" s="59">
        <f>12.1777 * CHOOSE(CONTROL!$C$27, $C$14, 100%, $E$14)</f>
        <v>12.1777</v>
      </c>
      <c r="J366" s="59">
        <f>12.1727 * CHOOSE(CONTROL!$C$27, $C$14, 100%, $E$14)</f>
        <v>12.172700000000001</v>
      </c>
      <c r="K366" s="59">
        <f>12.1777 * CHOOSE(CONTROL!$C$27, $C$14, 100%, $E$14)</f>
        <v>12.1777</v>
      </c>
      <c r="L366" s="59">
        <f>6.7392 * CHOOSE(CONTROL!$C$27, $C$14, 100%, $E$14)</f>
        <v>6.7392000000000003</v>
      </c>
      <c r="M366" s="59">
        <f>6.7441 * CHOOSE(CONTROL!$C$27, $C$14, 100%, $E$14)</f>
        <v>6.7441000000000004</v>
      </c>
      <c r="N366" s="59">
        <f>6.7392 * CHOOSE(CONTROL!$C$27, $C$14, 100%, $E$14)</f>
        <v>6.7392000000000003</v>
      </c>
      <c r="O366" s="59">
        <f>6.7441 * CHOOSE(CONTROL!$C$27, $C$14, 100%, $E$14)</f>
        <v>6.7441000000000004</v>
      </c>
    </row>
    <row r="367" spans="1:15" ht="15">
      <c r="A367" s="11">
        <v>52263</v>
      </c>
      <c r="B367" s="58">
        <f>5.5606 * CHOOSE(CONTROL!$C$27, $C$14, 100%, $E$14)</f>
        <v>5.5606</v>
      </c>
      <c r="C367" s="58">
        <f>5.5606 * CHOOSE(CONTROL!$C$27, $C$14, 100%, $E$14)</f>
        <v>5.5606</v>
      </c>
      <c r="D367" s="58">
        <f>5.5646 * CHOOSE(CONTROL!$C$27, $C$14, 100%, $E$14)</f>
        <v>5.5646000000000004</v>
      </c>
      <c r="E367" s="59">
        <f>6.6302 * CHOOSE(CONTROL!$C$27, $C$14, 100%, $E$14)</f>
        <v>6.6302000000000003</v>
      </c>
      <c r="F367" s="59">
        <f>6.6302 * CHOOSE(CONTROL!$C$27, $C$14, 100%, $E$14)</f>
        <v>6.6302000000000003</v>
      </c>
      <c r="G367" s="59">
        <f>6.6351 * CHOOSE(CONTROL!$C$27, $C$14, 100%, $E$14)</f>
        <v>6.6351000000000004</v>
      </c>
      <c r="H367" s="59">
        <f>12.1981* CHOOSE(CONTROL!$C$27, $C$14, 100%, $E$14)</f>
        <v>12.1981</v>
      </c>
      <c r="I367" s="59">
        <f>12.203 * CHOOSE(CONTROL!$C$27, $C$14, 100%, $E$14)</f>
        <v>12.202999999999999</v>
      </c>
      <c r="J367" s="59">
        <f>12.1981 * CHOOSE(CONTROL!$C$27, $C$14, 100%, $E$14)</f>
        <v>12.1981</v>
      </c>
      <c r="K367" s="59">
        <f>12.203 * CHOOSE(CONTROL!$C$27, $C$14, 100%, $E$14)</f>
        <v>12.202999999999999</v>
      </c>
      <c r="L367" s="59">
        <f>6.6302 * CHOOSE(CONTROL!$C$27, $C$14, 100%, $E$14)</f>
        <v>6.6302000000000003</v>
      </c>
      <c r="M367" s="59">
        <f>6.6351 * CHOOSE(CONTROL!$C$27, $C$14, 100%, $E$14)</f>
        <v>6.6351000000000004</v>
      </c>
      <c r="N367" s="59">
        <f>6.6302 * CHOOSE(CONTROL!$C$27, $C$14, 100%, $E$14)</f>
        <v>6.6302000000000003</v>
      </c>
      <c r="O367" s="59">
        <f>6.6351 * CHOOSE(CONTROL!$C$27, $C$14, 100%, $E$14)</f>
        <v>6.6351000000000004</v>
      </c>
    </row>
    <row r="368" spans="1:15" ht="15">
      <c r="A368" s="11">
        <v>52291</v>
      </c>
      <c r="B368" s="58">
        <f>5.5576 * CHOOSE(CONTROL!$C$27, $C$14, 100%, $E$14)</f>
        <v>5.5575999999999999</v>
      </c>
      <c r="C368" s="58">
        <f>5.5576 * CHOOSE(CONTROL!$C$27, $C$14, 100%, $E$14)</f>
        <v>5.5575999999999999</v>
      </c>
      <c r="D368" s="58">
        <f>5.5616 * CHOOSE(CONTROL!$C$27, $C$14, 100%, $E$14)</f>
        <v>5.5616000000000003</v>
      </c>
      <c r="E368" s="59">
        <f>6.7123 * CHOOSE(CONTROL!$C$27, $C$14, 100%, $E$14)</f>
        <v>6.7122999999999999</v>
      </c>
      <c r="F368" s="59">
        <f>6.7123 * CHOOSE(CONTROL!$C$27, $C$14, 100%, $E$14)</f>
        <v>6.7122999999999999</v>
      </c>
      <c r="G368" s="59">
        <f>6.7173 * CHOOSE(CONTROL!$C$27, $C$14, 100%, $E$14)</f>
        <v>6.7172999999999998</v>
      </c>
      <c r="H368" s="59">
        <f>12.2235* CHOOSE(CONTROL!$C$27, $C$14, 100%, $E$14)</f>
        <v>12.2235</v>
      </c>
      <c r="I368" s="59">
        <f>12.2284 * CHOOSE(CONTROL!$C$27, $C$14, 100%, $E$14)</f>
        <v>12.228400000000001</v>
      </c>
      <c r="J368" s="59">
        <f>12.2235 * CHOOSE(CONTROL!$C$27, $C$14, 100%, $E$14)</f>
        <v>12.2235</v>
      </c>
      <c r="K368" s="59">
        <f>12.2284 * CHOOSE(CONTROL!$C$27, $C$14, 100%, $E$14)</f>
        <v>12.228400000000001</v>
      </c>
      <c r="L368" s="59">
        <f>6.7123 * CHOOSE(CONTROL!$C$27, $C$14, 100%, $E$14)</f>
        <v>6.7122999999999999</v>
      </c>
      <c r="M368" s="59">
        <f>6.7173 * CHOOSE(CONTROL!$C$27, $C$14, 100%, $E$14)</f>
        <v>6.7172999999999998</v>
      </c>
      <c r="N368" s="59">
        <f>6.7123 * CHOOSE(CONTROL!$C$27, $C$14, 100%, $E$14)</f>
        <v>6.7122999999999999</v>
      </c>
      <c r="O368" s="59">
        <f>6.7173 * CHOOSE(CONTROL!$C$27, $C$14, 100%, $E$14)</f>
        <v>6.7172999999999998</v>
      </c>
    </row>
    <row r="369" spans="1:15" ht="15">
      <c r="A369" s="11">
        <v>52322</v>
      </c>
      <c r="B369" s="58">
        <f>5.5566 * CHOOSE(CONTROL!$C$27, $C$14, 100%, $E$14)</f>
        <v>5.5566000000000004</v>
      </c>
      <c r="C369" s="58">
        <f>5.5566 * CHOOSE(CONTROL!$C$27, $C$14, 100%, $E$14)</f>
        <v>5.5566000000000004</v>
      </c>
      <c r="D369" s="58">
        <f>5.5606 * CHOOSE(CONTROL!$C$27, $C$14, 100%, $E$14)</f>
        <v>5.5606</v>
      </c>
      <c r="E369" s="59">
        <f>6.7986 * CHOOSE(CONTROL!$C$27, $C$14, 100%, $E$14)</f>
        <v>6.7986000000000004</v>
      </c>
      <c r="F369" s="59">
        <f>6.7986 * CHOOSE(CONTROL!$C$27, $C$14, 100%, $E$14)</f>
        <v>6.7986000000000004</v>
      </c>
      <c r="G369" s="59">
        <f>6.8035 * CHOOSE(CONTROL!$C$27, $C$14, 100%, $E$14)</f>
        <v>6.8034999999999997</v>
      </c>
      <c r="H369" s="59">
        <f>12.249* CHOOSE(CONTROL!$C$27, $C$14, 100%, $E$14)</f>
        <v>12.249000000000001</v>
      </c>
      <c r="I369" s="59">
        <f>12.2539 * CHOOSE(CONTROL!$C$27, $C$14, 100%, $E$14)</f>
        <v>12.2539</v>
      </c>
      <c r="J369" s="59">
        <f>12.249 * CHOOSE(CONTROL!$C$27, $C$14, 100%, $E$14)</f>
        <v>12.249000000000001</v>
      </c>
      <c r="K369" s="59">
        <f>12.2539 * CHOOSE(CONTROL!$C$27, $C$14, 100%, $E$14)</f>
        <v>12.2539</v>
      </c>
      <c r="L369" s="59">
        <f>6.7986 * CHOOSE(CONTROL!$C$27, $C$14, 100%, $E$14)</f>
        <v>6.7986000000000004</v>
      </c>
      <c r="M369" s="59">
        <f>6.8035 * CHOOSE(CONTROL!$C$27, $C$14, 100%, $E$14)</f>
        <v>6.8034999999999997</v>
      </c>
      <c r="N369" s="59">
        <f>6.7986 * CHOOSE(CONTROL!$C$27, $C$14, 100%, $E$14)</f>
        <v>6.7986000000000004</v>
      </c>
      <c r="O369" s="59">
        <f>6.8035 * CHOOSE(CONTROL!$C$27, $C$14, 100%, $E$14)</f>
        <v>6.8034999999999997</v>
      </c>
    </row>
    <row r="370" spans="1:15" ht="15">
      <c r="A370" s="11">
        <v>52352</v>
      </c>
      <c r="B370" s="58">
        <f>5.5566 * CHOOSE(CONTROL!$C$27, $C$14, 100%, $E$14)</f>
        <v>5.5566000000000004</v>
      </c>
      <c r="C370" s="58">
        <f>5.5566 * CHOOSE(CONTROL!$C$27, $C$14, 100%, $E$14)</f>
        <v>5.5566000000000004</v>
      </c>
      <c r="D370" s="58">
        <f>5.5622 * CHOOSE(CONTROL!$C$27, $C$14, 100%, $E$14)</f>
        <v>5.5621999999999998</v>
      </c>
      <c r="E370" s="59">
        <f>6.8326 * CHOOSE(CONTROL!$C$27, $C$14, 100%, $E$14)</f>
        <v>6.8326000000000002</v>
      </c>
      <c r="F370" s="59">
        <f>6.8326 * CHOOSE(CONTROL!$C$27, $C$14, 100%, $E$14)</f>
        <v>6.8326000000000002</v>
      </c>
      <c r="G370" s="59">
        <f>6.8395 * CHOOSE(CONTROL!$C$27, $C$14, 100%, $E$14)</f>
        <v>6.8395000000000001</v>
      </c>
      <c r="H370" s="59">
        <f>12.2745* CHOOSE(CONTROL!$C$27, $C$14, 100%, $E$14)</f>
        <v>12.2745</v>
      </c>
      <c r="I370" s="59">
        <f>12.2814 * CHOOSE(CONTROL!$C$27, $C$14, 100%, $E$14)</f>
        <v>12.2814</v>
      </c>
      <c r="J370" s="59">
        <f>12.2745 * CHOOSE(CONTROL!$C$27, $C$14, 100%, $E$14)</f>
        <v>12.2745</v>
      </c>
      <c r="K370" s="59">
        <f>12.2814 * CHOOSE(CONTROL!$C$27, $C$14, 100%, $E$14)</f>
        <v>12.2814</v>
      </c>
      <c r="L370" s="59">
        <f>6.8326 * CHOOSE(CONTROL!$C$27, $C$14, 100%, $E$14)</f>
        <v>6.8326000000000002</v>
      </c>
      <c r="M370" s="59">
        <f>6.8395 * CHOOSE(CONTROL!$C$27, $C$14, 100%, $E$14)</f>
        <v>6.8395000000000001</v>
      </c>
      <c r="N370" s="59">
        <f>6.8326 * CHOOSE(CONTROL!$C$27, $C$14, 100%, $E$14)</f>
        <v>6.8326000000000002</v>
      </c>
      <c r="O370" s="59">
        <f>6.8395 * CHOOSE(CONTROL!$C$27, $C$14, 100%, $E$14)</f>
        <v>6.8395000000000001</v>
      </c>
    </row>
    <row r="371" spans="1:15" ht="15">
      <c r="A371" s="11">
        <v>52383</v>
      </c>
      <c r="B371" s="58">
        <f>5.5627 * CHOOSE(CONTROL!$C$27, $C$14, 100%, $E$14)</f>
        <v>5.5627000000000004</v>
      </c>
      <c r="C371" s="58">
        <f>5.5627 * CHOOSE(CONTROL!$C$27, $C$14, 100%, $E$14)</f>
        <v>5.5627000000000004</v>
      </c>
      <c r="D371" s="58">
        <f>5.5683 * CHOOSE(CONTROL!$C$27, $C$14, 100%, $E$14)</f>
        <v>5.5682999999999998</v>
      </c>
      <c r="E371" s="59">
        <f>6.8029 * CHOOSE(CONTROL!$C$27, $C$14, 100%, $E$14)</f>
        <v>6.8029000000000002</v>
      </c>
      <c r="F371" s="59">
        <f>6.8029 * CHOOSE(CONTROL!$C$27, $C$14, 100%, $E$14)</f>
        <v>6.8029000000000002</v>
      </c>
      <c r="G371" s="59">
        <f>6.8098 * CHOOSE(CONTROL!$C$27, $C$14, 100%, $E$14)</f>
        <v>6.8098000000000001</v>
      </c>
      <c r="H371" s="59">
        <f>12.3001* CHOOSE(CONTROL!$C$27, $C$14, 100%, $E$14)</f>
        <v>12.3001</v>
      </c>
      <c r="I371" s="59">
        <f>12.3069 * CHOOSE(CONTROL!$C$27, $C$14, 100%, $E$14)</f>
        <v>12.306900000000001</v>
      </c>
      <c r="J371" s="59">
        <f>12.3001 * CHOOSE(CONTROL!$C$27, $C$14, 100%, $E$14)</f>
        <v>12.3001</v>
      </c>
      <c r="K371" s="59">
        <f>12.3069 * CHOOSE(CONTROL!$C$27, $C$14, 100%, $E$14)</f>
        <v>12.306900000000001</v>
      </c>
      <c r="L371" s="59">
        <f>6.8029 * CHOOSE(CONTROL!$C$27, $C$14, 100%, $E$14)</f>
        <v>6.8029000000000002</v>
      </c>
      <c r="M371" s="59">
        <f>6.8098 * CHOOSE(CONTROL!$C$27, $C$14, 100%, $E$14)</f>
        <v>6.8098000000000001</v>
      </c>
      <c r="N371" s="59">
        <f>6.8029 * CHOOSE(CONTROL!$C$27, $C$14, 100%, $E$14)</f>
        <v>6.8029000000000002</v>
      </c>
      <c r="O371" s="59">
        <f>6.8098 * CHOOSE(CONTROL!$C$27, $C$14, 100%, $E$14)</f>
        <v>6.8098000000000001</v>
      </c>
    </row>
    <row r="372" spans="1:15" ht="15">
      <c r="A372" s="11">
        <v>52413</v>
      </c>
      <c r="B372" s="58">
        <f>5.6532 * CHOOSE(CONTROL!$C$27, $C$14, 100%, $E$14)</f>
        <v>5.6532</v>
      </c>
      <c r="C372" s="58">
        <f>5.6532 * CHOOSE(CONTROL!$C$27, $C$14, 100%, $E$14)</f>
        <v>5.6532</v>
      </c>
      <c r="D372" s="58">
        <f>5.6588 * CHOOSE(CONTROL!$C$27, $C$14, 100%, $E$14)</f>
        <v>5.6588000000000003</v>
      </c>
      <c r="E372" s="59">
        <f>6.9177 * CHOOSE(CONTROL!$C$27, $C$14, 100%, $E$14)</f>
        <v>6.9177</v>
      </c>
      <c r="F372" s="59">
        <f>6.9177 * CHOOSE(CONTROL!$C$27, $C$14, 100%, $E$14)</f>
        <v>6.9177</v>
      </c>
      <c r="G372" s="59">
        <f>6.9246 * CHOOSE(CONTROL!$C$27, $C$14, 100%, $E$14)</f>
        <v>6.9245999999999999</v>
      </c>
      <c r="H372" s="59">
        <f>12.3257* CHOOSE(CONTROL!$C$27, $C$14, 100%, $E$14)</f>
        <v>12.325699999999999</v>
      </c>
      <c r="I372" s="59">
        <f>12.3326 * CHOOSE(CONTROL!$C$27, $C$14, 100%, $E$14)</f>
        <v>12.332599999999999</v>
      </c>
      <c r="J372" s="59">
        <f>12.3257 * CHOOSE(CONTROL!$C$27, $C$14, 100%, $E$14)</f>
        <v>12.325699999999999</v>
      </c>
      <c r="K372" s="59">
        <f>12.3326 * CHOOSE(CONTROL!$C$27, $C$14, 100%, $E$14)</f>
        <v>12.332599999999999</v>
      </c>
      <c r="L372" s="59">
        <f>6.9177 * CHOOSE(CONTROL!$C$27, $C$14, 100%, $E$14)</f>
        <v>6.9177</v>
      </c>
      <c r="M372" s="59">
        <f>6.9246 * CHOOSE(CONTROL!$C$27, $C$14, 100%, $E$14)</f>
        <v>6.9245999999999999</v>
      </c>
      <c r="N372" s="59">
        <f>6.9177 * CHOOSE(CONTROL!$C$27, $C$14, 100%, $E$14)</f>
        <v>6.9177</v>
      </c>
      <c r="O372" s="59">
        <f>6.9246 * CHOOSE(CONTROL!$C$27, $C$14, 100%, $E$14)</f>
        <v>6.9245999999999999</v>
      </c>
    </row>
    <row r="373" spans="1:15" ht="15">
      <c r="A373" s="11">
        <v>52444</v>
      </c>
      <c r="B373" s="58">
        <f>5.6599 * CHOOSE(CONTROL!$C$27, $C$14, 100%, $E$14)</f>
        <v>5.6599000000000004</v>
      </c>
      <c r="C373" s="58">
        <f>5.6599 * CHOOSE(CONTROL!$C$27, $C$14, 100%, $E$14)</f>
        <v>5.6599000000000004</v>
      </c>
      <c r="D373" s="58">
        <f>5.6655 * CHOOSE(CONTROL!$C$27, $C$14, 100%, $E$14)</f>
        <v>5.6654999999999998</v>
      </c>
      <c r="E373" s="59">
        <f>6.8205 * CHOOSE(CONTROL!$C$27, $C$14, 100%, $E$14)</f>
        <v>6.8205</v>
      </c>
      <c r="F373" s="59">
        <f>6.8205 * CHOOSE(CONTROL!$C$27, $C$14, 100%, $E$14)</f>
        <v>6.8205</v>
      </c>
      <c r="G373" s="59">
        <f>6.8274 * CHOOSE(CONTROL!$C$27, $C$14, 100%, $E$14)</f>
        <v>6.8273999999999999</v>
      </c>
      <c r="H373" s="59">
        <f>12.3514* CHOOSE(CONTROL!$C$27, $C$14, 100%, $E$14)</f>
        <v>12.3514</v>
      </c>
      <c r="I373" s="59">
        <f>12.3583 * CHOOSE(CONTROL!$C$27, $C$14, 100%, $E$14)</f>
        <v>12.3583</v>
      </c>
      <c r="J373" s="59">
        <f>12.3514 * CHOOSE(CONTROL!$C$27, $C$14, 100%, $E$14)</f>
        <v>12.3514</v>
      </c>
      <c r="K373" s="59">
        <f>12.3583 * CHOOSE(CONTROL!$C$27, $C$14, 100%, $E$14)</f>
        <v>12.3583</v>
      </c>
      <c r="L373" s="59">
        <f>6.8205 * CHOOSE(CONTROL!$C$27, $C$14, 100%, $E$14)</f>
        <v>6.8205</v>
      </c>
      <c r="M373" s="59">
        <f>6.8274 * CHOOSE(CONTROL!$C$27, $C$14, 100%, $E$14)</f>
        <v>6.8273999999999999</v>
      </c>
      <c r="N373" s="59">
        <f>6.8205 * CHOOSE(CONTROL!$C$27, $C$14, 100%, $E$14)</f>
        <v>6.8205</v>
      </c>
      <c r="O373" s="59">
        <f>6.8274 * CHOOSE(CONTROL!$C$27, $C$14, 100%, $E$14)</f>
        <v>6.8273999999999999</v>
      </c>
    </row>
    <row r="374" spans="1:15" ht="15">
      <c r="A374" s="11">
        <v>52475</v>
      </c>
      <c r="B374" s="58">
        <f>5.6569 * CHOOSE(CONTROL!$C$27, $C$14, 100%, $E$14)</f>
        <v>5.6569000000000003</v>
      </c>
      <c r="C374" s="58">
        <f>5.6569 * CHOOSE(CONTROL!$C$27, $C$14, 100%, $E$14)</f>
        <v>5.6569000000000003</v>
      </c>
      <c r="D374" s="58">
        <f>5.6625 * CHOOSE(CONTROL!$C$27, $C$14, 100%, $E$14)</f>
        <v>5.6624999999999996</v>
      </c>
      <c r="E374" s="59">
        <f>6.8071 * CHOOSE(CONTROL!$C$27, $C$14, 100%, $E$14)</f>
        <v>6.8071000000000002</v>
      </c>
      <c r="F374" s="59">
        <f>6.8071 * CHOOSE(CONTROL!$C$27, $C$14, 100%, $E$14)</f>
        <v>6.8071000000000002</v>
      </c>
      <c r="G374" s="59">
        <f>6.8139 * CHOOSE(CONTROL!$C$27, $C$14, 100%, $E$14)</f>
        <v>6.8139000000000003</v>
      </c>
      <c r="H374" s="59">
        <f>12.3771* CHOOSE(CONTROL!$C$27, $C$14, 100%, $E$14)</f>
        <v>12.3771</v>
      </c>
      <c r="I374" s="59">
        <f>12.384 * CHOOSE(CONTROL!$C$27, $C$14, 100%, $E$14)</f>
        <v>12.384</v>
      </c>
      <c r="J374" s="59">
        <f>12.3771 * CHOOSE(CONTROL!$C$27, $C$14, 100%, $E$14)</f>
        <v>12.3771</v>
      </c>
      <c r="K374" s="59">
        <f>12.384 * CHOOSE(CONTROL!$C$27, $C$14, 100%, $E$14)</f>
        <v>12.384</v>
      </c>
      <c r="L374" s="59">
        <f>6.8071 * CHOOSE(CONTROL!$C$27, $C$14, 100%, $E$14)</f>
        <v>6.8071000000000002</v>
      </c>
      <c r="M374" s="59">
        <f>6.8139 * CHOOSE(CONTROL!$C$27, $C$14, 100%, $E$14)</f>
        <v>6.8139000000000003</v>
      </c>
      <c r="N374" s="59">
        <f>6.8071 * CHOOSE(CONTROL!$C$27, $C$14, 100%, $E$14)</f>
        <v>6.8071000000000002</v>
      </c>
      <c r="O374" s="59">
        <f>6.8139 * CHOOSE(CONTROL!$C$27, $C$14, 100%, $E$14)</f>
        <v>6.8139000000000003</v>
      </c>
    </row>
    <row r="375" spans="1:15" ht="15">
      <c r="A375" s="11">
        <v>52505</v>
      </c>
      <c r="B375" s="58">
        <f>5.6574 * CHOOSE(CONTROL!$C$27, $C$14, 100%, $E$14)</f>
        <v>5.6574</v>
      </c>
      <c r="C375" s="58">
        <f>5.6574 * CHOOSE(CONTROL!$C$27, $C$14, 100%, $E$14)</f>
        <v>5.6574</v>
      </c>
      <c r="D375" s="58">
        <f>5.6614 * CHOOSE(CONTROL!$C$27, $C$14, 100%, $E$14)</f>
        <v>5.6614000000000004</v>
      </c>
      <c r="E375" s="59">
        <f>6.8389 * CHOOSE(CONTROL!$C$27, $C$14, 100%, $E$14)</f>
        <v>6.8388999999999998</v>
      </c>
      <c r="F375" s="59">
        <f>6.8389 * CHOOSE(CONTROL!$C$27, $C$14, 100%, $E$14)</f>
        <v>6.8388999999999998</v>
      </c>
      <c r="G375" s="59">
        <f>6.8438 * CHOOSE(CONTROL!$C$27, $C$14, 100%, $E$14)</f>
        <v>6.8437999999999999</v>
      </c>
      <c r="H375" s="59">
        <f>12.4029* CHOOSE(CONTROL!$C$27, $C$14, 100%, $E$14)</f>
        <v>12.402900000000001</v>
      </c>
      <c r="I375" s="59">
        <f>12.4078 * CHOOSE(CONTROL!$C$27, $C$14, 100%, $E$14)</f>
        <v>12.4078</v>
      </c>
      <c r="J375" s="59">
        <f>12.4029 * CHOOSE(CONTROL!$C$27, $C$14, 100%, $E$14)</f>
        <v>12.402900000000001</v>
      </c>
      <c r="K375" s="59">
        <f>12.4078 * CHOOSE(CONTROL!$C$27, $C$14, 100%, $E$14)</f>
        <v>12.4078</v>
      </c>
      <c r="L375" s="59">
        <f>6.8389 * CHOOSE(CONTROL!$C$27, $C$14, 100%, $E$14)</f>
        <v>6.8388999999999998</v>
      </c>
      <c r="M375" s="59">
        <f>6.8438 * CHOOSE(CONTROL!$C$27, $C$14, 100%, $E$14)</f>
        <v>6.8437999999999999</v>
      </c>
      <c r="N375" s="59">
        <f>6.8389 * CHOOSE(CONTROL!$C$27, $C$14, 100%, $E$14)</f>
        <v>6.8388999999999998</v>
      </c>
      <c r="O375" s="59">
        <f>6.8438 * CHOOSE(CONTROL!$C$27, $C$14, 100%, $E$14)</f>
        <v>6.8437999999999999</v>
      </c>
    </row>
    <row r="376" spans="1:15" ht="15">
      <c r="A376" s="11">
        <v>52536</v>
      </c>
      <c r="B376" s="58">
        <f>5.6605 * CHOOSE(CONTROL!$C$27, $C$14, 100%, $E$14)</f>
        <v>5.6604999999999999</v>
      </c>
      <c r="C376" s="58">
        <f>5.6605 * CHOOSE(CONTROL!$C$27, $C$14, 100%, $E$14)</f>
        <v>5.6604999999999999</v>
      </c>
      <c r="D376" s="58">
        <f>5.6645 * CHOOSE(CONTROL!$C$27, $C$14, 100%, $E$14)</f>
        <v>5.6645000000000003</v>
      </c>
      <c r="E376" s="59">
        <f>6.8636 * CHOOSE(CONTROL!$C$27, $C$14, 100%, $E$14)</f>
        <v>6.8635999999999999</v>
      </c>
      <c r="F376" s="59">
        <f>6.8636 * CHOOSE(CONTROL!$C$27, $C$14, 100%, $E$14)</f>
        <v>6.8635999999999999</v>
      </c>
      <c r="G376" s="59">
        <f>6.8686 * CHOOSE(CONTROL!$C$27, $C$14, 100%, $E$14)</f>
        <v>6.8685999999999998</v>
      </c>
      <c r="H376" s="59">
        <f>12.4287* CHOOSE(CONTROL!$C$27, $C$14, 100%, $E$14)</f>
        <v>12.428699999999999</v>
      </c>
      <c r="I376" s="59">
        <f>12.4336 * CHOOSE(CONTROL!$C$27, $C$14, 100%, $E$14)</f>
        <v>12.4336</v>
      </c>
      <c r="J376" s="59">
        <f>12.4287 * CHOOSE(CONTROL!$C$27, $C$14, 100%, $E$14)</f>
        <v>12.428699999999999</v>
      </c>
      <c r="K376" s="59">
        <f>12.4336 * CHOOSE(CONTROL!$C$27, $C$14, 100%, $E$14)</f>
        <v>12.4336</v>
      </c>
      <c r="L376" s="59">
        <f>6.8636 * CHOOSE(CONTROL!$C$27, $C$14, 100%, $E$14)</f>
        <v>6.8635999999999999</v>
      </c>
      <c r="M376" s="59">
        <f>6.8686 * CHOOSE(CONTROL!$C$27, $C$14, 100%, $E$14)</f>
        <v>6.8685999999999998</v>
      </c>
      <c r="N376" s="59">
        <f>6.8636 * CHOOSE(CONTROL!$C$27, $C$14, 100%, $E$14)</f>
        <v>6.8635999999999999</v>
      </c>
      <c r="O376" s="59">
        <f>6.8686 * CHOOSE(CONTROL!$C$27, $C$14, 100%, $E$14)</f>
        <v>6.8685999999999998</v>
      </c>
    </row>
    <row r="377" spans="1:15" ht="15">
      <c r="A377" s="11">
        <v>52566</v>
      </c>
      <c r="B377" s="58">
        <f>5.6605 * CHOOSE(CONTROL!$C$27, $C$14, 100%, $E$14)</f>
        <v>5.6604999999999999</v>
      </c>
      <c r="C377" s="58">
        <f>5.6605 * CHOOSE(CONTROL!$C$27, $C$14, 100%, $E$14)</f>
        <v>5.6604999999999999</v>
      </c>
      <c r="D377" s="58">
        <f>5.6645 * CHOOSE(CONTROL!$C$27, $C$14, 100%, $E$14)</f>
        <v>5.6645000000000003</v>
      </c>
      <c r="E377" s="59">
        <f>6.8071 * CHOOSE(CONTROL!$C$27, $C$14, 100%, $E$14)</f>
        <v>6.8071000000000002</v>
      </c>
      <c r="F377" s="59">
        <f>6.8071 * CHOOSE(CONTROL!$C$27, $C$14, 100%, $E$14)</f>
        <v>6.8071000000000002</v>
      </c>
      <c r="G377" s="59">
        <f>6.812 * CHOOSE(CONTROL!$C$27, $C$14, 100%, $E$14)</f>
        <v>6.8120000000000003</v>
      </c>
      <c r="H377" s="59">
        <f>12.4546* CHOOSE(CONTROL!$C$27, $C$14, 100%, $E$14)</f>
        <v>12.454599999999999</v>
      </c>
      <c r="I377" s="59">
        <f>12.4595 * CHOOSE(CONTROL!$C$27, $C$14, 100%, $E$14)</f>
        <v>12.4595</v>
      </c>
      <c r="J377" s="59">
        <f>12.4546 * CHOOSE(CONTROL!$C$27, $C$14, 100%, $E$14)</f>
        <v>12.454599999999999</v>
      </c>
      <c r="K377" s="59">
        <f>12.4595 * CHOOSE(CONTROL!$C$27, $C$14, 100%, $E$14)</f>
        <v>12.4595</v>
      </c>
      <c r="L377" s="59">
        <f>6.8071 * CHOOSE(CONTROL!$C$27, $C$14, 100%, $E$14)</f>
        <v>6.8071000000000002</v>
      </c>
      <c r="M377" s="59">
        <f>6.812 * CHOOSE(CONTROL!$C$27, $C$14, 100%, $E$14)</f>
        <v>6.8120000000000003</v>
      </c>
      <c r="N377" s="59">
        <f>6.8071 * CHOOSE(CONTROL!$C$27, $C$14, 100%, $E$14)</f>
        <v>6.8071000000000002</v>
      </c>
      <c r="O377" s="59">
        <f>6.812 * CHOOSE(CONTROL!$C$27, $C$14, 100%, $E$14)</f>
        <v>6.8120000000000003</v>
      </c>
    </row>
    <row r="378" spans="1:15" ht="15">
      <c r="A378" s="11">
        <v>52597</v>
      </c>
      <c r="B378" s="58">
        <f>5.7103 * CHOOSE(CONTROL!$C$27, $C$14, 100%, $E$14)</f>
        <v>5.7103000000000002</v>
      </c>
      <c r="C378" s="58">
        <f>5.7103 * CHOOSE(CONTROL!$C$27, $C$14, 100%, $E$14)</f>
        <v>5.7103000000000002</v>
      </c>
      <c r="D378" s="58">
        <f>5.7143 * CHOOSE(CONTROL!$C$27, $C$14, 100%, $E$14)</f>
        <v>5.7142999999999997</v>
      </c>
      <c r="E378" s="59">
        <f>6.9038 * CHOOSE(CONTROL!$C$27, $C$14, 100%, $E$14)</f>
        <v>6.9038000000000004</v>
      </c>
      <c r="F378" s="59">
        <f>6.9038 * CHOOSE(CONTROL!$C$27, $C$14, 100%, $E$14)</f>
        <v>6.9038000000000004</v>
      </c>
      <c r="G378" s="59">
        <f>6.9087 * CHOOSE(CONTROL!$C$27, $C$14, 100%, $E$14)</f>
        <v>6.9086999999999996</v>
      </c>
      <c r="H378" s="59">
        <f>12.4806* CHOOSE(CONTROL!$C$27, $C$14, 100%, $E$14)</f>
        <v>12.480600000000001</v>
      </c>
      <c r="I378" s="59">
        <f>12.4855 * CHOOSE(CONTROL!$C$27, $C$14, 100%, $E$14)</f>
        <v>12.4855</v>
      </c>
      <c r="J378" s="59">
        <f>12.4806 * CHOOSE(CONTROL!$C$27, $C$14, 100%, $E$14)</f>
        <v>12.480600000000001</v>
      </c>
      <c r="K378" s="59">
        <f>12.4855 * CHOOSE(CONTROL!$C$27, $C$14, 100%, $E$14)</f>
        <v>12.4855</v>
      </c>
      <c r="L378" s="59">
        <f>6.9038 * CHOOSE(CONTROL!$C$27, $C$14, 100%, $E$14)</f>
        <v>6.9038000000000004</v>
      </c>
      <c r="M378" s="59">
        <f>6.9087 * CHOOSE(CONTROL!$C$27, $C$14, 100%, $E$14)</f>
        <v>6.9086999999999996</v>
      </c>
      <c r="N378" s="59">
        <f>6.9038 * CHOOSE(CONTROL!$C$27, $C$14, 100%, $E$14)</f>
        <v>6.9038000000000004</v>
      </c>
      <c r="O378" s="59">
        <f>6.9087 * CHOOSE(CONTROL!$C$27, $C$14, 100%, $E$14)</f>
        <v>6.9086999999999996</v>
      </c>
    </row>
    <row r="379" spans="1:15" ht="15">
      <c r="A379" s="11">
        <v>52628</v>
      </c>
      <c r="B379" s="58">
        <f>5.7073 * CHOOSE(CONTROL!$C$27, $C$14, 100%, $E$14)</f>
        <v>5.7073</v>
      </c>
      <c r="C379" s="58">
        <f>5.7073 * CHOOSE(CONTROL!$C$27, $C$14, 100%, $E$14)</f>
        <v>5.7073</v>
      </c>
      <c r="D379" s="58">
        <f>5.7113 * CHOOSE(CONTROL!$C$27, $C$14, 100%, $E$14)</f>
        <v>5.7112999999999996</v>
      </c>
      <c r="E379" s="59">
        <f>6.7917 * CHOOSE(CONTROL!$C$27, $C$14, 100%, $E$14)</f>
        <v>6.7916999999999996</v>
      </c>
      <c r="F379" s="59">
        <f>6.7917 * CHOOSE(CONTROL!$C$27, $C$14, 100%, $E$14)</f>
        <v>6.7916999999999996</v>
      </c>
      <c r="G379" s="59">
        <f>6.7967 * CHOOSE(CONTROL!$C$27, $C$14, 100%, $E$14)</f>
        <v>6.7967000000000004</v>
      </c>
      <c r="H379" s="59">
        <f>12.5066* CHOOSE(CONTROL!$C$27, $C$14, 100%, $E$14)</f>
        <v>12.506600000000001</v>
      </c>
      <c r="I379" s="59">
        <f>12.5115 * CHOOSE(CONTROL!$C$27, $C$14, 100%, $E$14)</f>
        <v>12.5115</v>
      </c>
      <c r="J379" s="59">
        <f>12.5066 * CHOOSE(CONTROL!$C$27, $C$14, 100%, $E$14)</f>
        <v>12.506600000000001</v>
      </c>
      <c r="K379" s="59">
        <f>12.5115 * CHOOSE(CONTROL!$C$27, $C$14, 100%, $E$14)</f>
        <v>12.5115</v>
      </c>
      <c r="L379" s="59">
        <f>6.7917 * CHOOSE(CONTROL!$C$27, $C$14, 100%, $E$14)</f>
        <v>6.7916999999999996</v>
      </c>
      <c r="M379" s="59">
        <f>6.7967 * CHOOSE(CONTROL!$C$27, $C$14, 100%, $E$14)</f>
        <v>6.7967000000000004</v>
      </c>
      <c r="N379" s="59">
        <f>6.7917 * CHOOSE(CONTROL!$C$27, $C$14, 100%, $E$14)</f>
        <v>6.7916999999999996</v>
      </c>
      <c r="O379" s="59">
        <f>6.7967 * CHOOSE(CONTROL!$C$27, $C$14, 100%, $E$14)</f>
        <v>6.7967000000000004</v>
      </c>
    </row>
    <row r="380" spans="1:15" ht="15">
      <c r="A380" s="11">
        <v>52657</v>
      </c>
      <c r="B380" s="58">
        <f>5.7042 * CHOOSE(CONTROL!$C$27, $C$14, 100%, $E$14)</f>
        <v>5.7042000000000002</v>
      </c>
      <c r="C380" s="58">
        <f>5.7042 * CHOOSE(CONTROL!$C$27, $C$14, 100%, $E$14)</f>
        <v>5.7042000000000002</v>
      </c>
      <c r="D380" s="58">
        <f>5.7082 * CHOOSE(CONTROL!$C$27, $C$14, 100%, $E$14)</f>
        <v>5.7081999999999997</v>
      </c>
      <c r="E380" s="59">
        <f>6.8763 * CHOOSE(CONTROL!$C$27, $C$14, 100%, $E$14)</f>
        <v>6.8762999999999996</v>
      </c>
      <c r="F380" s="59">
        <f>6.8763 * CHOOSE(CONTROL!$C$27, $C$14, 100%, $E$14)</f>
        <v>6.8762999999999996</v>
      </c>
      <c r="G380" s="59">
        <f>6.8812 * CHOOSE(CONTROL!$C$27, $C$14, 100%, $E$14)</f>
        <v>6.8811999999999998</v>
      </c>
      <c r="H380" s="59">
        <f>12.5326* CHOOSE(CONTROL!$C$27, $C$14, 100%, $E$14)</f>
        <v>12.5326</v>
      </c>
      <c r="I380" s="59">
        <f>12.5375 * CHOOSE(CONTROL!$C$27, $C$14, 100%, $E$14)</f>
        <v>12.5375</v>
      </c>
      <c r="J380" s="59">
        <f>12.5326 * CHOOSE(CONTROL!$C$27, $C$14, 100%, $E$14)</f>
        <v>12.5326</v>
      </c>
      <c r="K380" s="59">
        <f>12.5375 * CHOOSE(CONTROL!$C$27, $C$14, 100%, $E$14)</f>
        <v>12.5375</v>
      </c>
      <c r="L380" s="59">
        <f>6.8763 * CHOOSE(CONTROL!$C$27, $C$14, 100%, $E$14)</f>
        <v>6.8762999999999996</v>
      </c>
      <c r="M380" s="59">
        <f>6.8812 * CHOOSE(CONTROL!$C$27, $C$14, 100%, $E$14)</f>
        <v>6.8811999999999998</v>
      </c>
      <c r="N380" s="59">
        <f>6.8763 * CHOOSE(CONTROL!$C$27, $C$14, 100%, $E$14)</f>
        <v>6.8762999999999996</v>
      </c>
      <c r="O380" s="59">
        <f>6.8812 * CHOOSE(CONTROL!$C$27, $C$14, 100%, $E$14)</f>
        <v>6.8811999999999998</v>
      </c>
    </row>
    <row r="381" spans="1:15" ht="15">
      <c r="A381" s="11">
        <v>52688</v>
      </c>
      <c r="B381" s="58">
        <f>5.7034 * CHOOSE(CONTROL!$C$27, $C$14, 100%, $E$14)</f>
        <v>5.7034000000000002</v>
      </c>
      <c r="C381" s="58">
        <f>5.7034 * CHOOSE(CONTROL!$C$27, $C$14, 100%, $E$14)</f>
        <v>5.7034000000000002</v>
      </c>
      <c r="D381" s="58">
        <f>5.7074 * CHOOSE(CONTROL!$C$27, $C$14, 100%, $E$14)</f>
        <v>5.7073999999999998</v>
      </c>
      <c r="E381" s="59">
        <f>6.9651 * CHOOSE(CONTROL!$C$27, $C$14, 100%, $E$14)</f>
        <v>6.9650999999999996</v>
      </c>
      <c r="F381" s="59">
        <f>6.9651 * CHOOSE(CONTROL!$C$27, $C$14, 100%, $E$14)</f>
        <v>6.9650999999999996</v>
      </c>
      <c r="G381" s="59">
        <f>6.97 * CHOOSE(CONTROL!$C$27, $C$14, 100%, $E$14)</f>
        <v>6.97</v>
      </c>
      <c r="H381" s="59">
        <f>12.5587* CHOOSE(CONTROL!$C$27, $C$14, 100%, $E$14)</f>
        <v>12.5587</v>
      </c>
      <c r="I381" s="59">
        <f>12.5636 * CHOOSE(CONTROL!$C$27, $C$14, 100%, $E$14)</f>
        <v>12.563599999999999</v>
      </c>
      <c r="J381" s="59">
        <f>12.5587 * CHOOSE(CONTROL!$C$27, $C$14, 100%, $E$14)</f>
        <v>12.5587</v>
      </c>
      <c r="K381" s="59">
        <f>12.5636 * CHOOSE(CONTROL!$C$27, $C$14, 100%, $E$14)</f>
        <v>12.563599999999999</v>
      </c>
      <c r="L381" s="59">
        <f>6.9651 * CHOOSE(CONTROL!$C$27, $C$14, 100%, $E$14)</f>
        <v>6.9650999999999996</v>
      </c>
      <c r="M381" s="59">
        <f>6.97 * CHOOSE(CONTROL!$C$27, $C$14, 100%, $E$14)</f>
        <v>6.97</v>
      </c>
      <c r="N381" s="59">
        <f>6.9651 * CHOOSE(CONTROL!$C$27, $C$14, 100%, $E$14)</f>
        <v>6.9650999999999996</v>
      </c>
      <c r="O381" s="59">
        <f>6.97 * CHOOSE(CONTROL!$C$27, $C$14, 100%, $E$14)</f>
        <v>6.97</v>
      </c>
    </row>
    <row r="382" spans="1:15" ht="15">
      <c r="A382" s="11">
        <v>52718</v>
      </c>
      <c r="B382" s="58">
        <f>5.7034 * CHOOSE(CONTROL!$C$27, $C$14, 100%, $E$14)</f>
        <v>5.7034000000000002</v>
      </c>
      <c r="C382" s="58">
        <f>5.7034 * CHOOSE(CONTROL!$C$27, $C$14, 100%, $E$14)</f>
        <v>5.7034000000000002</v>
      </c>
      <c r="D382" s="58">
        <f>5.709 * CHOOSE(CONTROL!$C$27, $C$14, 100%, $E$14)</f>
        <v>5.7089999999999996</v>
      </c>
      <c r="E382" s="59">
        <f>7 * CHOOSE(CONTROL!$C$27, $C$14, 100%, $E$14)</f>
        <v>7</v>
      </c>
      <c r="F382" s="59">
        <f>7 * CHOOSE(CONTROL!$C$27, $C$14, 100%, $E$14)</f>
        <v>7</v>
      </c>
      <c r="G382" s="59">
        <f>7.0069 * CHOOSE(CONTROL!$C$27, $C$14, 100%, $E$14)</f>
        <v>7.0068999999999999</v>
      </c>
      <c r="H382" s="59">
        <f>12.5849* CHOOSE(CONTROL!$C$27, $C$14, 100%, $E$14)</f>
        <v>12.584899999999999</v>
      </c>
      <c r="I382" s="59">
        <f>12.5918 * CHOOSE(CONTROL!$C$27, $C$14, 100%, $E$14)</f>
        <v>12.591799999999999</v>
      </c>
      <c r="J382" s="59">
        <f>12.5849 * CHOOSE(CONTROL!$C$27, $C$14, 100%, $E$14)</f>
        <v>12.584899999999999</v>
      </c>
      <c r="K382" s="59">
        <f>12.5918 * CHOOSE(CONTROL!$C$27, $C$14, 100%, $E$14)</f>
        <v>12.591799999999999</v>
      </c>
      <c r="L382" s="59">
        <f>7 * CHOOSE(CONTROL!$C$27, $C$14, 100%, $E$14)</f>
        <v>7</v>
      </c>
      <c r="M382" s="59">
        <f>7.0069 * CHOOSE(CONTROL!$C$27, $C$14, 100%, $E$14)</f>
        <v>7.0068999999999999</v>
      </c>
      <c r="N382" s="59">
        <f>7 * CHOOSE(CONTROL!$C$27, $C$14, 100%, $E$14)</f>
        <v>7</v>
      </c>
      <c r="O382" s="59">
        <f>7.0069 * CHOOSE(CONTROL!$C$27, $C$14, 100%, $E$14)</f>
        <v>7.0068999999999999</v>
      </c>
    </row>
    <row r="383" spans="1:15" ht="15">
      <c r="A383" s="11">
        <v>52749</v>
      </c>
      <c r="B383" s="58">
        <f>5.7094 * CHOOSE(CONTROL!$C$27, $C$14, 100%, $E$14)</f>
        <v>5.7093999999999996</v>
      </c>
      <c r="C383" s="58">
        <f>5.7094 * CHOOSE(CONTROL!$C$27, $C$14, 100%, $E$14)</f>
        <v>5.7093999999999996</v>
      </c>
      <c r="D383" s="58">
        <f>5.7151 * CHOOSE(CONTROL!$C$27, $C$14, 100%, $E$14)</f>
        <v>5.7150999999999996</v>
      </c>
      <c r="E383" s="59">
        <f>6.9693 * CHOOSE(CONTROL!$C$27, $C$14, 100%, $E$14)</f>
        <v>6.9692999999999996</v>
      </c>
      <c r="F383" s="59">
        <f>6.9693 * CHOOSE(CONTROL!$C$27, $C$14, 100%, $E$14)</f>
        <v>6.9692999999999996</v>
      </c>
      <c r="G383" s="59">
        <f>6.9762 * CHOOSE(CONTROL!$C$27, $C$14, 100%, $E$14)</f>
        <v>6.9762000000000004</v>
      </c>
      <c r="H383" s="59">
        <f>12.6111* CHOOSE(CONTROL!$C$27, $C$14, 100%, $E$14)</f>
        <v>12.6111</v>
      </c>
      <c r="I383" s="59">
        <f>12.618 * CHOOSE(CONTROL!$C$27, $C$14, 100%, $E$14)</f>
        <v>12.618</v>
      </c>
      <c r="J383" s="59">
        <f>12.6111 * CHOOSE(CONTROL!$C$27, $C$14, 100%, $E$14)</f>
        <v>12.6111</v>
      </c>
      <c r="K383" s="59">
        <f>12.618 * CHOOSE(CONTROL!$C$27, $C$14, 100%, $E$14)</f>
        <v>12.618</v>
      </c>
      <c r="L383" s="59">
        <f>6.9693 * CHOOSE(CONTROL!$C$27, $C$14, 100%, $E$14)</f>
        <v>6.9692999999999996</v>
      </c>
      <c r="M383" s="59">
        <f>6.9762 * CHOOSE(CONTROL!$C$27, $C$14, 100%, $E$14)</f>
        <v>6.9762000000000004</v>
      </c>
      <c r="N383" s="59">
        <f>6.9693 * CHOOSE(CONTROL!$C$27, $C$14, 100%, $E$14)</f>
        <v>6.9692999999999996</v>
      </c>
      <c r="O383" s="59">
        <f>6.9762 * CHOOSE(CONTROL!$C$27, $C$14, 100%, $E$14)</f>
        <v>6.9762000000000004</v>
      </c>
    </row>
    <row r="384" spans="1:15" ht="15">
      <c r="A384" s="11">
        <v>52779</v>
      </c>
      <c r="B384" s="58">
        <f>5.8021 * CHOOSE(CONTROL!$C$27, $C$14, 100%, $E$14)</f>
        <v>5.8021000000000003</v>
      </c>
      <c r="C384" s="58">
        <f>5.8021 * CHOOSE(CONTROL!$C$27, $C$14, 100%, $E$14)</f>
        <v>5.8021000000000003</v>
      </c>
      <c r="D384" s="58">
        <f>5.8078 * CHOOSE(CONTROL!$C$27, $C$14, 100%, $E$14)</f>
        <v>5.8078000000000003</v>
      </c>
      <c r="E384" s="59">
        <f>7.0867 * CHOOSE(CONTROL!$C$27, $C$14, 100%, $E$14)</f>
        <v>7.0867000000000004</v>
      </c>
      <c r="F384" s="59">
        <f>7.0867 * CHOOSE(CONTROL!$C$27, $C$14, 100%, $E$14)</f>
        <v>7.0867000000000004</v>
      </c>
      <c r="G384" s="59">
        <f>7.0936 * CHOOSE(CONTROL!$C$27, $C$14, 100%, $E$14)</f>
        <v>7.0936000000000003</v>
      </c>
      <c r="H384" s="59">
        <f>12.6374* CHOOSE(CONTROL!$C$27, $C$14, 100%, $E$14)</f>
        <v>12.6374</v>
      </c>
      <c r="I384" s="59">
        <f>12.6443 * CHOOSE(CONTROL!$C$27, $C$14, 100%, $E$14)</f>
        <v>12.644299999999999</v>
      </c>
      <c r="J384" s="59">
        <f>12.6374 * CHOOSE(CONTROL!$C$27, $C$14, 100%, $E$14)</f>
        <v>12.6374</v>
      </c>
      <c r="K384" s="59">
        <f>12.6443 * CHOOSE(CONTROL!$C$27, $C$14, 100%, $E$14)</f>
        <v>12.644299999999999</v>
      </c>
      <c r="L384" s="59">
        <f>7.0867 * CHOOSE(CONTROL!$C$27, $C$14, 100%, $E$14)</f>
        <v>7.0867000000000004</v>
      </c>
      <c r="M384" s="59">
        <f>7.0936 * CHOOSE(CONTROL!$C$27, $C$14, 100%, $E$14)</f>
        <v>7.0936000000000003</v>
      </c>
      <c r="N384" s="59">
        <f>7.0867 * CHOOSE(CONTROL!$C$27, $C$14, 100%, $E$14)</f>
        <v>7.0867000000000004</v>
      </c>
      <c r="O384" s="59">
        <f>7.0936 * CHOOSE(CONTROL!$C$27, $C$14, 100%, $E$14)</f>
        <v>7.0936000000000003</v>
      </c>
    </row>
    <row r="385" spans="1:15" ht="15">
      <c r="A385" s="11">
        <v>52810</v>
      </c>
      <c r="B385" s="58">
        <f>5.8088 * CHOOSE(CONTROL!$C$27, $C$14, 100%, $E$14)</f>
        <v>5.8087999999999997</v>
      </c>
      <c r="C385" s="58">
        <f>5.8088 * CHOOSE(CONTROL!$C$27, $C$14, 100%, $E$14)</f>
        <v>5.8087999999999997</v>
      </c>
      <c r="D385" s="58">
        <f>5.8145 * CHOOSE(CONTROL!$C$27, $C$14, 100%, $E$14)</f>
        <v>5.8144999999999998</v>
      </c>
      <c r="E385" s="59">
        <f>6.9867 * CHOOSE(CONTROL!$C$27, $C$14, 100%, $E$14)</f>
        <v>6.9866999999999999</v>
      </c>
      <c r="F385" s="59">
        <f>6.9867 * CHOOSE(CONTROL!$C$27, $C$14, 100%, $E$14)</f>
        <v>6.9866999999999999</v>
      </c>
      <c r="G385" s="59">
        <f>6.9936 * CHOOSE(CONTROL!$C$27, $C$14, 100%, $E$14)</f>
        <v>6.9935999999999998</v>
      </c>
      <c r="H385" s="59">
        <f>12.6637* CHOOSE(CONTROL!$C$27, $C$14, 100%, $E$14)</f>
        <v>12.6637</v>
      </c>
      <c r="I385" s="59">
        <f>12.6706 * CHOOSE(CONTROL!$C$27, $C$14, 100%, $E$14)</f>
        <v>12.6706</v>
      </c>
      <c r="J385" s="59">
        <f>12.6637 * CHOOSE(CONTROL!$C$27, $C$14, 100%, $E$14)</f>
        <v>12.6637</v>
      </c>
      <c r="K385" s="59">
        <f>12.6706 * CHOOSE(CONTROL!$C$27, $C$14, 100%, $E$14)</f>
        <v>12.6706</v>
      </c>
      <c r="L385" s="59">
        <f>6.9867 * CHOOSE(CONTROL!$C$27, $C$14, 100%, $E$14)</f>
        <v>6.9866999999999999</v>
      </c>
      <c r="M385" s="59">
        <f>6.9936 * CHOOSE(CONTROL!$C$27, $C$14, 100%, $E$14)</f>
        <v>6.9935999999999998</v>
      </c>
      <c r="N385" s="59">
        <f>6.9867 * CHOOSE(CONTROL!$C$27, $C$14, 100%, $E$14)</f>
        <v>6.9866999999999999</v>
      </c>
      <c r="O385" s="59">
        <f>6.9936 * CHOOSE(CONTROL!$C$27, $C$14, 100%, $E$14)</f>
        <v>6.9935999999999998</v>
      </c>
    </row>
    <row r="386" spans="1:15" ht="15">
      <c r="A386" s="11">
        <v>52841</v>
      </c>
      <c r="B386" s="58">
        <f>5.8058 * CHOOSE(CONTROL!$C$27, $C$14, 100%, $E$14)</f>
        <v>5.8057999999999996</v>
      </c>
      <c r="C386" s="58">
        <f>5.8058 * CHOOSE(CONTROL!$C$27, $C$14, 100%, $E$14)</f>
        <v>5.8057999999999996</v>
      </c>
      <c r="D386" s="58">
        <f>5.8114 * CHOOSE(CONTROL!$C$27, $C$14, 100%, $E$14)</f>
        <v>5.8113999999999999</v>
      </c>
      <c r="E386" s="59">
        <f>6.9729 * CHOOSE(CONTROL!$C$27, $C$14, 100%, $E$14)</f>
        <v>6.9729000000000001</v>
      </c>
      <c r="F386" s="59">
        <f>6.9729 * CHOOSE(CONTROL!$C$27, $C$14, 100%, $E$14)</f>
        <v>6.9729000000000001</v>
      </c>
      <c r="G386" s="59">
        <f>6.9798 * CHOOSE(CONTROL!$C$27, $C$14, 100%, $E$14)</f>
        <v>6.9798</v>
      </c>
      <c r="H386" s="59">
        <f>12.6901* CHOOSE(CONTROL!$C$27, $C$14, 100%, $E$14)</f>
        <v>12.690099999999999</v>
      </c>
      <c r="I386" s="59">
        <f>12.697 * CHOOSE(CONTROL!$C$27, $C$14, 100%, $E$14)</f>
        <v>12.696999999999999</v>
      </c>
      <c r="J386" s="59">
        <f>12.6901 * CHOOSE(CONTROL!$C$27, $C$14, 100%, $E$14)</f>
        <v>12.690099999999999</v>
      </c>
      <c r="K386" s="59">
        <f>12.697 * CHOOSE(CONTROL!$C$27, $C$14, 100%, $E$14)</f>
        <v>12.696999999999999</v>
      </c>
      <c r="L386" s="59">
        <f>6.9729 * CHOOSE(CONTROL!$C$27, $C$14, 100%, $E$14)</f>
        <v>6.9729000000000001</v>
      </c>
      <c r="M386" s="59">
        <f>6.9798 * CHOOSE(CONTROL!$C$27, $C$14, 100%, $E$14)</f>
        <v>6.9798</v>
      </c>
      <c r="N386" s="59">
        <f>6.9729 * CHOOSE(CONTROL!$C$27, $C$14, 100%, $E$14)</f>
        <v>6.9729000000000001</v>
      </c>
      <c r="O386" s="59">
        <f>6.9798 * CHOOSE(CONTROL!$C$27, $C$14, 100%, $E$14)</f>
        <v>6.9798</v>
      </c>
    </row>
    <row r="387" spans="1:15" ht="15">
      <c r="A387" s="11">
        <v>52871</v>
      </c>
      <c r="B387" s="58">
        <f>5.8068 * CHOOSE(CONTROL!$C$27, $C$14, 100%, $E$14)</f>
        <v>5.8068</v>
      </c>
      <c r="C387" s="58">
        <f>5.8068 * CHOOSE(CONTROL!$C$27, $C$14, 100%, $E$14)</f>
        <v>5.8068</v>
      </c>
      <c r="D387" s="58">
        <f>5.8108 * CHOOSE(CONTROL!$C$27, $C$14, 100%, $E$14)</f>
        <v>5.8108000000000004</v>
      </c>
      <c r="E387" s="59">
        <f>7.0061 * CHOOSE(CONTROL!$C$27, $C$14, 100%, $E$14)</f>
        <v>7.0061</v>
      </c>
      <c r="F387" s="59">
        <f>7.0061 * CHOOSE(CONTROL!$C$27, $C$14, 100%, $E$14)</f>
        <v>7.0061</v>
      </c>
      <c r="G387" s="59">
        <f>7.011 * CHOOSE(CONTROL!$C$27, $C$14, 100%, $E$14)</f>
        <v>7.0110000000000001</v>
      </c>
      <c r="H387" s="59">
        <f>12.7165* CHOOSE(CONTROL!$C$27, $C$14, 100%, $E$14)</f>
        <v>12.7165</v>
      </c>
      <c r="I387" s="59">
        <f>12.7215 * CHOOSE(CONTROL!$C$27, $C$14, 100%, $E$14)</f>
        <v>12.721500000000001</v>
      </c>
      <c r="J387" s="59">
        <f>12.7165 * CHOOSE(CONTROL!$C$27, $C$14, 100%, $E$14)</f>
        <v>12.7165</v>
      </c>
      <c r="K387" s="59">
        <f>12.7215 * CHOOSE(CONTROL!$C$27, $C$14, 100%, $E$14)</f>
        <v>12.721500000000001</v>
      </c>
      <c r="L387" s="59">
        <f>7.0061 * CHOOSE(CONTROL!$C$27, $C$14, 100%, $E$14)</f>
        <v>7.0061</v>
      </c>
      <c r="M387" s="59">
        <f>7.011 * CHOOSE(CONTROL!$C$27, $C$14, 100%, $E$14)</f>
        <v>7.0110000000000001</v>
      </c>
      <c r="N387" s="59">
        <f>7.0061 * CHOOSE(CONTROL!$C$27, $C$14, 100%, $E$14)</f>
        <v>7.0061</v>
      </c>
      <c r="O387" s="59">
        <f>7.011 * CHOOSE(CONTROL!$C$27, $C$14, 100%, $E$14)</f>
        <v>7.0110000000000001</v>
      </c>
    </row>
    <row r="388" spans="1:15" ht="15">
      <c r="A388" s="11">
        <v>52902</v>
      </c>
      <c r="B388" s="58">
        <f>5.8099 * CHOOSE(CONTROL!$C$27, $C$14, 100%, $E$14)</f>
        <v>5.8098999999999998</v>
      </c>
      <c r="C388" s="58">
        <f>5.8099 * CHOOSE(CONTROL!$C$27, $C$14, 100%, $E$14)</f>
        <v>5.8098999999999998</v>
      </c>
      <c r="D388" s="58">
        <f>5.8139 * CHOOSE(CONTROL!$C$27, $C$14, 100%, $E$14)</f>
        <v>5.8139000000000003</v>
      </c>
      <c r="E388" s="59">
        <f>7.0314 * CHOOSE(CONTROL!$C$27, $C$14, 100%, $E$14)</f>
        <v>7.0313999999999997</v>
      </c>
      <c r="F388" s="59">
        <f>7.0314 * CHOOSE(CONTROL!$C$27, $C$14, 100%, $E$14)</f>
        <v>7.0313999999999997</v>
      </c>
      <c r="G388" s="59">
        <f>7.0364 * CHOOSE(CONTROL!$C$27, $C$14, 100%, $E$14)</f>
        <v>7.0364000000000004</v>
      </c>
      <c r="H388" s="59">
        <f>12.743* CHOOSE(CONTROL!$C$27, $C$14, 100%, $E$14)</f>
        <v>12.743</v>
      </c>
      <c r="I388" s="59">
        <f>12.7479 * CHOOSE(CONTROL!$C$27, $C$14, 100%, $E$14)</f>
        <v>12.7479</v>
      </c>
      <c r="J388" s="59">
        <f>12.743 * CHOOSE(CONTROL!$C$27, $C$14, 100%, $E$14)</f>
        <v>12.743</v>
      </c>
      <c r="K388" s="59">
        <f>12.7479 * CHOOSE(CONTROL!$C$27, $C$14, 100%, $E$14)</f>
        <v>12.7479</v>
      </c>
      <c r="L388" s="59">
        <f>7.0314 * CHOOSE(CONTROL!$C$27, $C$14, 100%, $E$14)</f>
        <v>7.0313999999999997</v>
      </c>
      <c r="M388" s="59">
        <f>7.0364 * CHOOSE(CONTROL!$C$27, $C$14, 100%, $E$14)</f>
        <v>7.0364000000000004</v>
      </c>
      <c r="N388" s="59">
        <f>7.0314 * CHOOSE(CONTROL!$C$27, $C$14, 100%, $E$14)</f>
        <v>7.0313999999999997</v>
      </c>
      <c r="O388" s="59">
        <f>7.0364 * CHOOSE(CONTROL!$C$27, $C$14, 100%, $E$14)</f>
        <v>7.0364000000000004</v>
      </c>
    </row>
    <row r="389" spans="1:15" ht="15">
      <c r="A389" s="11">
        <v>52932</v>
      </c>
      <c r="B389" s="58">
        <f>5.8099 * CHOOSE(CONTROL!$C$27, $C$14, 100%, $E$14)</f>
        <v>5.8098999999999998</v>
      </c>
      <c r="C389" s="58">
        <f>5.8099 * CHOOSE(CONTROL!$C$27, $C$14, 100%, $E$14)</f>
        <v>5.8098999999999998</v>
      </c>
      <c r="D389" s="58">
        <f>5.8139 * CHOOSE(CONTROL!$C$27, $C$14, 100%, $E$14)</f>
        <v>5.8139000000000003</v>
      </c>
      <c r="E389" s="59">
        <f>6.9733 * CHOOSE(CONTROL!$C$27, $C$14, 100%, $E$14)</f>
        <v>6.9733000000000001</v>
      </c>
      <c r="F389" s="59">
        <f>6.9733 * CHOOSE(CONTROL!$C$27, $C$14, 100%, $E$14)</f>
        <v>6.9733000000000001</v>
      </c>
      <c r="G389" s="59">
        <f>6.9782 * CHOOSE(CONTROL!$C$27, $C$14, 100%, $E$14)</f>
        <v>6.9782000000000002</v>
      </c>
      <c r="H389" s="59">
        <f>12.7696* CHOOSE(CONTROL!$C$27, $C$14, 100%, $E$14)</f>
        <v>12.769600000000001</v>
      </c>
      <c r="I389" s="59">
        <f>12.7745 * CHOOSE(CONTROL!$C$27, $C$14, 100%, $E$14)</f>
        <v>12.7745</v>
      </c>
      <c r="J389" s="59">
        <f>12.7696 * CHOOSE(CONTROL!$C$27, $C$14, 100%, $E$14)</f>
        <v>12.769600000000001</v>
      </c>
      <c r="K389" s="59">
        <f>12.7745 * CHOOSE(CONTROL!$C$27, $C$14, 100%, $E$14)</f>
        <v>12.7745</v>
      </c>
      <c r="L389" s="59">
        <f>6.9733 * CHOOSE(CONTROL!$C$27, $C$14, 100%, $E$14)</f>
        <v>6.9733000000000001</v>
      </c>
      <c r="M389" s="59">
        <f>6.9782 * CHOOSE(CONTROL!$C$27, $C$14, 100%, $E$14)</f>
        <v>6.9782000000000002</v>
      </c>
      <c r="N389" s="59">
        <f>6.9733 * CHOOSE(CONTROL!$C$27, $C$14, 100%, $E$14)</f>
        <v>6.9733000000000001</v>
      </c>
      <c r="O389" s="59">
        <f>6.9782 * CHOOSE(CONTROL!$C$27, $C$14, 100%, $E$14)</f>
        <v>6.9782000000000002</v>
      </c>
    </row>
    <row r="390" spans="1:15" ht="15">
      <c r="A390" s="11">
        <v>52963</v>
      </c>
      <c r="B390" s="58">
        <f>5.8609 * CHOOSE(CONTROL!$C$27, $C$14, 100%, $E$14)</f>
        <v>5.8609</v>
      </c>
      <c r="C390" s="58">
        <f>5.8609 * CHOOSE(CONTROL!$C$27, $C$14, 100%, $E$14)</f>
        <v>5.8609</v>
      </c>
      <c r="D390" s="58">
        <f>5.8649 * CHOOSE(CONTROL!$C$27, $C$14, 100%, $E$14)</f>
        <v>5.8648999999999996</v>
      </c>
      <c r="E390" s="59">
        <f>7.0724 * CHOOSE(CONTROL!$C$27, $C$14, 100%, $E$14)</f>
        <v>7.0724</v>
      </c>
      <c r="F390" s="59">
        <f>7.0724 * CHOOSE(CONTROL!$C$27, $C$14, 100%, $E$14)</f>
        <v>7.0724</v>
      </c>
      <c r="G390" s="59">
        <f>7.0773 * CHOOSE(CONTROL!$C$27, $C$14, 100%, $E$14)</f>
        <v>7.0773000000000001</v>
      </c>
      <c r="H390" s="59">
        <f>12.7962* CHOOSE(CONTROL!$C$27, $C$14, 100%, $E$14)</f>
        <v>12.796200000000001</v>
      </c>
      <c r="I390" s="59">
        <f>12.8011 * CHOOSE(CONTROL!$C$27, $C$14, 100%, $E$14)</f>
        <v>12.8011</v>
      </c>
      <c r="J390" s="59">
        <f>12.7962 * CHOOSE(CONTROL!$C$27, $C$14, 100%, $E$14)</f>
        <v>12.796200000000001</v>
      </c>
      <c r="K390" s="59">
        <f>12.8011 * CHOOSE(CONTROL!$C$27, $C$14, 100%, $E$14)</f>
        <v>12.8011</v>
      </c>
      <c r="L390" s="59">
        <f>7.0724 * CHOOSE(CONTROL!$C$27, $C$14, 100%, $E$14)</f>
        <v>7.0724</v>
      </c>
      <c r="M390" s="59">
        <f>7.0773 * CHOOSE(CONTROL!$C$27, $C$14, 100%, $E$14)</f>
        <v>7.0773000000000001</v>
      </c>
      <c r="N390" s="59">
        <f>7.0724 * CHOOSE(CONTROL!$C$27, $C$14, 100%, $E$14)</f>
        <v>7.0724</v>
      </c>
      <c r="O390" s="59">
        <f>7.0773 * CHOOSE(CONTROL!$C$27, $C$14, 100%, $E$14)</f>
        <v>7.0773000000000001</v>
      </c>
    </row>
    <row r="391" spans="1:15" ht="15">
      <c r="A391" s="11">
        <v>52994</v>
      </c>
      <c r="B391" s="58">
        <f>5.8579 * CHOOSE(CONTROL!$C$27, $C$14, 100%, $E$14)</f>
        <v>5.8578999999999999</v>
      </c>
      <c r="C391" s="58">
        <f>5.8579 * CHOOSE(CONTROL!$C$27, $C$14, 100%, $E$14)</f>
        <v>5.8578999999999999</v>
      </c>
      <c r="D391" s="58">
        <f>5.8619 * CHOOSE(CONTROL!$C$27, $C$14, 100%, $E$14)</f>
        <v>5.8619000000000003</v>
      </c>
      <c r="E391" s="59">
        <f>6.9573 * CHOOSE(CONTROL!$C$27, $C$14, 100%, $E$14)</f>
        <v>6.9573</v>
      </c>
      <c r="F391" s="59">
        <f>6.9573 * CHOOSE(CONTROL!$C$27, $C$14, 100%, $E$14)</f>
        <v>6.9573</v>
      </c>
      <c r="G391" s="59">
        <f>6.9622 * CHOOSE(CONTROL!$C$27, $C$14, 100%, $E$14)</f>
        <v>6.9622000000000002</v>
      </c>
      <c r="H391" s="59">
        <f>12.8228* CHOOSE(CONTROL!$C$27, $C$14, 100%, $E$14)</f>
        <v>12.822800000000001</v>
      </c>
      <c r="I391" s="59">
        <f>12.8278 * CHOOSE(CONTROL!$C$27, $C$14, 100%, $E$14)</f>
        <v>12.8278</v>
      </c>
      <c r="J391" s="59">
        <f>12.8228 * CHOOSE(CONTROL!$C$27, $C$14, 100%, $E$14)</f>
        <v>12.822800000000001</v>
      </c>
      <c r="K391" s="59">
        <f>12.8278 * CHOOSE(CONTROL!$C$27, $C$14, 100%, $E$14)</f>
        <v>12.8278</v>
      </c>
      <c r="L391" s="59">
        <f>6.9573 * CHOOSE(CONTROL!$C$27, $C$14, 100%, $E$14)</f>
        <v>6.9573</v>
      </c>
      <c r="M391" s="59">
        <f>6.9622 * CHOOSE(CONTROL!$C$27, $C$14, 100%, $E$14)</f>
        <v>6.9622000000000002</v>
      </c>
      <c r="N391" s="59">
        <f>6.9573 * CHOOSE(CONTROL!$C$27, $C$14, 100%, $E$14)</f>
        <v>6.9573</v>
      </c>
      <c r="O391" s="59">
        <f>6.9622 * CHOOSE(CONTROL!$C$27, $C$14, 100%, $E$14)</f>
        <v>6.9622000000000002</v>
      </c>
    </row>
    <row r="392" spans="1:15" ht="15">
      <c r="A392" s="11">
        <v>53022</v>
      </c>
      <c r="B392" s="58">
        <f>5.8548 * CHOOSE(CONTROL!$C$27, $C$14, 100%, $E$14)</f>
        <v>5.8548</v>
      </c>
      <c r="C392" s="58">
        <f>5.8548 * CHOOSE(CONTROL!$C$27, $C$14, 100%, $E$14)</f>
        <v>5.8548</v>
      </c>
      <c r="D392" s="58">
        <f>5.8588 * CHOOSE(CONTROL!$C$27, $C$14, 100%, $E$14)</f>
        <v>5.8587999999999996</v>
      </c>
      <c r="E392" s="59">
        <f>7.0443 * CHOOSE(CONTROL!$C$27, $C$14, 100%, $E$14)</f>
        <v>7.0442999999999998</v>
      </c>
      <c r="F392" s="59">
        <f>7.0443 * CHOOSE(CONTROL!$C$27, $C$14, 100%, $E$14)</f>
        <v>7.0442999999999998</v>
      </c>
      <c r="G392" s="59">
        <f>7.0492 * CHOOSE(CONTROL!$C$27, $C$14, 100%, $E$14)</f>
        <v>7.0491999999999999</v>
      </c>
      <c r="H392" s="59">
        <f>12.8495* CHOOSE(CONTROL!$C$27, $C$14, 100%, $E$14)</f>
        <v>12.849500000000001</v>
      </c>
      <c r="I392" s="59">
        <f>12.8545 * CHOOSE(CONTROL!$C$27, $C$14, 100%, $E$14)</f>
        <v>12.8545</v>
      </c>
      <c r="J392" s="59">
        <f>12.8495 * CHOOSE(CONTROL!$C$27, $C$14, 100%, $E$14)</f>
        <v>12.849500000000001</v>
      </c>
      <c r="K392" s="59">
        <f>12.8545 * CHOOSE(CONTROL!$C$27, $C$14, 100%, $E$14)</f>
        <v>12.8545</v>
      </c>
      <c r="L392" s="59">
        <f>7.0443 * CHOOSE(CONTROL!$C$27, $C$14, 100%, $E$14)</f>
        <v>7.0442999999999998</v>
      </c>
      <c r="M392" s="59">
        <f>7.0492 * CHOOSE(CONTROL!$C$27, $C$14, 100%, $E$14)</f>
        <v>7.0491999999999999</v>
      </c>
      <c r="N392" s="59">
        <f>7.0443 * CHOOSE(CONTROL!$C$27, $C$14, 100%, $E$14)</f>
        <v>7.0442999999999998</v>
      </c>
      <c r="O392" s="59">
        <f>7.0492 * CHOOSE(CONTROL!$C$27, $C$14, 100%, $E$14)</f>
        <v>7.0491999999999999</v>
      </c>
    </row>
    <row r="393" spans="1:15" ht="15">
      <c r="A393" s="11">
        <v>53053</v>
      </c>
      <c r="B393" s="58">
        <f>5.8541 * CHOOSE(CONTROL!$C$27, $C$14, 100%, $E$14)</f>
        <v>5.8540999999999999</v>
      </c>
      <c r="C393" s="58">
        <f>5.8541 * CHOOSE(CONTROL!$C$27, $C$14, 100%, $E$14)</f>
        <v>5.8540999999999999</v>
      </c>
      <c r="D393" s="58">
        <f>5.8581 * CHOOSE(CONTROL!$C$27, $C$14, 100%, $E$14)</f>
        <v>5.8581000000000003</v>
      </c>
      <c r="E393" s="59">
        <f>7.1357 * CHOOSE(CONTROL!$C$27, $C$14, 100%, $E$14)</f>
        <v>7.1356999999999999</v>
      </c>
      <c r="F393" s="59">
        <f>7.1357 * CHOOSE(CONTROL!$C$27, $C$14, 100%, $E$14)</f>
        <v>7.1356999999999999</v>
      </c>
      <c r="G393" s="59">
        <f>7.1406 * CHOOSE(CONTROL!$C$27, $C$14, 100%, $E$14)</f>
        <v>7.1406000000000001</v>
      </c>
      <c r="H393" s="59">
        <f>12.8763* CHOOSE(CONTROL!$C$27, $C$14, 100%, $E$14)</f>
        <v>12.876300000000001</v>
      </c>
      <c r="I393" s="59">
        <f>12.8812 * CHOOSE(CONTROL!$C$27, $C$14, 100%, $E$14)</f>
        <v>12.8812</v>
      </c>
      <c r="J393" s="59">
        <f>12.8763 * CHOOSE(CONTROL!$C$27, $C$14, 100%, $E$14)</f>
        <v>12.876300000000001</v>
      </c>
      <c r="K393" s="59">
        <f>12.8812 * CHOOSE(CONTROL!$C$27, $C$14, 100%, $E$14)</f>
        <v>12.8812</v>
      </c>
      <c r="L393" s="59">
        <f>7.1357 * CHOOSE(CONTROL!$C$27, $C$14, 100%, $E$14)</f>
        <v>7.1356999999999999</v>
      </c>
      <c r="M393" s="59">
        <f>7.1406 * CHOOSE(CONTROL!$C$27, $C$14, 100%, $E$14)</f>
        <v>7.1406000000000001</v>
      </c>
      <c r="N393" s="59">
        <f>7.1357 * CHOOSE(CONTROL!$C$27, $C$14, 100%, $E$14)</f>
        <v>7.1356999999999999</v>
      </c>
      <c r="O393" s="59">
        <f>7.1406 * CHOOSE(CONTROL!$C$27, $C$14, 100%, $E$14)</f>
        <v>7.1406000000000001</v>
      </c>
    </row>
    <row r="394" spans="1:15" ht="15">
      <c r="A394" s="11">
        <v>53083</v>
      </c>
      <c r="B394" s="58">
        <f>5.8541 * CHOOSE(CONTROL!$C$27, $C$14, 100%, $E$14)</f>
        <v>5.8540999999999999</v>
      </c>
      <c r="C394" s="58">
        <f>5.8541 * CHOOSE(CONTROL!$C$27, $C$14, 100%, $E$14)</f>
        <v>5.8540999999999999</v>
      </c>
      <c r="D394" s="58">
        <f>5.8597 * CHOOSE(CONTROL!$C$27, $C$14, 100%, $E$14)</f>
        <v>5.8597000000000001</v>
      </c>
      <c r="E394" s="59">
        <f>7.1716 * CHOOSE(CONTROL!$C$27, $C$14, 100%, $E$14)</f>
        <v>7.1715999999999998</v>
      </c>
      <c r="F394" s="59">
        <f>7.1716 * CHOOSE(CONTROL!$C$27, $C$14, 100%, $E$14)</f>
        <v>7.1715999999999998</v>
      </c>
      <c r="G394" s="59">
        <f>7.1785 * CHOOSE(CONTROL!$C$27, $C$14, 100%, $E$14)</f>
        <v>7.1784999999999997</v>
      </c>
      <c r="H394" s="59">
        <f>12.9031* CHOOSE(CONTROL!$C$27, $C$14, 100%, $E$14)</f>
        <v>12.9031</v>
      </c>
      <c r="I394" s="59">
        <f>12.91 * CHOOSE(CONTROL!$C$27, $C$14, 100%, $E$14)</f>
        <v>12.91</v>
      </c>
      <c r="J394" s="59">
        <f>12.9031 * CHOOSE(CONTROL!$C$27, $C$14, 100%, $E$14)</f>
        <v>12.9031</v>
      </c>
      <c r="K394" s="59">
        <f>12.91 * CHOOSE(CONTROL!$C$27, $C$14, 100%, $E$14)</f>
        <v>12.91</v>
      </c>
      <c r="L394" s="59">
        <f>7.1716 * CHOOSE(CONTROL!$C$27, $C$14, 100%, $E$14)</f>
        <v>7.1715999999999998</v>
      </c>
      <c r="M394" s="59">
        <f>7.1785 * CHOOSE(CONTROL!$C$27, $C$14, 100%, $E$14)</f>
        <v>7.1784999999999997</v>
      </c>
      <c r="N394" s="59">
        <f>7.1716 * CHOOSE(CONTROL!$C$27, $C$14, 100%, $E$14)</f>
        <v>7.1715999999999998</v>
      </c>
      <c r="O394" s="59">
        <f>7.1785 * CHOOSE(CONTROL!$C$27, $C$14, 100%, $E$14)</f>
        <v>7.1784999999999997</v>
      </c>
    </row>
    <row r="395" spans="1:15" ht="15">
      <c r="A395" s="11">
        <v>53114</v>
      </c>
      <c r="B395" s="58">
        <f>5.8602 * CHOOSE(CONTROL!$C$27, $C$14, 100%, $E$14)</f>
        <v>5.8601999999999999</v>
      </c>
      <c r="C395" s="58">
        <f>5.8602 * CHOOSE(CONTROL!$C$27, $C$14, 100%, $E$14)</f>
        <v>5.8601999999999999</v>
      </c>
      <c r="D395" s="58">
        <f>5.8658 * CHOOSE(CONTROL!$C$27, $C$14, 100%, $E$14)</f>
        <v>5.8658000000000001</v>
      </c>
      <c r="E395" s="59">
        <f>7.1399 * CHOOSE(CONTROL!$C$27, $C$14, 100%, $E$14)</f>
        <v>7.1398999999999999</v>
      </c>
      <c r="F395" s="59">
        <f>7.1399 * CHOOSE(CONTROL!$C$27, $C$14, 100%, $E$14)</f>
        <v>7.1398999999999999</v>
      </c>
      <c r="G395" s="59">
        <f>7.1468 * CHOOSE(CONTROL!$C$27, $C$14, 100%, $E$14)</f>
        <v>7.1467999999999998</v>
      </c>
      <c r="H395" s="59">
        <f>12.93* CHOOSE(CONTROL!$C$27, $C$14, 100%, $E$14)</f>
        <v>12.93</v>
      </c>
      <c r="I395" s="59">
        <f>12.9369 * CHOOSE(CONTROL!$C$27, $C$14, 100%, $E$14)</f>
        <v>12.9369</v>
      </c>
      <c r="J395" s="59">
        <f>12.93 * CHOOSE(CONTROL!$C$27, $C$14, 100%, $E$14)</f>
        <v>12.93</v>
      </c>
      <c r="K395" s="59">
        <f>12.9369 * CHOOSE(CONTROL!$C$27, $C$14, 100%, $E$14)</f>
        <v>12.9369</v>
      </c>
      <c r="L395" s="59">
        <f>7.1399 * CHOOSE(CONTROL!$C$27, $C$14, 100%, $E$14)</f>
        <v>7.1398999999999999</v>
      </c>
      <c r="M395" s="59">
        <f>7.1468 * CHOOSE(CONTROL!$C$27, $C$14, 100%, $E$14)</f>
        <v>7.1467999999999998</v>
      </c>
      <c r="N395" s="59">
        <f>7.1399 * CHOOSE(CONTROL!$C$27, $C$14, 100%, $E$14)</f>
        <v>7.1398999999999999</v>
      </c>
      <c r="O395" s="59">
        <f>7.1468 * CHOOSE(CONTROL!$C$27, $C$14, 100%, $E$14)</f>
        <v>7.1467999999999998</v>
      </c>
    </row>
    <row r="396" spans="1:15" ht="15">
      <c r="A396" s="11">
        <v>53144</v>
      </c>
      <c r="B396" s="58">
        <f>5.955 * CHOOSE(CONTROL!$C$27, $C$14, 100%, $E$14)</f>
        <v>5.9550000000000001</v>
      </c>
      <c r="C396" s="58">
        <f>5.955 * CHOOSE(CONTROL!$C$27, $C$14, 100%, $E$14)</f>
        <v>5.9550000000000001</v>
      </c>
      <c r="D396" s="58">
        <f>5.9606 * CHOOSE(CONTROL!$C$27, $C$14, 100%, $E$14)</f>
        <v>5.9606000000000003</v>
      </c>
      <c r="E396" s="59">
        <f>7.2599 * CHOOSE(CONTROL!$C$27, $C$14, 100%, $E$14)</f>
        <v>7.2599</v>
      </c>
      <c r="F396" s="59">
        <f>7.2599 * CHOOSE(CONTROL!$C$27, $C$14, 100%, $E$14)</f>
        <v>7.2599</v>
      </c>
      <c r="G396" s="59">
        <f>7.2668 * CHOOSE(CONTROL!$C$27, $C$14, 100%, $E$14)</f>
        <v>7.2667999999999999</v>
      </c>
      <c r="H396" s="59">
        <f>12.957* CHOOSE(CONTROL!$C$27, $C$14, 100%, $E$14)</f>
        <v>12.957000000000001</v>
      </c>
      <c r="I396" s="59">
        <f>12.9639 * CHOOSE(CONTROL!$C$27, $C$14, 100%, $E$14)</f>
        <v>12.963900000000001</v>
      </c>
      <c r="J396" s="59">
        <f>12.957 * CHOOSE(CONTROL!$C$27, $C$14, 100%, $E$14)</f>
        <v>12.957000000000001</v>
      </c>
      <c r="K396" s="59">
        <f>12.9639 * CHOOSE(CONTROL!$C$27, $C$14, 100%, $E$14)</f>
        <v>12.963900000000001</v>
      </c>
      <c r="L396" s="59">
        <f>7.2599 * CHOOSE(CONTROL!$C$27, $C$14, 100%, $E$14)</f>
        <v>7.2599</v>
      </c>
      <c r="M396" s="59">
        <f>7.2668 * CHOOSE(CONTROL!$C$27, $C$14, 100%, $E$14)</f>
        <v>7.2667999999999999</v>
      </c>
      <c r="N396" s="59">
        <f>7.2599 * CHOOSE(CONTROL!$C$27, $C$14, 100%, $E$14)</f>
        <v>7.2599</v>
      </c>
      <c r="O396" s="59">
        <f>7.2668 * CHOOSE(CONTROL!$C$27, $C$14, 100%, $E$14)</f>
        <v>7.2667999999999999</v>
      </c>
    </row>
    <row r="397" spans="1:15" ht="15">
      <c r="A397" s="11">
        <v>53175</v>
      </c>
      <c r="B397" s="58">
        <f>5.9617 * CHOOSE(CONTROL!$C$27, $C$14, 100%, $E$14)</f>
        <v>5.9617000000000004</v>
      </c>
      <c r="C397" s="58">
        <f>5.9617 * CHOOSE(CONTROL!$C$27, $C$14, 100%, $E$14)</f>
        <v>5.9617000000000004</v>
      </c>
      <c r="D397" s="58">
        <f>5.9673 * CHOOSE(CONTROL!$C$27, $C$14, 100%, $E$14)</f>
        <v>5.9672999999999998</v>
      </c>
      <c r="E397" s="59">
        <f>7.1569 * CHOOSE(CONTROL!$C$27, $C$14, 100%, $E$14)</f>
        <v>7.1569000000000003</v>
      </c>
      <c r="F397" s="59">
        <f>7.1569 * CHOOSE(CONTROL!$C$27, $C$14, 100%, $E$14)</f>
        <v>7.1569000000000003</v>
      </c>
      <c r="G397" s="59">
        <f>7.1638 * CHOOSE(CONTROL!$C$27, $C$14, 100%, $E$14)</f>
        <v>7.1638000000000002</v>
      </c>
      <c r="H397" s="59">
        <f>12.984* CHOOSE(CONTROL!$C$27, $C$14, 100%, $E$14)</f>
        <v>12.984</v>
      </c>
      <c r="I397" s="59">
        <f>12.9908 * CHOOSE(CONTROL!$C$27, $C$14, 100%, $E$14)</f>
        <v>12.9908</v>
      </c>
      <c r="J397" s="59">
        <f>12.984 * CHOOSE(CONTROL!$C$27, $C$14, 100%, $E$14)</f>
        <v>12.984</v>
      </c>
      <c r="K397" s="59">
        <f>12.9908 * CHOOSE(CONTROL!$C$27, $C$14, 100%, $E$14)</f>
        <v>12.9908</v>
      </c>
      <c r="L397" s="59">
        <f>7.1569 * CHOOSE(CONTROL!$C$27, $C$14, 100%, $E$14)</f>
        <v>7.1569000000000003</v>
      </c>
      <c r="M397" s="59">
        <f>7.1638 * CHOOSE(CONTROL!$C$27, $C$14, 100%, $E$14)</f>
        <v>7.1638000000000002</v>
      </c>
      <c r="N397" s="59">
        <f>7.1569 * CHOOSE(CONTROL!$C$27, $C$14, 100%, $E$14)</f>
        <v>7.1569000000000003</v>
      </c>
      <c r="O397" s="59">
        <f>7.1638 * CHOOSE(CONTROL!$C$27, $C$14, 100%, $E$14)</f>
        <v>7.1638000000000002</v>
      </c>
    </row>
    <row r="398" spans="1:15" ht="15">
      <c r="A398" s="11">
        <v>53206</v>
      </c>
      <c r="B398" s="58">
        <f>5.9586 * CHOOSE(CONTROL!$C$27, $C$14, 100%, $E$14)</f>
        <v>5.9585999999999997</v>
      </c>
      <c r="C398" s="58">
        <f>5.9586 * CHOOSE(CONTROL!$C$27, $C$14, 100%, $E$14)</f>
        <v>5.9585999999999997</v>
      </c>
      <c r="D398" s="58">
        <f>5.9643 * CHOOSE(CONTROL!$C$27, $C$14, 100%, $E$14)</f>
        <v>5.9642999999999997</v>
      </c>
      <c r="E398" s="59">
        <f>7.1429 * CHOOSE(CONTROL!$C$27, $C$14, 100%, $E$14)</f>
        <v>7.1429</v>
      </c>
      <c r="F398" s="59">
        <f>7.1429 * CHOOSE(CONTROL!$C$27, $C$14, 100%, $E$14)</f>
        <v>7.1429</v>
      </c>
      <c r="G398" s="59">
        <f>7.1498 * CHOOSE(CONTROL!$C$27, $C$14, 100%, $E$14)</f>
        <v>7.1497999999999999</v>
      </c>
      <c r="H398" s="59">
        <f>13.011* CHOOSE(CONTROL!$C$27, $C$14, 100%, $E$14)</f>
        <v>13.010999999999999</v>
      </c>
      <c r="I398" s="59">
        <f>13.0179 * CHOOSE(CONTROL!$C$27, $C$14, 100%, $E$14)</f>
        <v>13.017899999999999</v>
      </c>
      <c r="J398" s="59">
        <f>13.011 * CHOOSE(CONTROL!$C$27, $C$14, 100%, $E$14)</f>
        <v>13.010999999999999</v>
      </c>
      <c r="K398" s="59">
        <f>13.0179 * CHOOSE(CONTROL!$C$27, $C$14, 100%, $E$14)</f>
        <v>13.017899999999999</v>
      </c>
      <c r="L398" s="59">
        <f>7.1429 * CHOOSE(CONTROL!$C$27, $C$14, 100%, $E$14)</f>
        <v>7.1429</v>
      </c>
      <c r="M398" s="59">
        <f>7.1498 * CHOOSE(CONTROL!$C$27, $C$14, 100%, $E$14)</f>
        <v>7.1497999999999999</v>
      </c>
      <c r="N398" s="59">
        <f>7.1429 * CHOOSE(CONTROL!$C$27, $C$14, 100%, $E$14)</f>
        <v>7.1429</v>
      </c>
      <c r="O398" s="59">
        <f>7.1498 * CHOOSE(CONTROL!$C$27, $C$14, 100%, $E$14)</f>
        <v>7.1497999999999999</v>
      </c>
    </row>
    <row r="399" spans="1:15" ht="15">
      <c r="A399" s="11">
        <v>53236</v>
      </c>
      <c r="B399" s="58">
        <f>5.9602 * CHOOSE(CONTROL!$C$27, $C$14, 100%, $E$14)</f>
        <v>5.9602000000000004</v>
      </c>
      <c r="C399" s="58">
        <f>5.9602 * CHOOSE(CONTROL!$C$27, $C$14, 100%, $E$14)</f>
        <v>5.9602000000000004</v>
      </c>
      <c r="D399" s="58">
        <f>5.9642 * CHOOSE(CONTROL!$C$27, $C$14, 100%, $E$14)</f>
        <v>5.9641999999999999</v>
      </c>
      <c r="E399" s="59">
        <f>7.1773 * CHOOSE(CONTROL!$C$27, $C$14, 100%, $E$14)</f>
        <v>7.1772999999999998</v>
      </c>
      <c r="F399" s="59">
        <f>7.1773 * CHOOSE(CONTROL!$C$27, $C$14, 100%, $E$14)</f>
        <v>7.1772999999999998</v>
      </c>
      <c r="G399" s="59">
        <f>7.1822 * CHOOSE(CONTROL!$C$27, $C$14, 100%, $E$14)</f>
        <v>7.1821999999999999</v>
      </c>
      <c r="H399" s="59">
        <f>13.0381* CHOOSE(CONTROL!$C$27, $C$14, 100%, $E$14)</f>
        <v>13.0381</v>
      </c>
      <c r="I399" s="59">
        <f>13.043 * CHOOSE(CONTROL!$C$27, $C$14, 100%, $E$14)</f>
        <v>13.042999999999999</v>
      </c>
      <c r="J399" s="59">
        <f>13.0381 * CHOOSE(CONTROL!$C$27, $C$14, 100%, $E$14)</f>
        <v>13.0381</v>
      </c>
      <c r="K399" s="59">
        <f>13.043 * CHOOSE(CONTROL!$C$27, $C$14, 100%, $E$14)</f>
        <v>13.042999999999999</v>
      </c>
      <c r="L399" s="59">
        <f>7.1773 * CHOOSE(CONTROL!$C$27, $C$14, 100%, $E$14)</f>
        <v>7.1772999999999998</v>
      </c>
      <c r="M399" s="59">
        <f>7.1822 * CHOOSE(CONTROL!$C$27, $C$14, 100%, $E$14)</f>
        <v>7.1821999999999999</v>
      </c>
      <c r="N399" s="59">
        <f>7.1773 * CHOOSE(CONTROL!$C$27, $C$14, 100%, $E$14)</f>
        <v>7.1772999999999998</v>
      </c>
      <c r="O399" s="59">
        <f>7.1822 * CHOOSE(CONTROL!$C$27, $C$14, 100%, $E$14)</f>
        <v>7.1821999999999999</v>
      </c>
    </row>
    <row r="400" spans="1:15" ht="15">
      <c r="A400" s="11">
        <v>53267</v>
      </c>
      <c r="B400" s="58">
        <f>5.9632 * CHOOSE(CONTROL!$C$27, $C$14, 100%, $E$14)</f>
        <v>5.9631999999999996</v>
      </c>
      <c r="C400" s="58">
        <f>5.9632 * CHOOSE(CONTROL!$C$27, $C$14, 100%, $E$14)</f>
        <v>5.9631999999999996</v>
      </c>
      <c r="D400" s="58">
        <f>5.9672 * CHOOSE(CONTROL!$C$27, $C$14, 100%, $E$14)</f>
        <v>5.9672000000000001</v>
      </c>
      <c r="E400" s="59">
        <f>7.2033 * CHOOSE(CONTROL!$C$27, $C$14, 100%, $E$14)</f>
        <v>7.2032999999999996</v>
      </c>
      <c r="F400" s="59">
        <f>7.2033 * CHOOSE(CONTROL!$C$27, $C$14, 100%, $E$14)</f>
        <v>7.2032999999999996</v>
      </c>
      <c r="G400" s="59">
        <f>7.2082 * CHOOSE(CONTROL!$C$27, $C$14, 100%, $E$14)</f>
        <v>7.2081999999999997</v>
      </c>
      <c r="H400" s="59">
        <f>13.0653* CHOOSE(CONTROL!$C$27, $C$14, 100%, $E$14)</f>
        <v>13.065300000000001</v>
      </c>
      <c r="I400" s="59">
        <f>13.0702 * CHOOSE(CONTROL!$C$27, $C$14, 100%, $E$14)</f>
        <v>13.0702</v>
      </c>
      <c r="J400" s="59">
        <f>13.0653 * CHOOSE(CONTROL!$C$27, $C$14, 100%, $E$14)</f>
        <v>13.065300000000001</v>
      </c>
      <c r="K400" s="59">
        <f>13.0702 * CHOOSE(CONTROL!$C$27, $C$14, 100%, $E$14)</f>
        <v>13.0702</v>
      </c>
      <c r="L400" s="59">
        <f>7.2033 * CHOOSE(CONTROL!$C$27, $C$14, 100%, $E$14)</f>
        <v>7.2032999999999996</v>
      </c>
      <c r="M400" s="59">
        <f>7.2082 * CHOOSE(CONTROL!$C$27, $C$14, 100%, $E$14)</f>
        <v>7.2081999999999997</v>
      </c>
      <c r="N400" s="59">
        <f>7.2033 * CHOOSE(CONTROL!$C$27, $C$14, 100%, $E$14)</f>
        <v>7.2032999999999996</v>
      </c>
      <c r="O400" s="59">
        <f>7.2082 * CHOOSE(CONTROL!$C$27, $C$14, 100%, $E$14)</f>
        <v>7.2081999999999997</v>
      </c>
    </row>
    <row r="401" spans="1:15" ht="15">
      <c r="A401" s="11">
        <v>53297</v>
      </c>
      <c r="B401" s="58">
        <f>5.9632 * CHOOSE(CONTROL!$C$27, $C$14, 100%, $E$14)</f>
        <v>5.9631999999999996</v>
      </c>
      <c r="C401" s="58">
        <f>5.9632 * CHOOSE(CONTROL!$C$27, $C$14, 100%, $E$14)</f>
        <v>5.9631999999999996</v>
      </c>
      <c r="D401" s="58">
        <f>5.9672 * CHOOSE(CONTROL!$C$27, $C$14, 100%, $E$14)</f>
        <v>5.9672000000000001</v>
      </c>
      <c r="E401" s="59">
        <f>7.1435 * CHOOSE(CONTROL!$C$27, $C$14, 100%, $E$14)</f>
        <v>7.1435000000000004</v>
      </c>
      <c r="F401" s="59">
        <f>7.1435 * CHOOSE(CONTROL!$C$27, $C$14, 100%, $E$14)</f>
        <v>7.1435000000000004</v>
      </c>
      <c r="G401" s="59">
        <f>7.1484 * CHOOSE(CONTROL!$C$27, $C$14, 100%, $E$14)</f>
        <v>7.1483999999999996</v>
      </c>
      <c r="H401" s="59">
        <f>13.0925* CHOOSE(CONTROL!$C$27, $C$14, 100%, $E$14)</f>
        <v>13.092499999999999</v>
      </c>
      <c r="I401" s="59">
        <f>13.0974 * CHOOSE(CONTROL!$C$27, $C$14, 100%, $E$14)</f>
        <v>13.0974</v>
      </c>
      <c r="J401" s="59">
        <f>13.0925 * CHOOSE(CONTROL!$C$27, $C$14, 100%, $E$14)</f>
        <v>13.092499999999999</v>
      </c>
      <c r="K401" s="59">
        <f>13.0974 * CHOOSE(CONTROL!$C$27, $C$14, 100%, $E$14)</f>
        <v>13.0974</v>
      </c>
      <c r="L401" s="59">
        <f>7.1435 * CHOOSE(CONTROL!$C$27, $C$14, 100%, $E$14)</f>
        <v>7.1435000000000004</v>
      </c>
      <c r="M401" s="59">
        <f>7.1484 * CHOOSE(CONTROL!$C$27, $C$14, 100%, $E$14)</f>
        <v>7.1483999999999996</v>
      </c>
      <c r="N401" s="59">
        <f>7.1435 * CHOOSE(CONTROL!$C$27, $C$14, 100%, $E$14)</f>
        <v>7.1435000000000004</v>
      </c>
      <c r="O401" s="59">
        <f>7.1484 * CHOOSE(CONTROL!$C$27, $C$14, 100%, $E$14)</f>
        <v>7.1483999999999996</v>
      </c>
    </row>
    <row r="402" spans="1:15" ht="15">
      <c r="A402" s="11">
        <v>53328</v>
      </c>
      <c r="B402" s="58">
        <f>6.0155 * CHOOSE(CONTROL!$C$27, $C$14, 100%, $E$14)</f>
        <v>6.0155000000000003</v>
      </c>
      <c r="C402" s="58">
        <f>6.0155 * CHOOSE(CONTROL!$C$27, $C$14, 100%, $E$14)</f>
        <v>6.0155000000000003</v>
      </c>
      <c r="D402" s="58">
        <f>6.0195 * CHOOSE(CONTROL!$C$27, $C$14, 100%, $E$14)</f>
        <v>6.0194999999999999</v>
      </c>
      <c r="E402" s="59">
        <f>7.2452 * CHOOSE(CONTROL!$C$27, $C$14, 100%, $E$14)</f>
        <v>7.2451999999999996</v>
      </c>
      <c r="F402" s="59">
        <f>7.2452 * CHOOSE(CONTROL!$C$27, $C$14, 100%, $E$14)</f>
        <v>7.2451999999999996</v>
      </c>
      <c r="G402" s="59">
        <f>7.2501 * CHOOSE(CONTROL!$C$27, $C$14, 100%, $E$14)</f>
        <v>7.2500999999999998</v>
      </c>
      <c r="H402" s="59">
        <f>13.1198* CHOOSE(CONTROL!$C$27, $C$14, 100%, $E$14)</f>
        <v>13.1198</v>
      </c>
      <c r="I402" s="59">
        <f>13.1247 * CHOOSE(CONTROL!$C$27, $C$14, 100%, $E$14)</f>
        <v>13.124700000000001</v>
      </c>
      <c r="J402" s="59">
        <f>13.1198 * CHOOSE(CONTROL!$C$27, $C$14, 100%, $E$14)</f>
        <v>13.1198</v>
      </c>
      <c r="K402" s="59">
        <f>13.1247 * CHOOSE(CONTROL!$C$27, $C$14, 100%, $E$14)</f>
        <v>13.124700000000001</v>
      </c>
      <c r="L402" s="59">
        <f>7.2452 * CHOOSE(CONTROL!$C$27, $C$14, 100%, $E$14)</f>
        <v>7.2451999999999996</v>
      </c>
      <c r="M402" s="59">
        <f>7.2501 * CHOOSE(CONTROL!$C$27, $C$14, 100%, $E$14)</f>
        <v>7.2500999999999998</v>
      </c>
      <c r="N402" s="59">
        <f>7.2452 * CHOOSE(CONTROL!$C$27, $C$14, 100%, $E$14)</f>
        <v>7.2451999999999996</v>
      </c>
      <c r="O402" s="59">
        <f>7.2501 * CHOOSE(CONTROL!$C$27, $C$14, 100%, $E$14)</f>
        <v>7.2500999999999998</v>
      </c>
    </row>
    <row r="403" spans="1:15" ht="15">
      <c r="A403" s="11">
        <v>53359</v>
      </c>
      <c r="B403" s="58">
        <f>6.0125 * CHOOSE(CONTROL!$C$27, $C$14, 100%, $E$14)</f>
        <v>6.0125000000000002</v>
      </c>
      <c r="C403" s="58">
        <f>6.0125 * CHOOSE(CONTROL!$C$27, $C$14, 100%, $E$14)</f>
        <v>6.0125000000000002</v>
      </c>
      <c r="D403" s="58">
        <f>6.0165 * CHOOSE(CONTROL!$C$27, $C$14, 100%, $E$14)</f>
        <v>6.0164999999999997</v>
      </c>
      <c r="E403" s="59">
        <f>7.1269 * CHOOSE(CONTROL!$C$27, $C$14, 100%, $E$14)</f>
        <v>7.1269</v>
      </c>
      <c r="F403" s="59">
        <f>7.1269 * CHOOSE(CONTROL!$C$27, $C$14, 100%, $E$14)</f>
        <v>7.1269</v>
      </c>
      <c r="G403" s="59">
        <f>7.1318 * CHOOSE(CONTROL!$C$27, $C$14, 100%, $E$14)</f>
        <v>7.1318000000000001</v>
      </c>
      <c r="H403" s="59">
        <f>13.1471* CHOOSE(CONTROL!$C$27, $C$14, 100%, $E$14)</f>
        <v>13.1471</v>
      </c>
      <c r="I403" s="59">
        <f>13.152 * CHOOSE(CONTROL!$C$27, $C$14, 100%, $E$14)</f>
        <v>13.151999999999999</v>
      </c>
      <c r="J403" s="59">
        <f>13.1471 * CHOOSE(CONTROL!$C$27, $C$14, 100%, $E$14)</f>
        <v>13.1471</v>
      </c>
      <c r="K403" s="59">
        <f>13.152 * CHOOSE(CONTROL!$C$27, $C$14, 100%, $E$14)</f>
        <v>13.151999999999999</v>
      </c>
      <c r="L403" s="59">
        <f>7.1269 * CHOOSE(CONTROL!$C$27, $C$14, 100%, $E$14)</f>
        <v>7.1269</v>
      </c>
      <c r="M403" s="59">
        <f>7.1318 * CHOOSE(CONTROL!$C$27, $C$14, 100%, $E$14)</f>
        <v>7.1318000000000001</v>
      </c>
      <c r="N403" s="59">
        <f>7.1269 * CHOOSE(CONTROL!$C$27, $C$14, 100%, $E$14)</f>
        <v>7.1269</v>
      </c>
      <c r="O403" s="59">
        <f>7.1318 * CHOOSE(CONTROL!$C$27, $C$14, 100%, $E$14)</f>
        <v>7.1318000000000001</v>
      </c>
    </row>
    <row r="404" spans="1:15" ht="15">
      <c r="A404" s="11">
        <v>53387</v>
      </c>
      <c r="B404" s="58">
        <f>6.0094 * CHOOSE(CONTROL!$C$27, $C$14, 100%, $E$14)</f>
        <v>6.0094000000000003</v>
      </c>
      <c r="C404" s="58">
        <f>6.0094 * CHOOSE(CONTROL!$C$27, $C$14, 100%, $E$14)</f>
        <v>6.0094000000000003</v>
      </c>
      <c r="D404" s="58">
        <f>6.0134 * CHOOSE(CONTROL!$C$27, $C$14, 100%, $E$14)</f>
        <v>6.0133999999999999</v>
      </c>
      <c r="E404" s="59">
        <f>7.2164 * CHOOSE(CONTROL!$C$27, $C$14, 100%, $E$14)</f>
        <v>7.2164000000000001</v>
      </c>
      <c r="F404" s="59">
        <f>7.2164 * CHOOSE(CONTROL!$C$27, $C$14, 100%, $E$14)</f>
        <v>7.2164000000000001</v>
      </c>
      <c r="G404" s="59">
        <f>7.2213 * CHOOSE(CONTROL!$C$27, $C$14, 100%, $E$14)</f>
        <v>7.2213000000000003</v>
      </c>
      <c r="H404" s="59">
        <f>13.1745* CHOOSE(CONTROL!$C$27, $C$14, 100%, $E$14)</f>
        <v>13.1745</v>
      </c>
      <c r="I404" s="59">
        <f>13.1794 * CHOOSE(CONTROL!$C$27, $C$14, 100%, $E$14)</f>
        <v>13.179399999999999</v>
      </c>
      <c r="J404" s="59">
        <f>13.1745 * CHOOSE(CONTROL!$C$27, $C$14, 100%, $E$14)</f>
        <v>13.1745</v>
      </c>
      <c r="K404" s="59">
        <f>13.1794 * CHOOSE(CONTROL!$C$27, $C$14, 100%, $E$14)</f>
        <v>13.179399999999999</v>
      </c>
      <c r="L404" s="59">
        <f>7.2164 * CHOOSE(CONTROL!$C$27, $C$14, 100%, $E$14)</f>
        <v>7.2164000000000001</v>
      </c>
      <c r="M404" s="59">
        <f>7.2213 * CHOOSE(CONTROL!$C$27, $C$14, 100%, $E$14)</f>
        <v>7.2213000000000003</v>
      </c>
      <c r="N404" s="59">
        <f>7.2164 * CHOOSE(CONTROL!$C$27, $C$14, 100%, $E$14)</f>
        <v>7.2164000000000001</v>
      </c>
      <c r="O404" s="59">
        <f>7.2213 * CHOOSE(CONTROL!$C$27, $C$14, 100%, $E$14)</f>
        <v>7.2213000000000003</v>
      </c>
    </row>
    <row r="405" spans="1:15" ht="15">
      <c r="A405" s="11">
        <v>53418</v>
      </c>
      <c r="B405" s="58">
        <f>6.0088 * CHOOSE(CONTROL!$C$27, $C$14, 100%, $E$14)</f>
        <v>6.0087999999999999</v>
      </c>
      <c r="C405" s="58">
        <f>6.0088 * CHOOSE(CONTROL!$C$27, $C$14, 100%, $E$14)</f>
        <v>6.0087999999999999</v>
      </c>
      <c r="D405" s="58">
        <f>6.0128 * CHOOSE(CONTROL!$C$27, $C$14, 100%, $E$14)</f>
        <v>6.0128000000000004</v>
      </c>
      <c r="E405" s="59">
        <f>7.3105 * CHOOSE(CONTROL!$C$27, $C$14, 100%, $E$14)</f>
        <v>7.3105000000000002</v>
      </c>
      <c r="F405" s="59">
        <f>7.3105 * CHOOSE(CONTROL!$C$27, $C$14, 100%, $E$14)</f>
        <v>7.3105000000000002</v>
      </c>
      <c r="G405" s="59">
        <f>7.3154 * CHOOSE(CONTROL!$C$27, $C$14, 100%, $E$14)</f>
        <v>7.3154000000000003</v>
      </c>
      <c r="H405" s="59">
        <f>13.2019* CHOOSE(CONTROL!$C$27, $C$14, 100%, $E$14)</f>
        <v>13.2019</v>
      </c>
      <c r="I405" s="59">
        <f>13.2069 * CHOOSE(CONTROL!$C$27, $C$14, 100%, $E$14)</f>
        <v>13.206899999999999</v>
      </c>
      <c r="J405" s="59">
        <f>13.2019 * CHOOSE(CONTROL!$C$27, $C$14, 100%, $E$14)</f>
        <v>13.2019</v>
      </c>
      <c r="K405" s="59">
        <f>13.2069 * CHOOSE(CONTROL!$C$27, $C$14, 100%, $E$14)</f>
        <v>13.206899999999999</v>
      </c>
      <c r="L405" s="59">
        <f>7.3105 * CHOOSE(CONTROL!$C$27, $C$14, 100%, $E$14)</f>
        <v>7.3105000000000002</v>
      </c>
      <c r="M405" s="59">
        <f>7.3154 * CHOOSE(CONTROL!$C$27, $C$14, 100%, $E$14)</f>
        <v>7.3154000000000003</v>
      </c>
      <c r="N405" s="59">
        <f>7.3105 * CHOOSE(CONTROL!$C$27, $C$14, 100%, $E$14)</f>
        <v>7.3105000000000002</v>
      </c>
      <c r="O405" s="59">
        <f>7.3154 * CHOOSE(CONTROL!$C$27, $C$14, 100%, $E$14)</f>
        <v>7.3154000000000003</v>
      </c>
    </row>
    <row r="406" spans="1:15" ht="15">
      <c r="A406" s="11">
        <v>53448</v>
      </c>
      <c r="B406" s="58">
        <f>6.0088 * CHOOSE(CONTROL!$C$27, $C$14, 100%, $E$14)</f>
        <v>6.0087999999999999</v>
      </c>
      <c r="C406" s="58">
        <f>6.0088 * CHOOSE(CONTROL!$C$27, $C$14, 100%, $E$14)</f>
        <v>6.0087999999999999</v>
      </c>
      <c r="D406" s="58">
        <f>6.0144 * CHOOSE(CONTROL!$C$27, $C$14, 100%, $E$14)</f>
        <v>6.0144000000000002</v>
      </c>
      <c r="E406" s="59">
        <f>7.3474 * CHOOSE(CONTROL!$C$27, $C$14, 100%, $E$14)</f>
        <v>7.3474000000000004</v>
      </c>
      <c r="F406" s="59">
        <f>7.3474 * CHOOSE(CONTROL!$C$27, $C$14, 100%, $E$14)</f>
        <v>7.3474000000000004</v>
      </c>
      <c r="G406" s="59">
        <f>7.3543 * CHOOSE(CONTROL!$C$27, $C$14, 100%, $E$14)</f>
        <v>7.3543000000000003</v>
      </c>
      <c r="H406" s="59">
        <f>13.2294* CHOOSE(CONTROL!$C$27, $C$14, 100%, $E$14)</f>
        <v>13.2294</v>
      </c>
      <c r="I406" s="59">
        <f>13.2363 * CHOOSE(CONTROL!$C$27, $C$14, 100%, $E$14)</f>
        <v>13.2363</v>
      </c>
      <c r="J406" s="59">
        <f>13.2294 * CHOOSE(CONTROL!$C$27, $C$14, 100%, $E$14)</f>
        <v>13.2294</v>
      </c>
      <c r="K406" s="59">
        <f>13.2363 * CHOOSE(CONTROL!$C$27, $C$14, 100%, $E$14)</f>
        <v>13.2363</v>
      </c>
      <c r="L406" s="59">
        <f>7.3474 * CHOOSE(CONTROL!$C$27, $C$14, 100%, $E$14)</f>
        <v>7.3474000000000004</v>
      </c>
      <c r="M406" s="59">
        <f>7.3543 * CHOOSE(CONTROL!$C$27, $C$14, 100%, $E$14)</f>
        <v>7.3543000000000003</v>
      </c>
      <c r="N406" s="59">
        <f>7.3474 * CHOOSE(CONTROL!$C$27, $C$14, 100%, $E$14)</f>
        <v>7.3474000000000004</v>
      </c>
      <c r="O406" s="59">
        <f>7.3543 * CHOOSE(CONTROL!$C$27, $C$14, 100%, $E$14)</f>
        <v>7.3543000000000003</v>
      </c>
    </row>
    <row r="407" spans="1:15" ht="15">
      <c r="A407" s="11">
        <v>53479</v>
      </c>
      <c r="B407" s="58">
        <f>6.0149 * CHOOSE(CONTROL!$C$27, $C$14, 100%, $E$14)</f>
        <v>6.0148999999999999</v>
      </c>
      <c r="C407" s="58">
        <f>6.0149 * CHOOSE(CONTROL!$C$27, $C$14, 100%, $E$14)</f>
        <v>6.0148999999999999</v>
      </c>
      <c r="D407" s="58">
        <f>6.0205 * CHOOSE(CONTROL!$C$27, $C$14, 100%, $E$14)</f>
        <v>6.0205000000000002</v>
      </c>
      <c r="E407" s="59">
        <f>7.3147 * CHOOSE(CONTROL!$C$27, $C$14, 100%, $E$14)</f>
        <v>7.3147000000000002</v>
      </c>
      <c r="F407" s="59">
        <f>7.3147 * CHOOSE(CONTROL!$C$27, $C$14, 100%, $E$14)</f>
        <v>7.3147000000000002</v>
      </c>
      <c r="G407" s="59">
        <f>7.3216 * CHOOSE(CONTROL!$C$27, $C$14, 100%, $E$14)</f>
        <v>7.3216000000000001</v>
      </c>
      <c r="H407" s="59">
        <f>13.257* CHOOSE(CONTROL!$C$27, $C$14, 100%, $E$14)</f>
        <v>13.257</v>
      </c>
      <c r="I407" s="59">
        <f>13.2639 * CHOOSE(CONTROL!$C$27, $C$14, 100%, $E$14)</f>
        <v>13.2639</v>
      </c>
      <c r="J407" s="59">
        <f>13.257 * CHOOSE(CONTROL!$C$27, $C$14, 100%, $E$14)</f>
        <v>13.257</v>
      </c>
      <c r="K407" s="59">
        <f>13.2639 * CHOOSE(CONTROL!$C$27, $C$14, 100%, $E$14)</f>
        <v>13.2639</v>
      </c>
      <c r="L407" s="59">
        <f>7.3147 * CHOOSE(CONTROL!$C$27, $C$14, 100%, $E$14)</f>
        <v>7.3147000000000002</v>
      </c>
      <c r="M407" s="59">
        <f>7.3216 * CHOOSE(CONTROL!$C$27, $C$14, 100%, $E$14)</f>
        <v>7.3216000000000001</v>
      </c>
      <c r="N407" s="59">
        <f>7.3147 * CHOOSE(CONTROL!$C$27, $C$14, 100%, $E$14)</f>
        <v>7.3147000000000002</v>
      </c>
      <c r="O407" s="59">
        <f>7.3216 * CHOOSE(CONTROL!$C$27, $C$14, 100%, $E$14)</f>
        <v>7.3216000000000001</v>
      </c>
    </row>
    <row r="408" spans="1:15" ht="15">
      <c r="A408" s="11">
        <v>53509</v>
      </c>
      <c r="B408" s="58">
        <f>6.1119 * CHOOSE(CONTROL!$C$27, $C$14, 100%, $E$14)</f>
        <v>6.1119000000000003</v>
      </c>
      <c r="C408" s="58">
        <f>6.1119 * CHOOSE(CONTROL!$C$27, $C$14, 100%, $E$14)</f>
        <v>6.1119000000000003</v>
      </c>
      <c r="D408" s="58">
        <f>6.1176 * CHOOSE(CONTROL!$C$27, $C$14, 100%, $E$14)</f>
        <v>6.1176000000000004</v>
      </c>
      <c r="E408" s="59">
        <f>7.4374 * CHOOSE(CONTROL!$C$27, $C$14, 100%, $E$14)</f>
        <v>7.4374000000000002</v>
      </c>
      <c r="F408" s="59">
        <f>7.4374 * CHOOSE(CONTROL!$C$27, $C$14, 100%, $E$14)</f>
        <v>7.4374000000000002</v>
      </c>
      <c r="G408" s="59">
        <f>7.4443 * CHOOSE(CONTROL!$C$27, $C$14, 100%, $E$14)</f>
        <v>7.4443000000000001</v>
      </c>
      <c r="H408" s="59">
        <f>13.2846* CHOOSE(CONTROL!$C$27, $C$14, 100%, $E$14)</f>
        <v>13.284599999999999</v>
      </c>
      <c r="I408" s="59">
        <f>13.2915 * CHOOSE(CONTROL!$C$27, $C$14, 100%, $E$14)</f>
        <v>13.291499999999999</v>
      </c>
      <c r="J408" s="59">
        <f>13.2846 * CHOOSE(CONTROL!$C$27, $C$14, 100%, $E$14)</f>
        <v>13.284599999999999</v>
      </c>
      <c r="K408" s="59">
        <f>13.2915 * CHOOSE(CONTROL!$C$27, $C$14, 100%, $E$14)</f>
        <v>13.291499999999999</v>
      </c>
      <c r="L408" s="59">
        <f>7.4374 * CHOOSE(CONTROL!$C$27, $C$14, 100%, $E$14)</f>
        <v>7.4374000000000002</v>
      </c>
      <c r="M408" s="59">
        <f>7.4443 * CHOOSE(CONTROL!$C$27, $C$14, 100%, $E$14)</f>
        <v>7.4443000000000001</v>
      </c>
      <c r="N408" s="59">
        <f>7.4374 * CHOOSE(CONTROL!$C$27, $C$14, 100%, $E$14)</f>
        <v>7.4374000000000002</v>
      </c>
      <c r="O408" s="59">
        <f>7.4443 * CHOOSE(CONTROL!$C$27, $C$14, 100%, $E$14)</f>
        <v>7.4443000000000001</v>
      </c>
    </row>
    <row r="409" spans="1:15" ht="15">
      <c r="A409" s="11">
        <v>53540</v>
      </c>
      <c r="B409" s="58">
        <f>6.1186 * CHOOSE(CONTROL!$C$27, $C$14, 100%, $E$14)</f>
        <v>6.1185999999999998</v>
      </c>
      <c r="C409" s="58">
        <f>6.1186 * CHOOSE(CONTROL!$C$27, $C$14, 100%, $E$14)</f>
        <v>6.1185999999999998</v>
      </c>
      <c r="D409" s="58">
        <f>6.1243 * CHOOSE(CONTROL!$C$27, $C$14, 100%, $E$14)</f>
        <v>6.1242999999999999</v>
      </c>
      <c r="E409" s="59">
        <f>7.3314 * CHOOSE(CONTROL!$C$27, $C$14, 100%, $E$14)</f>
        <v>7.3314000000000004</v>
      </c>
      <c r="F409" s="59">
        <f>7.3314 * CHOOSE(CONTROL!$C$27, $C$14, 100%, $E$14)</f>
        <v>7.3314000000000004</v>
      </c>
      <c r="G409" s="59">
        <f>7.3383 * CHOOSE(CONTROL!$C$27, $C$14, 100%, $E$14)</f>
        <v>7.3383000000000003</v>
      </c>
      <c r="H409" s="59">
        <f>13.3123* CHOOSE(CONTROL!$C$27, $C$14, 100%, $E$14)</f>
        <v>13.3123</v>
      </c>
      <c r="I409" s="59">
        <f>13.3192 * CHOOSE(CONTROL!$C$27, $C$14, 100%, $E$14)</f>
        <v>13.3192</v>
      </c>
      <c r="J409" s="59">
        <f>13.3123 * CHOOSE(CONTROL!$C$27, $C$14, 100%, $E$14)</f>
        <v>13.3123</v>
      </c>
      <c r="K409" s="59">
        <f>13.3192 * CHOOSE(CONTROL!$C$27, $C$14, 100%, $E$14)</f>
        <v>13.3192</v>
      </c>
      <c r="L409" s="59">
        <f>7.3314 * CHOOSE(CONTROL!$C$27, $C$14, 100%, $E$14)</f>
        <v>7.3314000000000004</v>
      </c>
      <c r="M409" s="59">
        <f>7.3383 * CHOOSE(CONTROL!$C$27, $C$14, 100%, $E$14)</f>
        <v>7.3383000000000003</v>
      </c>
      <c r="N409" s="59">
        <f>7.3314 * CHOOSE(CONTROL!$C$27, $C$14, 100%, $E$14)</f>
        <v>7.3314000000000004</v>
      </c>
      <c r="O409" s="59">
        <f>7.3383 * CHOOSE(CONTROL!$C$27, $C$14, 100%, $E$14)</f>
        <v>7.3383000000000003</v>
      </c>
    </row>
    <row r="410" spans="1:15" ht="15">
      <c r="A410" s="11">
        <v>53571</v>
      </c>
      <c r="B410" s="58">
        <f>6.1156 * CHOOSE(CONTROL!$C$27, $C$14, 100%, $E$14)</f>
        <v>6.1155999999999997</v>
      </c>
      <c r="C410" s="58">
        <f>6.1156 * CHOOSE(CONTROL!$C$27, $C$14, 100%, $E$14)</f>
        <v>6.1155999999999997</v>
      </c>
      <c r="D410" s="58">
        <f>6.1212 * CHOOSE(CONTROL!$C$27, $C$14, 100%, $E$14)</f>
        <v>6.1212</v>
      </c>
      <c r="E410" s="59">
        <f>7.317 * CHOOSE(CONTROL!$C$27, $C$14, 100%, $E$14)</f>
        <v>7.3170000000000002</v>
      </c>
      <c r="F410" s="59">
        <f>7.317 * CHOOSE(CONTROL!$C$27, $C$14, 100%, $E$14)</f>
        <v>7.3170000000000002</v>
      </c>
      <c r="G410" s="59">
        <f>7.3238 * CHOOSE(CONTROL!$C$27, $C$14, 100%, $E$14)</f>
        <v>7.3238000000000003</v>
      </c>
      <c r="H410" s="59">
        <f>13.34* CHOOSE(CONTROL!$C$27, $C$14, 100%, $E$14)</f>
        <v>13.34</v>
      </c>
      <c r="I410" s="59">
        <f>13.3469 * CHOOSE(CONTROL!$C$27, $C$14, 100%, $E$14)</f>
        <v>13.3469</v>
      </c>
      <c r="J410" s="59">
        <f>13.34 * CHOOSE(CONTROL!$C$27, $C$14, 100%, $E$14)</f>
        <v>13.34</v>
      </c>
      <c r="K410" s="59">
        <f>13.3469 * CHOOSE(CONTROL!$C$27, $C$14, 100%, $E$14)</f>
        <v>13.3469</v>
      </c>
      <c r="L410" s="59">
        <f>7.317 * CHOOSE(CONTROL!$C$27, $C$14, 100%, $E$14)</f>
        <v>7.3170000000000002</v>
      </c>
      <c r="M410" s="59">
        <f>7.3238 * CHOOSE(CONTROL!$C$27, $C$14, 100%, $E$14)</f>
        <v>7.3238000000000003</v>
      </c>
      <c r="N410" s="59">
        <f>7.317 * CHOOSE(CONTROL!$C$27, $C$14, 100%, $E$14)</f>
        <v>7.3170000000000002</v>
      </c>
      <c r="O410" s="59">
        <f>7.3238 * CHOOSE(CONTROL!$C$27, $C$14, 100%, $E$14)</f>
        <v>7.3238000000000003</v>
      </c>
    </row>
    <row r="411" spans="1:15" ht="15">
      <c r="A411" s="11">
        <v>53601</v>
      </c>
      <c r="B411" s="58">
        <f>6.1176 * CHOOSE(CONTROL!$C$27, $C$14, 100%, $E$14)</f>
        <v>6.1176000000000004</v>
      </c>
      <c r="C411" s="58">
        <f>6.1176 * CHOOSE(CONTROL!$C$27, $C$14, 100%, $E$14)</f>
        <v>6.1176000000000004</v>
      </c>
      <c r="D411" s="58">
        <f>6.1216 * CHOOSE(CONTROL!$C$27, $C$14, 100%, $E$14)</f>
        <v>6.1215999999999999</v>
      </c>
      <c r="E411" s="59">
        <f>7.3527 * CHOOSE(CONTROL!$C$27, $C$14, 100%, $E$14)</f>
        <v>7.3526999999999996</v>
      </c>
      <c r="F411" s="59">
        <f>7.3527 * CHOOSE(CONTROL!$C$27, $C$14, 100%, $E$14)</f>
        <v>7.3526999999999996</v>
      </c>
      <c r="G411" s="59">
        <f>7.3576 * CHOOSE(CONTROL!$C$27, $C$14, 100%, $E$14)</f>
        <v>7.3575999999999997</v>
      </c>
      <c r="H411" s="59">
        <f>13.3678* CHOOSE(CONTROL!$C$27, $C$14, 100%, $E$14)</f>
        <v>13.367800000000001</v>
      </c>
      <c r="I411" s="59">
        <f>13.3727 * CHOOSE(CONTROL!$C$27, $C$14, 100%, $E$14)</f>
        <v>13.3727</v>
      </c>
      <c r="J411" s="59">
        <f>13.3678 * CHOOSE(CONTROL!$C$27, $C$14, 100%, $E$14)</f>
        <v>13.367800000000001</v>
      </c>
      <c r="K411" s="59">
        <f>13.3727 * CHOOSE(CONTROL!$C$27, $C$14, 100%, $E$14)</f>
        <v>13.3727</v>
      </c>
      <c r="L411" s="59">
        <f>7.3527 * CHOOSE(CONTROL!$C$27, $C$14, 100%, $E$14)</f>
        <v>7.3526999999999996</v>
      </c>
      <c r="M411" s="59">
        <f>7.3576 * CHOOSE(CONTROL!$C$27, $C$14, 100%, $E$14)</f>
        <v>7.3575999999999997</v>
      </c>
      <c r="N411" s="59">
        <f>7.3527 * CHOOSE(CONTROL!$C$27, $C$14, 100%, $E$14)</f>
        <v>7.3526999999999996</v>
      </c>
      <c r="O411" s="59">
        <f>7.3576 * CHOOSE(CONTROL!$C$27, $C$14, 100%, $E$14)</f>
        <v>7.3575999999999997</v>
      </c>
    </row>
    <row r="412" spans="1:15" ht="15">
      <c r="A412" s="11">
        <v>53632</v>
      </c>
      <c r="B412" s="58">
        <f>6.1207 * CHOOSE(CONTROL!$C$27, $C$14, 100%, $E$14)</f>
        <v>6.1207000000000003</v>
      </c>
      <c r="C412" s="58">
        <f>6.1207 * CHOOSE(CONTROL!$C$27, $C$14, 100%, $E$14)</f>
        <v>6.1207000000000003</v>
      </c>
      <c r="D412" s="58">
        <f>6.1247 * CHOOSE(CONTROL!$C$27, $C$14, 100%, $E$14)</f>
        <v>6.1246999999999998</v>
      </c>
      <c r="E412" s="59">
        <f>7.3794 * CHOOSE(CONTROL!$C$27, $C$14, 100%, $E$14)</f>
        <v>7.3794000000000004</v>
      </c>
      <c r="F412" s="59">
        <f>7.3794 * CHOOSE(CONTROL!$C$27, $C$14, 100%, $E$14)</f>
        <v>7.3794000000000004</v>
      </c>
      <c r="G412" s="59">
        <f>7.3843 * CHOOSE(CONTROL!$C$27, $C$14, 100%, $E$14)</f>
        <v>7.3842999999999996</v>
      </c>
      <c r="H412" s="59">
        <f>13.3957* CHOOSE(CONTROL!$C$27, $C$14, 100%, $E$14)</f>
        <v>13.3957</v>
      </c>
      <c r="I412" s="59">
        <f>13.4006 * CHOOSE(CONTROL!$C$27, $C$14, 100%, $E$14)</f>
        <v>13.400600000000001</v>
      </c>
      <c r="J412" s="59">
        <f>13.3957 * CHOOSE(CONTROL!$C$27, $C$14, 100%, $E$14)</f>
        <v>13.3957</v>
      </c>
      <c r="K412" s="59">
        <f>13.4006 * CHOOSE(CONTROL!$C$27, $C$14, 100%, $E$14)</f>
        <v>13.400600000000001</v>
      </c>
      <c r="L412" s="59">
        <f>7.3794 * CHOOSE(CONTROL!$C$27, $C$14, 100%, $E$14)</f>
        <v>7.3794000000000004</v>
      </c>
      <c r="M412" s="59">
        <f>7.3843 * CHOOSE(CONTROL!$C$27, $C$14, 100%, $E$14)</f>
        <v>7.3842999999999996</v>
      </c>
      <c r="N412" s="59">
        <f>7.3794 * CHOOSE(CONTROL!$C$27, $C$14, 100%, $E$14)</f>
        <v>7.3794000000000004</v>
      </c>
      <c r="O412" s="59">
        <f>7.3843 * CHOOSE(CONTROL!$C$27, $C$14, 100%, $E$14)</f>
        <v>7.3842999999999996</v>
      </c>
    </row>
    <row r="413" spans="1:15" ht="15">
      <c r="A413" s="11">
        <v>53662</v>
      </c>
      <c r="B413" s="58">
        <f>6.1207 * CHOOSE(CONTROL!$C$27, $C$14, 100%, $E$14)</f>
        <v>6.1207000000000003</v>
      </c>
      <c r="C413" s="58">
        <f>6.1207 * CHOOSE(CONTROL!$C$27, $C$14, 100%, $E$14)</f>
        <v>6.1207000000000003</v>
      </c>
      <c r="D413" s="58">
        <f>6.1247 * CHOOSE(CONTROL!$C$27, $C$14, 100%, $E$14)</f>
        <v>6.1246999999999998</v>
      </c>
      <c r="E413" s="59">
        <f>7.318 * CHOOSE(CONTROL!$C$27, $C$14, 100%, $E$14)</f>
        <v>7.3179999999999996</v>
      </c>
      <c r="F413" s="59">
        <f>7.318 * CHOOSE(CONTROL!$C$27, $C$14, 100%, $E$14)</f>
        <v>7.3179999999999996</v>
      </c>
      <c r="G413" s="59">
        <f>7.3229 * CHOOSE(CONTROL!$C$27, $C$14, 100%, $E$14)</f>
        <v>7.3228999999999997</v>
      </c>
      <c r="H413" s="59">
        <f>13.4236* CHOOSE(CONTROL!$C$27, $C$14, 100%, $E$14)</f>
        <v>13.4236</v>
      </c>
      <c r="I413" s="59">
        <f>13.4285 * CHOOSE(CONTROL!$C$27, $C$14, 100%, $E$14)</f>
        <v>13.4285</v>
      </c>
      <c r="J413" s="59">
        <f>13.4236 * CHOOSE(CONTROL!$C$27, $C$14, 100%, $E$14)</f>
        <v>13.4236</v>
      </c>
      <c r="K413" s="59">
        <f>13.4285 * CHOOSE(CONTROL!$C$27, $C$14, 100%, $E$14)</f>
        <v>13.4285</v>
      </c>
      <c r="L413" s="59">
        <f>7.318 * CHOOSE(CONTROL!$C$27, $C$14, 100%, $E$14)</f>
        <v>7.3179999999999996</v>
      </c>
      <c r="M413" s="59">
        <f>7.3229 * CHOOSE(CONTROL!$C$27, $C$14, 100%, $E$14)</f>
        <v>7.3228999999999997</v>
      </c>
      <c r="N413" s="59">
        <f>7.318 * CHOOSE(CONTROL!$C$27, $C$14, 100%, $E$14)</f>
        <v>7.3179999999999996</v>
      </c>
      <c r="O413" s="59">
        <f>7.3229 * CHOOSE(CONTROL!$C$27, $C$14, 100%, $E$14)</f>
        <v>7.3228999999999997</v>
      </c>
    </row>
    <row r="414" spans="1:15" ht="15">
      <c r="A414" s="11">
        <v>53693</v>
      </c>
      <c r="B414" s="58">
        <f>6.1742 * CHOOSE(CONTROL!$C$27, $C$14, 100%, $E$14)</f>
        <v>6.1741999999999999</v>
      </c>
      <c r="C414" s="58">
        <f>6.1742 * CHOOSE(CONTROL!$C$27, $C$14, 100%, $E$14)</f>
        <v>6.1741999999999999</v>
      </c>
      <c r="D414" s="58">
        <f>6.1782 * CHOOSE(CONTROL!$C$27, $C$14, 100%, $E$14)</f>
        <v>6.1782000000000004</v>
      </c>
      <c r="E414" s="59">
        <f>7.4222 * CHOOSE(CONTROL!$C$27, $C$14, 100%, $E$14)</f>
        <v>7.4222000000000001</v>
      </c>
      <c r="F414" s="59">
        <f>7.4222 * CHOOSE(CONTROL!$C$27, $C$14, 100%, $E$14)</f>
        <v>7.4222000000000001</v>
      </c>
      <c r="G414" s="59">
        <f>7.4271 * CHOOSE(CONTROL!$C$27, $C$14, 100%, $E$14)</f>
        <v>7.4271000000000003</v>
      </c>
      <c r="H414" s="59">
        <f>13.4515* CHOOSE(CONTROL!$C$27, $C$14, 100%, $E$14)</f>
        <v>13.451499999999999</v>
      </c>
      <c r="I414" s="59">
        <f>13.4565 * CHOOSE(CONTROL!$C$27, $C$14, 100%, $E$14)</f>
        <v>13.4565</v>
      </c>
      <c r="J414" s="59">
        <f>13.4515 * CHOOSE(CONTROL!$C$27, $C$14, 100%, $E$14)</f>
        <v>13.451499999999999</v>
      </c>
      <c r="K414" s="59">
        <f>13.4565 * CHOOSE(CONTROL!$C$27, $C$14, 100%, $E$14)</f>
        <v>13.4565</v>
      </c>
      <c r="L414" s="59">
        <f>7.4222 * CHOOSE(CONTROL!$C$27, $C$14, 100%, $E$14)</f>
        <v>7.4222000000000001</v>
      </c>
      <c r="M414" s="59">
        <f>7.4271 * CHOOSE(CONTROL!$C$27, $C$14, 100%, $E$14)</f>
        <v>7.4271000000000003</v>
      </c>
      <c r="N414" s="59">
        <f>7.4222 * CHOOSE(CONTROL!$C$27, $C$14, 100%, $E$14)</f>
        <v>7.4222000000000001</v>
      </c>
      <c r="O414" s="59">
        <f>7.4271 * CHOOSE(CONTROL!$C$27, $C$14, 100%, $E$14)</f>
        <v>7.4271000000000003</v>
      </c>
    </row>
    <row r="415" spans="1:15" ht="15">
      <c r="A415" s="11">
        <v>53724</v>
      </c>
      <c r="B415" s="58">
        <f>6.1712 * CHOOSE(CONTROL!$C$27, $C$14, 100%, $E$14)</f>
        <v>6.1711999999999998</v>
      </c>
      <c r="C415" s="58">
        <f>6.1712 * CHOOSE(CONTROL!$C$27, $C$14, 100%, $E$14)</f>
        <v>6.1711999999999998</v>
      </c>
      <c r="D415" s="58">
        <f>6.1752 * CHOOSE(CONTROL!$C$27, $C$14, 100%, $E$14)</f>
        <v>6.1752000000000002</v>
      </c>
      <c r="E415" s="59">
        <f>7.3006 * CHOOSE(CONTROL!$C$27, $C$14, 100%, $E$14)</f>
        <v>7.3006000000000002</v>
      </c>
      <c r="F415" s="59">
        <f>7.3006 * CHOOSE(CONTROL!$C$27, $C$14, 100%, $E$14)</f>
        <v>7.3006000000000002</v>
      </c>
      <c r="G415" s="59">
        <f>7.3056 * CHOOSE(CONTROL!$C$27, $C$14, 100%, $E$14)</f>
        <v>7.3056000000000001</v>
      </c>
      <c r="H415" s="59">
        <f>13.4796* CHOOSE(CONTROL!$C$27, $C$14, 100%, $E$14)</f>
        <v>13.4796</v>
      </c>
      <c r="I415" s="59">
        <f>13.4845 * CHOOSE(CONTROL!$C$27, $C$14, 100%, $E$14)</f>
        <v>13.484500000000001</v>
      </c>
      <c r="J415" s="59">
        <f>13.4796 * CHOOSE(CONTROL!$C$27, $C$14, 100%, $E$14)</f>
        <v>13.4796</v>
      </c>
      <c r="K415" s="59">
        <f>13.4845 * CHOOSE(CONTROL!$C$27, $C$14, 100%, $E$14)</f>
        <v>13.484500000000001</v>
      </c>
      <c r="L415" s="59">
        <f>7.3006 * CHOOSE(CONTROL!$C$27, $C$14, 100%, $E$14)</f>
        <v>7.3006000000000002</v>
      </c>
      <c r="M415" s="59">
        <f>7.3056 * CHOOSE(CONTROL!$C$27, $C$14, 100%, $E$14)</f>
        <v>7.3056000000000001</v>
      </c>
      <c r="N415" s="59">
        <f>7.3006 * CHOOSE(CONTROL!$C$27, $C$14, 100%, $E$14)</f>
        <v>7.3006000000000002</v>
      </c>
      <c r="O415" s="59">
        <f>7.3056 * CHOOSE(CONTROL!$C$27, $C$14, 100%, $E$14)</f>
        <v>7.3056000000000001</v>
      </c>
    </row>
    <row r="416" spans="1:15" ht="15">
      <c r="A416" s="11">
        <v>53752</v>
      </c>
      <c r="B416" s="58">
        <f>6.1681 * CHOOSE(CONTROL!$C$27, $C$14, 100%, $E$14)</f>
        <v>6.1680999999999999</v>
      </c>
      <c r="C416" s="58">
        <f>6.1681 * CHOOSE(CONTROL!$C$27, $C$14, 100%, $E$14)</f>
        <v>6.1680999999999999</v>
      </c>
      <c r="D416" s="58">
        <f>6.1721 * CHOOSE(CONTROL!$C$27, $C$14, 100%, $E$14)</f>
        <v>6.1721000000000004</v>
      </c>
      <c r="E416" s="59">
        <f>7.3927 * CHOOSE(CONTROL!$C$27, $C$14, 100%, $E$14)</f>
        <v>7.3926999999999996</v>
      </c>
      <c r="F416" s="59">
        <f>7.3927 * CHOOSE(CONTROL!$C$27, $C$14, 100%, $E$14)</f>
        <v>7.3926999999999996</v>
      </c>
      <c r="G416" s="59">
        <f>7.3976 * CHOOSE(CONTROL!$C$27, $C$14, 100%, $E$14)</f>
        <v>7.3975999999999997</v>
      </c>
      <c r="H416" s="59">
        <f>13.5077* CHOOSE(CONTROL!$C$27, $C$14, 100%, $E$14)</f>
        <v>13.5077</v>
      </c>
      <c r="I416" s="59">
        <f>13.5126 * CHOOSE(CONTROL!$C$27, $C$14, 100%, $E$14)</f>
        <v>13.512600000000001</v>
      </c>
      <c r="J416" s="59">
        <f>13.5077 * CHOOSE(CONTROL!$C$27, $C$14, 100%, $E$14)</f>
        <v>13.5077</v>
      </c>
      <c r="K416" s="59">
        <f>13.5126 * CHOOSE(CONTROL!$C$27, $C$14, 100%, $E$14)</f>
        <v>13.512600000000001</v>
      </c>
      <c r="L416" s="59">
        <f>7.3927 * CHOOSE(CONTROL!$C$27, $C$14, 100%, $E$14)</f>
        <v>7.3926999999999996</v>
      </c>
      <c r="M416" s="59">
        <f>7.3976 * CHOOSE(CONTROL!$C$27, $C$14, 100%, $E$14)</f>
        <v>7.3975999999999997</v>
      </c>
      <c r="N416" s="59">
        <f>7.3927 * CHOOSE(CONTROL!$C$27, $C$14, 100%, $E$14)</f>
        <v>7.3926999999999996</v>
      </c>
      <c r="O416" s="59">
        <f>7.3976 * CHOOSE(CONTROL!$C$27, $C$14, 100%, $E$14)</f>
        <v>7.3975999999999997</v>
      </c>
    </row>
    <row r="417" spans="1:15" ht="15">
      <c r="A417" s="11">
        <v>53783</v>
      </c>
      <c r="B417" s="58">
        <f>6.1677 * CHOOSE(CONTROL!$C$27, $C$14, 100%, $E$14)</f>
        <v>6.1677</v>
      </c>
      <c r="C417" s="58">
        <f>6.1677 * CHOOSE(CONTROL!$C$27, $C$14, 100%, $E$14)</f>
        <v>6.1677</v>
      </c>
      <c r="D417" s="58">
        <f>6.1717 * CHOOSE(CONTROL!$C$27, $C$14, 100%, $E$14)</f>
        <v>6.1717000000000004</v>
      </c>
      <c r="E417" s="59">
        <f>7.4896 * CHOOSE(CONTROL!$C$27, $C$14, 100%, $E$14)</f>
        <v>7.4896000000000003</v>
      </c>
      <c r="F417" s="59">
        <f>7.4896 * CHOOSE(CONTROL!$C$27, $C$14, 100%, $E$14)</f>
        <v>7.4896000000000003</v>
      </c>
      <c r="G417" s="59">
        <f>7.4945 * CHOOSE(CONTROL!$C$27, $C$14, 100%, $E$14)</f>
        <v>7.4945000000000004</v>
      </c>
      <c r="H417" s="59">
        <f>13.5358* CHOOSE(CONTROL!$C$27, $C$14, 100%, $E$14)</f>
        <v>13.5358</v>
      </c>
      <c r="I417" s="59">
        <f>13.5407 * CHOOSE(CONTROL!$C$27, $C$14, 100%, $E$14)</f>
        <v>13.540699999999999</v>
      </c>
      <c r="J417" s="59">
        <f>13.5358 * CHOOSE(CONTROL!$C$27, $C$14, 100%, $E$14)</f>
        <v>13.5358</v>
      </c>
      <c r="K417" s="59">
        <f>13.5407 * CHOOSE(CONTROL!$C$27, $C$14, 100%, $E$14)</f>
        <v>13.540699999999999</v>
      </c>
      <c r="L417" s="59">
        <f>7.4896 * CHOOSE(CONTROL!$C$27, $C$14, 100%, $E$14)</f>
        <v>7.4896000000000003</v>
      </c>
      <c r="M417" s="59">
        <f>7.4945 * CHOOSE(CONTROL!$C$27, $C$14, 100%, $E$14)</f>
        <v>7.4945000000000004</v>
      </c>
      <c r="N417" s="59">
        <f>7.4896 * CHOOSE(CONTROL!$C$27, $C$14, 100%, $E$14)</f>
        <v>7.4896000000000003</v>
      </c>
      <c r="O417" s="59">
        <f>7.4945 * CHOOSE(CONTROL!$C$27, $C$14, 100%, $E$14)</f>
        <v>7.4945000000000004</v>
      </c>
    </row>
    <row r="418" spans="1:15" ht="15">
      <c r="A418" s="11">
        <v>53813</v>
      </c>
      <c r="B418" s="58">
        <f>6.1677 * CHOOSE(CONTROL!$C$27, $C$14, 100%, $E$14)</f>
        <v>6.1677</v>
      </c>
      <c r="C418" s="58">
        <f>6.1677 * CHOOSE(CONTROL!$C$27, $C$14, 100%, $E$14)</f>
        <v>6.1677</v>
      </c>
      <c r="D418" s="58">
        <f>6.1733 * CHOOSE(CONTROL!$C$27, $C$14, 100%, $E$14)</f>
        <v>6.1733000000000002</v>
      </c>
      <c r="E418" s="59">
        <f>7.5275 * CHOOSE(CONTROL!$C$27, $C$14, 100%, $E$14)</f>
        <v>7.5274999999999999</v>
      </c>
      <c r="F418" s="59">
        <f>7.5275 * CHOOSE(CONTROL!$C$27, $C$14, 100%, $E$14)</f>
        <v>7.5274999999999999</v>
      </c>
      <c r="G418" s="59">
        <f>7.5344 * CHOOSE(CONTROL!$C$27, $C$14, 100%, $E$14)</f>
        <v>7.5343999999999998</v>
      </c>
      <c r="H418" s="59">
        <f>13.564* CHOOSE(CONTROL!$C$27, $C$14, 100%, $E$14)</f>
        <v>13.564</v>
      </c>
      <c r="I418" s="59">
        <f>13.5709 * CHOOSE(CONTROL!$C$27, $C$14, 100%, $E$14)</f>
        <v>13.5709</v>
      </c>
      <c r="J418" s="59">
        <f>13.564 * CHOOSE(CONTROL!$C$27, $C$14, 100%, $E$14)</f>
        <v>13.564</v>
      </c>
      <c r="K418" s="59">
        <f>13.5709 * CHOOSE(CONTROL!$C$27, $C$14, 100%, $E$14)</f>
        <v>13.5709</v>
      </c>
      <c r="L418" s="59">
        <f>7.5275 * CHOOSE(CONTROL!$C$27, $C$14, 100%, $E$14)</f>
        <v>7.5274999999999999</v>
      </c>
      <c r="M418" s="59">
        <f>7.5344 * CHOOSE(CONTROL!$C$27, $C$14, 100%, $E$14)</f>
        <v>7.5343999999999998</v>
      </c>
      <c r="N418" s="59">
        <f>7.5275 * CHOOSE(CONTROL!$C$27, $C$14, 100%, $E$14)</f>
        <v>7.5274999999999999</v>
      </c>
      <c r="O418" s="59">
        <f>7.5344 * CHOOSE(CONTROL!$C$27, $C$14, 100%, $E$14)</f>
        <v>7.5343999999999998</v>
      </c>
    </row>
    <row r="419" spans="1:15" ht="15">
      <c r="A419" s="11">
        <v>53844</v>
      </c>
      <c r="B419" s="58">
        <f>6.1737 * CHOOSE(CONTROL!$C$27, $C$14, 100%, $E$14)</f>
        <v>6.1737000000000002</v>
      </c>
      <c r="C419" s="58">
        <f>6.1737 * CHOOSE(CONTROL!$C$27, $C$14, 100%, $E$14)</f>
        <v>6.1737000000000002</v>
      </c>
      <c r="D419" s="58">
        <f>6.1794 * CHOOSE(CONTROL!$C$27, $C$14, 100%, $E$14)</f>
        <v>6.1794000000000002</v>
      </c>
      <c r="E419" s="59">
        <f>7.4938 * CHOOSE(CONTROL!$C$27, $C$14, 100%, $E$14)</f>
        <v>7.4938000000000002</v>
      </c>
      <c r="F419" s="59">
        <f>7.4938 * CHOOSE(CONTROL!$C$27, $C$14, 100%, $E$14)</f>
        <v>7.4938000000000002</v>
      </c>
      <c r="G419" s="59">
        <f>7.5007 * CHOOSE(CONTROL!$C$27, $C$14, 100%, $E$14)</f>
        <v>7.5007000000000001</v>
      </c>
      <c r="H419" s="59">
        <f>13.5923* CHOOSE(CONTROL!$C$27, $C$14, 100%, $E$14)</f>
        <v>13.5923</v>
      </c>
      <c r="I419" s="59">
        <f>13.5991 * CHOOSE(CONTROL!$C$27, $C$14, 100%, $E$14)</f>
        <v>13.5991</v>
      </c>
      <c r="J419" s="59">
        <f>13.5923 * CHOOSE(CONTROL!$C$27, $C$14, 100%, $E$14)</f>
        <v>13.5923</v>
      </c>
      <c r="K419" s="59">
        <f>13.5991 * CHOOSE(CONTROL!$C$27, $C$14, 100%, $E$14)</f>
        <v>13.5991</v>
      </c>
      <c r="L419" s="59">
        <f>7.4938 * CHOOSE(CONTROL!$C$27, $C$14, 100%, $E$14)</f>
        <v>7.4938000000000002</v>
      </c>
      <c r="M419" s="59">
        <f>7.5007 * CHOOSE(CONTROL!$C$27, $C$14, 100%, $E$14)</f>
        <v>7.5007000000000001</v>
      </c>
      <c r="N419" s="59">
        <f>7.4938 * CHOOSE(CONTROL!$C$27, $C$14, 100%, $E$14)</f>
        <v>7.4938000000000002</v>
      </c>
      <c r="O419" s="59">
        <f>7.5007 * CHOOSE(CONTROL!$C$27, $C$14, 100%, $E$14)</f>
        <v>7.5007000000000001</v>
      </c>
    </row>
    <row r="420" spans="1:15" ht="15">
      <c r="A420" s="11">
        <v>53874</v>
      </c>
      <c r="B420" s="58">
        <f>6.273 * CHOOSE(CONTROL!$C$27, $C$14, 100%, $E$14)</f>
        <v>6.2729999999999997</v>
      </c>
      <c r="C420" s="58">
        <f>6.273 * CHOOSE(CONTROL!$C$27, $C$14, 100%, $E$14)</f>
        <v>6.2729999999999997</v>
      </c>
      <c r="D420" s="58">
        <f>6.2787 * CHOOSE(CONTROL!$C$27, $C$14, 100%, $E$14)</f>
        <v>6.2786999999999997</v>
      </c>
      <c r="E420" s="59">
        <f>7.6192 * CHOOSE(CONTROL!$C$27, $C$14, 100%, $E$14)</f>
        <v>7.6192000000000002</v>
      </c>
      <c r="F420" s="59">
        <f>7.6192 * CHOOSE(CONTROL!$C$27, $C$14, 100%, $E$14)</f>
        <v>7.6192000000000002</v>
      </c>
      <c r="G420" s="59">
        <f>7.6261 * CHOOSE(CONTROL!$C$27, $C$14, 100%, $E$14)</f>
        <v>7.6261000000000001</v>
      </c>
      <c r="H420" s="59">
        <f>13.6206* CHOOSE(CONTROL!$C$27, $C$14, 100%, $E$14)</f>
        <v>13.6206</v>
      </c>
      <c r="I420" s="59">
        <f>13.6275 * CHOOSE(CONTROL!$C$27, $C$14, 100%, $E$14)</f>
        <v>13.6275</v>
      </c>
      <c r="J420" s="59">
        <f>13.6206 * CHOOSE(CONTROL!$C$27, $C$14, 100%, $E$14)</f>
        <v>13.6206</v>
      </c>
      <c r="K420" s="59">
        <f>13.6275 * CHOOSE(CONTROL!$C$27, $C$14, 100%, $E$14)</f>
        <v>13.6275</v>
      </c>
      <c r="L420" s="59">
        <f>7.6192 * CHOOSE(CONTROL!$C$27, $C$14, 100%, $E$14)</f>
        <v>7.6192000000000002</v>
      </c>
      <c r="M420" s="59">
        <f>7.6261 * CHOOSE(CONTROL!$C$27, $C$14, 100%, $E$14)</f>
        <v>7.6261000000000001</v>
      </c>
      <c r="N420" s="59">
        <f>7.6192 * CHOOSE(CONTROL!$C$27, $C$14, 100%, $E$14)</f>
        <v>7.6192000000000002</v>
      </c>
      <c r="O420" s="59">
        <f>7.6261 * CHOOSE(CONTROL!$C$27, $C$14, 100%, $E$14)</f>
        <v>7.6261000000000001</v>
      </c>
    </row>
    <row r="421" spans="1:15" ht="15">
      <c r="A421" s="11">
        <v>53905</v>
      </c>
      <c r="B421" s="58">
        <f>6.2797 * CHOOSE(CONTROL!$C$27, $C$14, 100%, $E$14)</f>
        <v>6.2797000000000001</v>
      </c>
      <c r="C421" s="58">
        <f>6.2797 * CHOOSE(CONTROL!$C$27, $C$14, 100%, $E$14)</f>
        <v>6.2797000000000001</v>
      </c>
      <c r="D421" s="58">
        <f>6.2854 * CHOOSE(CONTROL!$C$27, $C$14, 100%, $E$14)</f>
        <v>6.2854000000000001</v>
      </c>
      <c r="E421" s="59">
        <f>7.5101 * CHOOSE(CONTROL!$C$27, $C$14, 100%, $E$14)</f>
        <v>7.5101000000000004</v>
      </c>
      <c r="F421" s="59">
        <f>7.5101 * CHOOSE(CONTROL!$C$27, $C$14, 100%, $E$14)</f>
        <v>7.5101000000000004</v>
      </c>
      <c r="G421" s="59">
        <f>7.517 * CHOOSE(CONTROL!$C$27, $C$14, 100%, $E$14)</f>
        <v>7.5170000000000003</v>
      </c>
      <c r="H421" s="59">
        <f>13.6489* CHOOSE(CONTROL!$C$27, $C$14, 100%, $E$14)</f>
        <v>13.648899999999999</v>
      </c>
      <c r="I421" s="59">
        <f>13.6558 * CHOOSE(CONTROL!$C$27, $C$14, 100%, $E$14)</f>
        <v>13.655799999999999</v>
      </c>
      <c r="J421" s="59">
        <f>13.6489 * CHOOSE(CONTROL!$C$27, $C$14, 100%, $E$14)</f>
        <v>13.648899999999999</v>
      </c>
      <c r="K421" s="59">
        <f>13.6558 * CHOOSE(CONTROL!$C$27, $C$14, 100%, $E$14)</f>
        <v>13.655799999999999</v>
      </c>
      <c r="L421" s="59">
        <f>7.5101 * CHOOSE(CONTROL!$C$27, $C$14, 100%, $E$14)</f>
        <v>7.5101000000000004</v>
      </c>
      <c r="M421" s="59">
        <f>7.517 * CHOOSE(CONTROL!$C$27, $C$14, 100%, $E$14)</f>
        <v>7.5170000000000003</v>
      </c>
      <c r="N421" s="59">
        <f>7.5101 * CHOOSE(CONTROL!$C$27, $C$14, 100%, $E$14)</f>
        <v>7.5101000000000004</v>
      </c>
      <c r="O421" s="59">
        <f>7.517 * CHOOSE(CONTROL!$C$27, $C$14, 100%, $E$14)</f>
        <v>7.5170000000000003</v>
      </c>
    </row>
    <row r="422" spans="1:15" ht="15">
      <c r="A422" s="11">
        <v>53936</v>
      </c>
      <c r="B422" s="58">
        <f>6.2767 * CHOOSE(CONTROL!$C$27, $C$14, 100%, $E$14)</f>
        <v>6.2766999999999999</v>
      </c>
      <c r="C422" s="58">
        <f>6.2767 * CHOOSE(CONTROL!$C$27, $C$14, 100%, $E$14)</f>
        <v>6.2766999999999999</v>
      </c>
      <c r="D422" s="58">
        <f>6.2823 * CHOOSE(CONTROL!$C$27, $C$14, 100%, $E$14)</f>
        <v>6.2823000000000002</v>
      </c>
      <c r="E422" s="59">
        <f>7.4953 * CHOOSE(CONTROL!$C$27, $C$14, 100%, $E$14)</f>
        <v>7.4953000000000003</v>
      </c>
      <c r="F422" s="59">
        <f>7.4953 * CHOOSE(CONTROL!$C$27, $C$14, 100%, $E$14)</f>
        <v>7.4953000000000003</v>
      </c>
      <c r="G422" s="59">
        <f>7.5022 * CHOOSE(CONTROL!$C$27, $C$14, 100%, $E$14)</f>
        <v>7.5022000000000002</v>
      </c>
      <c r="H422" s="59">
        <f>13.6774* CHOOSE(CONTROL!$C$27, $C$14, 100%, $E$14)</f>
        <v>13.6774</v>
      </c>
      <c r="I422" s="59">
        <f>13.6843 * CHOOSE(CONTROL!$C$27, $C$14, 100%, $E$14)</f>
        <v>13.6843</v>
      </c>
      <c r="J422" s="59">
        <f>13.6774 * CHOOSE(CONTROL!$C$27, $C$14, 100%, $E$14)</f>
        <v>13.6774</v>
      </c>
      <c r="K422" s="59">
        <f>13.6843 * CHOOSE(CONTROL!$C$27, $C$14, 100%, $E$14)</f>
        <v>13.6843</v>
      </c>
      <c r="L422" s="59">
        <f>7.4953 * CHOOSE(CONTROL!$C$27, $C$14, 100%, $E$14)</f>
        <v>7.4953000000000003</v>
      </c>
      <c r="M422" s="59">
        <f>7.5022 * CHOOSE(CONTROL!$C$27, $C$14, 100%, $E$14)</f>
        <v>7.5022000000000002</v>
      </c>
      <c r="N422" s="59">
        <f>7.4953 * CHOOSE(CONTROL!$C$27, $C$14, 100%, $E$14)</f>
        <v>7.4953000000000003</v>
      </c>
      <c r="O422" s="59">
        <f>7.5022 * CHOOSE(CONTROL!$C$27, $C$14, 100%, $E$14)</f>
        <v>7.5022000000000002</v>
      </c>
    </row>
    <row r="423" spans="1:15" ht="15">
      <c r="A423" s="11">
        <v>53966</v>
      </c>
      <c r="B423" s="58">
        <f>6.2793 * CHOOSE(CONTROL!$C$27, $C$14, 100%, $E$14)</f>
        <v>6.2793000000000001</v>
      </c>
      <c r="C423" s="58">
        <f>6.2793 * CHOOSE(CONTROL!$C$27, $C$14, 100%, $E$14)</f>
        <v>6.2793000000000001</v>
      </c>
      <c r="D423" s="58">
        <f>6.2833 * CHOOSE(CONTROL!$C$27, $C$14, 100%, $E$14)</f>
        <v>6.2832999999999997</v>
      </c>
      <c r="E423" s="59">
        <f>7.5325 * CHOOSE(CONTROL!$C$27, $C$14, 100%, $E$14)</f>
        <v>7.5324999999999998</v>
      </c>
      <c r="F423" s="59">
        <f>7.5325 * CHOOSE(CONTROL!$C$27, $C$14, 100%, $E$14)</f>
        <v>7.5324999999999998</v>
      </c>
      <c r="G423" s="59">
        <f>7.5374 * CHOOSE(CONTROL!$C$27, $C$14, 100%, $E$14)</f>
        <v>7.5373999999999999</v>
      </c>
      <c r="H423" s="59">
        <f>13.7059* CHOOSE(CONTROL!$C$27, $C$14, 100%, $E$14)</f>
        <v>13.7059</v>
      </c>
      <c r="I423" s="59">
        <f>13.7108 * CHOOSE(CONTROL!$C$27, $C$14, 100%, $E$14)</f>
        <v>13.710800000000001</v>
      </c>
      <c r="J423" s="59">
        <f>13.7059 * CHOOSE(CONTROL!$C$27, $C$14, 100%, $E$14)</f>
        <v>13.7059</v>
      </c>
      <c r="K423" s="59">
        <f>13.7108 * CHOOSE(CONTROL!$C$27, $C$14, 100%, $E$14)</f>
        <v>13.710800000000001</v>
      </c>
      <c r="L423" s="59">
        <f>7.5325 * CHOOSE(CONTROL!$C$27, $C$14, 100%, $E$14)</f>
        <v>7.5324999999999998</v>
      </c>
      <c r="M423" s="59">
        <f>7.5374 * CHOOSE(CONTROL!$C$27, $C$14, 100%, $E$14)</f>
        <v>7.5373999999999999</v>
      </c>
      <c r="N423" s="59">
        <f>7.5325 * CHOOSE(CONTROL!$C$27, $C$14, 100%, $E$14)</f>
        <v>7.5324999999999998</v>
      </c>
      <c r="O423" s="59">
        <f>7.5374 * CHOOSE(CONTROL!$C$27, $C$14, 100%, $E$14)</f>
        <v>7.5373999999999999</v>
      </c>
    </row>
    <row r="424" spans="1:15" ht="15">
      <c r="A424" s="11">
        <v>53997</v>
      </c>
      <c r="B424" s="58">
        <f>6.2823 * CHOOSE(CONTROL!$C$27, $C$14, 100%, $E$14)</f>
        <v>6.2823000000000002</v>
      </c>
      <c r="C424" s="58">
        <f>6.2823 * CHOOSE(CONTROL!$C$27, $C$14, 100%, $E$14)</f>
        <v>6.2823000000000002</v>
      </c>
      <c r="D424" s="58">
        <f>6.2863 * CHOOSE(CONTROL!$C$27, $C$14, 100%, $E$14)</f>
        <v>6.2862999999999998</v>
      </c>
      <c r="E424" s="59">
        <f>7.5599 * CHOOSE(CONTROL!$C$27, $C$14, 100%, $E$14)</f>
        <v>7.5598999999999998</v>
      </c>
      <c r="F424" s="59">
        <f>7.5599 * CHOOSE(CONTROL!$C$27, $C$14, 100%, $E$14)</f>
        <v>7.5598999999999998</v>
      </c>
      <c r="G424" s="59">
        <f>7.5648 * CHOOSE(CONTROL!$C$27, $C$14, 100%, $E$14)</f>
        <v>7.5648</v>
      </c>
      <c r="H424" s="59">
        <f>13.7344* CHOOSE(CONTROL!$C$27, $C$14, 100%, $E$14)</f>
        <v>13.734400000000001</v>
      </c>
      <c r="I424" s="59">
        <f>13.7394 * CHOOSE(CONTROL!$C$27, $C$14, 100%, $E$14)</f>
        <v>13.7394</v>
      </c>
      <c r="J424" s="59">
        <f>13.7344 * CHOOSE(CONTROL!$C$27, $C$14, 100%, $E$14)</f>
        <v>13.734400000000001</v>
      </c>
      <c r="K424" s="59">
        <f>13.7394 * CHOOSE(CONTROL!$C$27, $C$14, 100%, $E$14)</f>
        <v>13.7394</v>
      </c>
      <c r="L424" s="59">
        <f>7.5599 * CHOOSE(CONTROL!$C$27, $C$14, 100%, $E$14)</f>
        <v>7.5598999999999998</v>
      </c>
      <c r="M424" s="59">
        <f>7.5648 * CHOOSE(CONTROL!$C$27, $C$14, 100%, $E$14)</f>
        <v>7.5648</v>
      </c>
      <c r="N424" s="59">
        <f>7.5599 * CHOOSE(CONTROL!$C$27, $C$14, 100%, $E$14)</f>
        <v>7.5598999999999998</v>
      </c>
      <c r="O424" s="59">
        <f>7.5648 * CHOOSE(CONTROL!$C$27, $C$14, 100%, $E$14)</f>
        <v>7.5648</v>
      </c>
    </row>
    <row r="425" spans="1:15" ht="15">
      <c r="A425" s="11">
        <v>54027</v>
      </c>
      <c r="B425" s="58">
        <f>6.2823 * CHOOSE(CONTROL!$C$27, $C$14, 100%, $E$14)</f>
        <v>6.2823000000000002</v>
      </c>
      <c r="C425" s="58">
        <f>6.2823 * CHOOSE(CONTROL!$C$27, $C$14, 100%, $E$14)</f>
        <v>6.2823000000000002</v>
      </c>
      <c r="D425" s="58">
        <f>6.2863 * CHOOSE(CONTROL!$C$27, $C$14, 100%, $E$14)</f>
        <v>6.2862999999999998</v>
      </c>
      <c r="E425" s="59">
        <f>7.4967 * CHOOSE(CONTROL!$C$27, $C$14, 100%, $E$14)</f>
        <v>7.4966999999999997</v>
      </c>
      <c r="F425" s="59">
        <f>7.4967 * CHOOSE(CONTROL!$C$27, $C$14, 100%, $E$14)</f>
        <v>7.4966999999999997</v>
      </c>
      <c r="G425" s="59">
        <f>7.5016 * CHOOSE(CONTROL!$C$27, $C$14, 100%, $E$14)</f>
        <v>7.5015999999999998</v>
      </c>
      <c r="H425" s="59">
        <f>13.763* CHOOSE(CONTROL!$C$27, $C$14, 100%, $E$14)</f>
        <v>13.763</v>
      </c>
      <c r="I425" s="59">
        <f>13.768 * CHOOSE(CONTROL!$C$27, $C$14, 100%, $E$14)</f>
        <v>13.768000000000001</v>
      </c>
      <c r="J425" s="59">
        <f>13.763 * CHOOSE(CONTROL!$C$27, $C$14, 100%, $E$14)</f>
        <v>13.763</v>
      </c>
      <c r="K425" s="59">
        <f>13.768 * CHOOSE(CONTROL!$C$27, $C$14, 100%, $E$14)</f>
        <v>13.768000000000001</v>
      </c>
      <c r="L425" s="59">
        <f>7.4967 * CHOOSE(CONTROL!$C$27, $C$14, 100%, $E$14)</f>
        <v>7.4966999999999997</v>
      </c>
      <c r="M425" s="59">
        <f>7.5016 * CHOOSE(CONTROL!$C$27, $C$14, 100%, $E$14)</f>
        <v>7.5015999999999998</v>
      </c>
      <c r="N425" s="59">
        <f>7.4967 * CHOOSE(CONTROL!$C$27, $C$14, 100%, $E$14)</f>
        <v>7.4966999999999997</v>
      </c>
      <c r="O425" s="59">
        <f>7.5016 * CHOOSE(CONTROL!$C$27, $C$14, 100%, $E$14)</f>
        <v>7.5015999999999998</v>
      </c>
    </row>
    <row r="426" spans="1:15" ht="15">
      <c r="A426" s="11">
        <v>54058</v>
      </c>
      <c r="B426" s="58">
        <f>6.3372 * CHOOSE(CONTROL!$C$27, $C$14, 100%, $E$14)</f>
        <v>6.3372000000000002</v>
      </c>
      <c r="C426" s="58">
        <f>6.3372 * CHOOSE(CONTROL!$C$27, $C$14, 100%, $E$14)</f>
        <v>6.3372000000000002</v>
      </c>
      <c r="D426" s="58">
        <f>6.3412 * CHOOSE(CONTROL!$C$27, $C$14, 100%, $E$14)</f>
        <v>6.3411999999999997</v>
      </c>
      <c r="E426" s="59">
        <f>7.6035 * CHOOSE(CONTROL!$C$27, $C$14, 100%, $E$14)</f>
        <v>7.6035000000000004</v>
      </c>
      <c r="F426" s="59">
        <f>7.6035 * CHOOSE(CONTROL!$C$27, $C$14, 100%, $E$14)</f>
        <v>7.6035000000000004</v>
      </c>
      <c r="G426" s="59">
        <f>7.6085 * CHOOSE(CONTROL!$C$27, $C$14, 100%, $E$14)</f>
        <v>7.6085000000000003</v>
      </c>
      <c r="H426" s="59">
        <f>13.7917* CHOOSE(CONTROL!$C$27, $C$14, 100%, $E$14)</f>
        <v>13.791700000000001</v>
      </c>
      <c r="I426" s="59">
        <f>13.7966 * CHOOSE(CONTROL!$C$27, $C$14, 100%, $E$14)</f>
        <v>13.7966</v>
      </c>
      <c r="J426" s="59">
        <f>13.7917 * CHOOSE(CONTROL!$C$27, $C$14, 100%, $E$14)</f>
        <v>13.791700000000001</v>
      </c>
      <c r="K426" s="59">
        <f>13.7966 * CHOOSE(CONTROL!$C$27, $C$14, 100%, $E$14)</f>
        <v>13.7966</v>
      </c>
      <c r="L426" s="59">
        <f>7.6035 * CHOOSE(CONTROL!$C$27, $C$14, 100%, $E$14)</f>
        <v>7.6035000000000004</v>
      </c>
      <c r="M426" s="59">
        <f>7.6085 * CHOOSE(CONTROL!$C$27, $C$14, 100%, $E$14)</f>
        <v>7.6085000000000003</v>
      </c>
      <c r="N426" s="59">
        <f>7.6035 * CHOOSE(CONTROL!$C$27, $C$14, 100%, $E$14)</f>
        <v>7.6035000000000004</v>
      </c>
      <c r="O426" s="59">
        <f>7.6085 * CHOOSE(CONTROL!$C$27, $C$14, 100%, $E$14)</f>
        <v>7.6085000000000003</v>
      </c>
    </row>
    <row r="427" spans="1:15" ht="15">
      <c r="A427" s="11">
        <v>54089</v>
      </c>
      <c r="B427" s="58">
        <f>6.3341 * CHOOSE(CONTROL!$C$27, $C$14, 100%, $E$14)</f>
        <v>6.3341000000000003</v>
      </c>
      <c r="C427" s="58">
        <f>6.3341 * CHOOSE(CONTROL!$C$27, $C$14, 100%, $E$14)</f>
        <v>6.3341000000000003</v>
      </c>
      <c r="D427" s="58">
        <f>6.3381 * CHOOSE(CONTROL!$C$27, $C$14, 100%, $E$14)</f>
        <v>6.3380999999999998</v>
      </c>
      <c r="E427" s="59">
        <f>7.4786 * CHOOSE(CONTROL!$C$27, $C$14, 100%, $E$14)</f>
        <v>7.4786000000000001</v>
      </c>
      <c r="F427" s="59">
        <f>7.4786 * CHOOSE(CONTROL!$C$27, $C$14, 100%, $E$14)</f>
        <v>7.4786000000000001</v>
      </c>
      <c r="G427" s="59">
        <f>7.4836 * CHOOSE(CONTROL!$C$27, $C$14, 100%, $E$14)</f>
        <v>7.4836</v>
      </c>
      <c r="H427" s="59">
        <f>13.8204* CHOOSE(CONTROL!$C$27, $C$14, 100%, $E$14)</f>
        <v>13.820399999999999</v>
      </c>
      <c r="I427" s="59">
        <f>13.8254 * CHOOSE(CONTROL!$C$27, $C$14, 100%, $E$14)</f>
        <v>13.8254</v>
      </c>
      <c r="J427" s="59">
        <f>13.8204 * CHOOSE(CONTROL!$C$27, $C$14, 100%, $E$14)</f>
        <v>13.820399999999999</v>
      </c>
      <c r="K427" s="59">
        <f>13.8254 * CHOOSE(CONTROL!$C$27, $C$14, 100%, $E$14)</f>
        <v>13.8254</v>
      </c>
      <c r="L427" s="59">
        <f>7.4786 * CHOOSE(CONTROL!$C$27, $C$14, 100%, $E$14)</f>
        <v>7.4786000000000001</v>
      </c>
      <c r="M427" s="59">
        <f>7.4836 * CHOOSE(CONTROL!$C$27, $C$14, 100%, $E$14)</f>
        <v>7.4836</v>
      </c>
      <c r="N427" s="59">
        <f>7.4786 * CHOOSE(CONTROL!$C$27, $C$14, 100%, $E$14)</f>
        <v>7.4786000000000001</v>
      </c>
      <c r="O427" s="59">
        <f>7.4836 * CHOOSE(CONTROL!$C$27, $C$14, 100%, $E$14)</f>
        <v>7.4836</v>
      </c>
    </row>
    <row r="428" spans="1:15" ht="15">
      <c r="A428" s="11">
        <v>54118</v>
      </c>
      <c r="B428" s="58">
        <f>6.3311 * CHOOSE(CONTROL!$C$27, $C$14, 100%, $E$14)</f>
        <v>6.3311000000000002</v>
      </c>
      <c r="C428" s="58">
        <f>6.3311 * CHOOSE(CONTROL!$C$27, $C$14, 100%, $E$14)</f>
        <v>6.3311000000000002</v>
      </c>
      <c r="D428" s="58">
        <f>6.3351 * CHOOSE(CONTROL!$C$27, $C$14, 100%, $E$14)</f>
        <v>6.3350999999999997</v>
      </c>
      <c r="E428" s="59">
        <f>7.5733 * CHOOSE(CONTROL!$C$27, $C$14, 100%, $E$14)</f>
        <v>7.5732999999999997</v>
      </c>
      <c r="F428" s="59">
        <f>7.5733 * CHOOSE(CONTROL!$C$27, $C$14, 100%, $E$14)</f>
        <v>7.5732999999999997</v>
      </c>
      <c r="G428" s="59">
        <f>7.5782 * CHOOSE(CONTROL!$C$27, $C$14, 100%, $E$14)</f>
        <v>7.5781999999999998</v>
      </c>
      <c r="H428" s="59">
        <f>13.8492* CHOOSE(CONTROL!$C$27, $C$14, 100%, $E$14)</f>
        <v>13.8492</v>
      </c>
      <c r="I428" s="59">
        <f>13.8542 * CHOOSE(CONTROL!$C$27, $C$14, 100%, $E$14)</f>
        <v>13.854200000000001</v>
      </c>
      <c r="J428" s="59">
        <f>13.8492 * CHOOSE(CONTROL!$C$27, $C$14, 100%, $E$14)</f>
        <v>13.8492</v>
      </c>
      <c r="K428" s="59">
        <f>13.8542 * CHOOSE(CONTROL!$C$27, $C$14, 100%, $E$14)</f>
        <v>13.854200000000001</v>
      </c>
      <c r="L428" s="59">
        <f>7.5733 * CHOOSE(CONTROL!$C$27, $C$14, 100%, $E$14)</f>
        <v>7.5732999999999997</v>
      </c>
      <c r="M428" s="59">
        <f>7.5782 * CHOOSE(CONTROL!$C$27, $C$14, 100%, $E$14)</f>
        <v>7.5781999999999998</v>
      </c>
      <c r="N428" s="59">
        <f>7.5733 * CHOOSE(CONTROL!$C$27, $C$14, 100%, $E$14)</f>
        <v>7.5732999999999997</v>
      </c>
      <c r="O428" s="59">
        <f>7.5782 * CHOOSE(CONTROL!$C$27, $C$14, 100%, $E$14)</f>
        <v>7.5781999999999998</v>
      </c>
    </row>
    <row r="429" spans="1:15" ht="15">
      <c r="A429" s="11">
        <v>54149</v>
      </c>
      <c r="B429" s="58">
        <f>6.3307 * CHOOSE(CONTROL!$C$27, $C$14, 100%, $E$14)</f>
        <v>6.3307000000000002</v>
      </c>
      <c r="C429" s="58">
        <f>6.3307 * CHOOSE(CONTROL!$C$27, $C$14, 100%, $E$14)</f>
        <v>6.3307000000000002</v>
      </c>
      <c r="D429" s="58">
        <f>6.3347 * CHOOSE(CONTROL!$C$27, $C$14, 100%, $E$14)</f>
        <v>6.3346999999999998</v>
      </c>
      <c r="E429" s="59">
        <f>7.673 * CHOOSE(CONTROL!$C$27, $C$14, 100%, $E$14)</f>
        <v>7.673</v>
      </c>
      <c r="F429" s="59">
        <f>7.673 * CHOOSE(CONTROL!$C$27, $C$14, 100%, $E$14)</f>
        <v>7.673</v>
      </c>
      <c r="G429" s="59">
        <f>7.678 * CHOOSE(CONTROL!$C$27, $C$14, 100%, $E$14)</f>
        <v>7.6779999999999999</v>
      </c>
      <c r="H429" s="59">
        <f>13.8781* CHOOSE(CONTROL!$C$27, $C$14, 100%, $E$14)</f>
        <v>13.8781</v>
      </c>
      <c r="I429" s="59">
        <f>13.883 * CHOOSE(CONTROL!$C$27, $C$14, 100%, $E$14)</f>
        <v>13.882999999999999</v>
      </c>
      <c r="J429" s="59">
        <f>13.8781 * CHOOSE(CONTROL!$C$27, $C$14, 100%, $E$14)</f>
        <v>13.8781</v>
      </c>
      <c r="K429" s="59">
        <f>13.883 * CHOOSE(CONTROL!$C$27, $C$14, 100%, $E$14)</f>
        <v>13.882999999999999</v>
      </c>
      <c r="L429" s="59">
        <f>7.673 * CHOOSE(CONTROL!$C$27, $C$14, 100%, $E$14)</f>
        <v>7.673</v>
      </c>
      <c r="M429" s="59">
        <f>7.678 * CHOOSE(CONTROL!$C$27, $C$14, 100%, $E$14)</f>
        <v>7.6779999999999999</v>
      </c>
      <c r="N429" s="59">
        <f>7.673 * CHOOSE(CONTROL!$C$27, $C$14, 100%, $E$14)</f>
        <v>7.673</v>
      </c>
      <c r="O429" s="59">
        <f>7.678 * CHOOSE(CONTROL!$C$27, $C$14, 100%, $E$14)</f>
        <v>7.6779999999999999</v>
      </c>
    </row>
    <row r="430" spans="1:15" ht="15">
      <c r="A430" s="11">
        <v>54179</v>
      </c>
      <c r="B430" s="58">
        <f>6.3307 * CHOOSE(CONTROL!$C$27, $C$14, 100%, $E$14)</f>
        <v>6.3307000000000002</v>
      </c>
      <c r="C430" s="58">
        <f>6.3307 * CHOOSE(CONTROL!$C$27, $C$14, 100%, $E$14)</f>
        <v>6.3307000000000002</v>
      </c>
      <c r="D430" s="58">
        <f>6.3364 * CHOOSE(CONTROL!$C$27, $C$14, 100%, $E$14)</f>
        <v>6.3364000000000003</v>
      </c>
      <c r="E430" s="59">
        <f>7.712 * CHOOSE(CONTROL!$C$27, $C$14, 100%, $E$14)</f>
        <v>7.7119999999999997</v>
      </c>
      <c r="F430" s="59">
        <f>7.712 * CHOOSE(CONTROL!$C$27, $C$14, 100%, $E$14)</f>
        <v>7.7119999999999997</v>
      </c>
      <c r="G430" s="59">
        <f>7.7189 * CHOOSE(CONTROL!$C$27, $C$14, 100%, $E$14)</f>
        <v>7.7188999999999997</v>
      </c>
      <c r="H430" s="59">
        <f>13.907* CHOOSE(CONTROL!$C$27, $C$14, 100%, $E$14)</f>
        <v>13.907</v>
      </c>
      <c r="I430" s="59">
        <f>13.9139 * CHOOSE(CONTROL!$C$27, $C$14, 100%, $E$14)</f>
        <v>13.9139</v>
      </c>
      <c r="J430" s="59">
        <f>13.907 * CHOOSE(CONTROL!$C$27, $C$14, 100%, $E$14)</f>
        <v>13.907</v>
      </c>
      <c r="K430" s="59">
        <f>13.9139 * CHOOSE(CONTROL!$C$27, $C$14, 100%, $E$14)</f>
        <v>13.9139</v>
      </c>
      <c r="L430" s="59">
        <f>7.712 * CHOOSE(CONTROL!$C$27, $C$14, 100%, $E$14)</f>
        <v>7.7119999999999997</v>
      </c>
      <c r="M430" s="59">
        <f>7.7189 * CHOOSE(CONTROL!$C$27, $C$14, 100%, $E$14)</f>
        <v>7.7188999999999997</v>
      </c>
      <c r="N430" s="59">
        <f>7.712 * CHOOSE(CONTROL!$C$27, $C$14, 100%, $E$14)</f>
        <v>7.7119999999999997</v>
      </c>
      <c r="O430" s="59">
        <f>7.7189 * CHOOSE(CONTROL!$C$27, $C$14, 100%, $E$14)</f>
        <v>7.7188999999999997</v>
      </c>
    </row>
    <row r="431" spans="1:15" ht="15">
      <c r="A431" s="11">
        <v>54210</v>
      </c>
      <c r="B431" s="58">
        <f>6.3368 * CHOOSE(CONTROL!$C$27, $C$14, 100%, $E$14)</f>
        <v>6.3368000000000002</v>
      </c>
      <c r="C431" s="58">
        <f>6.3368 * CHOOSE(CONTROL!$C$27, $C$14, 100%, $E$14)</f>
        <v>6.3368000000000002</v>
      </c>
      <c r="D431" s="58">
        <f>6.3425 * CHOOSE(CONTROL!$C$27, $C$14, 100%, $E$14)</f>
        <v>6.3425000000000002</v>
      </c>
      <c r="E431" s="59">
        <f>7.6773 * CHOOSE(CONTROL!$C$27, $C$14, 100%, $E$14)</f>
        <v>7.6772999999999998</v>
      </c>
      <c r="F431" s="59">
        <f>7.6773 * CHOOSE(CONTROL!$C$27, $C$14, 100%, $E$14)</f>
        <v>7.6772999999999998</v>
      </c>
      <c r="G431" s="59">
        <f>7.6842 * CHOOSE(CONTROL!$C$27, $C$14, 100%, $E$14)</f>
        <v>7.6841999999999997</v>
      </c>
      <c r="H431" s="59">
        <f>13.936* CHOOSE(CONTROL!$C$27, $C$14, 100%, $E$14)</f>
        <v>13.936</v>
      </c>
      <c r="I431" s="59">
        <f>13.9429 * CHOOSE(CONTROL!$C$27, $C$14, 100%, $E$14)</f>
        <v>13.9429</v>
      </c>
      <c r="J431" s="59">
        <f>13.936 * CHOOSE(CONTROL!$C$27, $C$14, 100%, $E$14)</f>
        <v>13.936</v>
      </c>
      <c r="K431" s="59">
        <f>13.9429 * CHOOSE(CONTROL!$C$27, $C$14, 100%, $E$14)</f>
        <v>13.9429</v>
      </c>
      <c r="L431" s="59">
        <f>7.6773 * CHOOSE(CONTROL!$C$27, $C$14, 100%, $E$14)</f>
        <v>7.6772999999999998</v>
      </c>
      <c r="M431" s="59">
        <f>7.6842 * CHOOSE(CONTROL!$C$27, $C$14, 100%, $E$14)</f>
        <v>7.6841999999999997</v>
      </c>
      <c r="N431" s="59">
        <f>7.6773 * CHOOSE(CONTROL!$C$27, $C$14, 100%, $E$14)</f>
        <v>7.6772999999999998</v>
      </c>
      <c r="O431" s="59">
        <f>7.6842 * CHOOSE(CONTROL!$C$27, $C$14, 100%, $E$14)</f>
        <v>7.6841999999999997</v>
      </c>
    </row>
    <row r="432" spans="1:15" ht="15">
      <c r="A432" s="11">
        <v>54240</v>
      </c>
      <c r="B432" s="58">
        <f>6.4385 * CHOOSE(CONTROL!$C$27, $C$14, 100%, $E$14)</f>
        <v>6.4385000000000003</v>
      </c>
      <c r="C432" s="58">
        <f>6.4385 * CHOOSE(CONTROL!$C$27, $C$14, 100%, $E$14)</f>
        <v>6.4385000000000003</v>
      </c>
      <c r="D432" s="58">
        <f>6.4441 * CHOOSE(CONTROL!$C$27, $C$14, 100%, $E$14)</f>
        <v>6.4440999999999997</v>
      </c>
      <c r="E432" s="59">
        <f>7.8054 * CHOOSE(CONTROL!$C$27, $C$14, 100%, $E$14)</f>
        <v>7.8053999999999997</v>
      </c>
      <c r="F432" s="59">
        <f>7.8054 * CHOOSE(CONTROL!$C$27, $C$14, 100%, $E$14)</f>
        <v>7.8053999999999997</v>
      </c>
      <c r="G432" s="59">
        <f>7.8123 * CHOOSE(CONTROL!$C$27, $C$14, 100%, $E$14)</f>
        <v>7.8122999999999996</v>
      </c>
      <c r="H432" s="59">
        <f>13.965* CHOOSE(CONTROL!$C$27, $C$14, 100%, $E$14)</f>
        <v>13.965</v>
      </c>
      <c r="I432" s="59">
        <f>13.9719 * CHOOSE(CONTROL!$C$27, $C$14, 100%, $E$14)</f>
        <v>13.9719</v>
      </c>
      <c r="J432" s="59">
        <f>13.965 * CHOOSE(CONTROL!$C$27, $C$14, 100%, $E$14)</f>
        <v>13.965</v>
      </c>
      <c r="K432" s="59">
        <f>13.9719 * CHOOSE(CONTROL!$C$27, $C$14, 100%, $E$14)</f>
        <v>13.9719</v>
      </c>
      <c r="L432" s="59">
        <f>7.8054 * CHOOSE(CONTROL!$C$27, $C$14, 100%, $E$14)</f>
        <v>7.8053999999999997</v>
      </c>
      <c r="M432" s="59">
        <f>7.8123 * CHOOSE(CONTROL!$C$27, $C$14, 100%, $E$14)</f>
        <v>7.8122999999999996</v>
      </c>
      <c r="N432" s="59">
        <f>7.8054 * CHOOSE(CONTROL!$C$27, $C$14, 100%, $E$14)</f>
        <v>7.8053999999999997</v>
      </c>
      <c r="O432" s="59">
        <f>7.8123 * CHOOSE(CONTROL!$C$27, $C$14, 100%, $E$14)</f>
        <v>7.8122999999999996</v>
      </c>
    </row>
    <row r="433" spans="1:15" ht="15">
      <c r="A433" s="11">
        <v>54271</v>
      </c>
      <c r="B433" s="58">
        <f>6.4451 * CHOOSE(CONTROL!$C$27, $C$14, 100%, $E$14)</f>
        <v>6.4451000000000001</v>
      </c>
      <c r="C433" s="58">
        <f>6.4451 * CHOOSE(CONTROL!$C$27, $C$14, 100%, $E$14)</f>
        <v>6.4451000000000001</v>
      </c>
      <c r="D433" s="58">
        <f>6.4508 * CHOOSE(CONTROL!$C$27, $C$14, 100%, $E$14)</f>
        <v>6.4508000000000001</v>
      </c>
      <c r="E433" s="59">
        <f>7.6932 * CHOOSE(CONTROL!$C$27, $C$14, 100%, $E$14)</f>
        <v>7.6932</v>
      </c>
      <c r="F433" s="59">
        <f>7.6932 * CHOOSE(CONTROL!$C$27, $C$14, 100%, $E$14)</f>
        <v>7.6932</v>
      </c>
      <c r="G433" s="59">
        <f>7.7001 * CHOOSE(CONTROL!$C$27, $C$14, 100%, $E$14)</f>
        <v>7.7000999999999999</v>
      </c>
      <c r="H433" s="59">
        <f>13.9941* CHOOSE(CONTROL!$C$27, $C$14, 100%, $E$14)</f>
        <v>13.9941</v>
      </c>
      <c r="I433" s="59">
        <f>14.001 * CHOOSE(CONTROL!$C$27, $C$14, 100%, $E$14)</f>
        <v>14.000999999999999</v>
      </c>
      <c r="J433" s="59">
        <f>13.9941 * CHOOSE(CONTROL!$C$27, $C$14, 100%, $E$14)</f>
        <v>13.9941</v>
      </c>
      <c r="K433" s="59">
        <f>14.001 * CHOOSE(CONTROL!$C$27, $C$14, 100%, $E$14)</f>
        <v>14.000999999999999</v>
      </c>
      <c r="L433" s="59">
        <f>7.6932 * CHOOSE(CONTROL!$C$27, $C$14, 100%, $E$14)</f>
        <v>7.6932</v>
      </c>
      <c r="M433" s="59">
        <f>7.7001 * CHOOSE(CONTROL!$C$27, $C$14, 100%, $E$14)</f>
        <v>7.7000999999999999</v>
      </c>
      <c r="N433" s="59">
        <f>7.6932 * CHOOSE(CONTROL!$C$27, $C$14, 100%, $E$14)</f>
        <v>7.6932</v>
      </c>
      <c r="O433" s="59">
        <f>7.7001 * CHOOSE(CONTROL!$C$27, $C$14, 100%, $E$14)</f>
        <v>7.7000999999999999</v>
      </c>
    </row>
    <row r="434" spans="1:15" ht="15">
      <c r="A434" s="11">
        <v>54302</v>
      </c>
      <c r="B434" s="58">
        <f>6.4421 * CHOOSE(CONTROL!$C$27, $C$14, 100%, $E$14)</f>
        <v>6.4420999999999999</v>
      </c>
      <c r="C434" s="58">
        <f>6.4421 * CHOOSE(CONTROL!$C$27, $C$14, 100%, $E$14)</f>
        <v>6.4420999999999999</v>
      </c>
      <c r="D434" s="58">
        <f>6.4477 * CHOOSE(CONTROL!$C$27, $C$14, 100%, $E$14)</f>
        <v>6.4477000000000002</v>
      </c>
      <c r="E434" s="59">
        <f>7.678 * CHOOSE(CONTROL!$C$27, $C$14, 100%, $E$14)</f>
        <v>7.6779999999999999</v>
      </c>
      <c r="F434" s="59">
        <f>7.678 * CHOOSE(CONTROL!$C$27, $C$14, 100%, $E$14)</f>
        <v>7.6779999999999999</v>
      </c>
      <c r="G434" s="59">
        <f>7.6849 * CHOOSE(CONTROL!$C$27, $C$14, 100%, $E$14)</f>
        <v>7.6848999999999998</v>
      </c>
      <c r="H434" s="59">
        <f>14.0233* CHOOSE(CONTROL!$C$27, $C$14, 100%, $E$14)</f>
        <v>14.023300000000001</v>
      </c>
      <c r="I434" s="59">
        <f>14.0302 * CHOOSE(CONTROL!$C$27, $C$14, 100%, $E$14)</f>
        <v>14.030200000000001</v>
      </c>
      <c r="J434" s="59">
        <f>14.0233 * CHOOSE(CONTROL!$C$27, $C$14, 100%, $E$14)</f>
        <v>14.023300000000001</v>
      </c>
      <c r="K434" s="59">
        <f>14.0302 * CHOOSE(CONTROL!$C$27, $C$14, 100%, $E$14)</f>
        <v>14.030200000000001</v>
      </c>
      <c r="L434" s="59">
        <f>7.678 * CHOOSE(CONTROL!$C$27, $C$14, 100%, $E$14)</f>
        <v>7.6779999999999999</v>
      </c>
      <c r="M434" s="59">
        <f>7.6849 * CHOOSE(CONTROL!$C$27, $C$14, 100%, $E$14)</f>
        <v>7.6848999999999998</v>
      </c>
      <c r="N434" s="59">
        <f>7.678 * CHOOSE(CONTROL!$C$27, $C$14, 100%, $E$14)</f>
        <v>7.6779999999999999</v>
      </c>
      <c r="O434" s="59">
        <f>7.6849 * CHOOSE(CONTROL!$C$27, $C$14, 100%, $E$14)</f>
        <v>7.6848999999999998</v>
      </c>
    </row>
    <row r="435" spans="1:15" ht="15">
      <c r="A435" s="11">
        <v>54332</v>
      </c>
      <c r="B435" s="58">
        <f>6.4452 * CHOOSE(CONTROL!$C$27, $C$14, 100%, $E$14)</f>
        <v>6.4451999999999998</v>
      </c>
      <c r="C435" s="58">
        <f>6.4452 * CHOOSE(CONTROL!$C$27, $C$14, 100%, $E$14)</f>
        <v>6.4451999999999998</v>
      </c>
      <c r="D435" s="58">
        <f>6.4492 * CHOOSE(CONTROL!$C$27, $C$14, 100%, $E$14)</f>
        <v>6.4492000000000003</v>
      </c>
      <c r="E435" s="59">
        <f>7.7166 * CHOOSE(CONTROL!$C$27, $C$14, 100%, $E$14)</f>
        <v>7.7165999999999997</v>
      </c>
      <c r="F435" s="59">
        <f>7.7166 * CHOOSE(CONTROL!$C$27, $C$14, 100%, $E$14)</f>
        <v>7.7165999999999997</v>
      </c>
      <c r="G435" s="59">
        <f>7.7215 * CHOOSE(CONTROL!$C$27, $C$14, 100%, $E$14)</f>
        <v>7.7214999999999998</v>
      </c>
      <c r="H435" s="59">
        <f>14.0525* CHOOSE(CONTROL!$C$27, $C$14, 100%, $E$14)</f>
        <v>14.0525</v>
      </c>
      <c r="I435" s="59">
        <f>14.0574 * CHOOSE(CONTROL!$C$27, $C$14, 100%, $E$14)</f>
        <v>14.057399999999999</v>
      </c>
      <c r="J435" s="59">
        <f>14.0525 * CHOOSE(CONTROL!$C$27, $C$14, 100%, $E$14)</f>
        <v>14.0525</v>
      </c>
      <c r="K435" s="59">
        <f>14.0574 * CHOOSE(CONTROL!$C$27, $C$14, 100%, $E$14)</f>
        <v>14.057399999999999</v>
      </c>
      <c r="L435" s="59">
        <f>7.7166 * CHOOSE(CONTROL!$C$27, $C$14, 100%, $E$14)</f>
        <v>7.7165999999999997</v>
      </c>
      <c r="M435" s="59">
        <f>7.7215 * CHOOSE(CONTROL!$C$27, $C$14, 100%, $E$14)</f>
        <v>7.7214999999999998</v>
      </c>
      <c r="N435" s="59">
        <f>7.7166 * CHOOSE(CONTROL!$C$27, $C$14, 100%, $E$14)</f>
        <v>7.7165999999999997</v>
      </c>
      <c r="O435" s="59">
        <f>7.7215 * CHOOSE(CONTROL!$C$27, $C$14, 100%, $E$14)</f>
        <v>7.7214999999999998</v>
      </c>
    </row>
    <row r="436" spans="1:15" ht="15">
      <c r="A436" s="11">
        <v>54363</v>
      </c>
      <c r="B436" s="58">
        <f>6.4483 * CHOOSE(CONTROL!$C$27, $C$14, 100%, $E$14)</f>
        <v>6.4482999999999997</v>
      </c>
      <c r="C436" s="58">
        <f>6.4483 * CHOOSE(CONTROL!$C$27, $C$14, 100%, $E$14)</f>
        <v>6.4482999999999997</v>
      </c>
      <c r="D436" s="58">
        <f>6.4523 * CHOOSE(CONTROL!$C$27, $C$14, 100%, $E$14)</f>
        <v>6.4523000000000001</v>
      </c>
      <c r="E436" s="59">
        <f>7.7447 * CHOOSE(CONTROL!$C$27, $C$14, 100%, $E$14)</f>
        <v>7.7446999999999999</v>
      </c>
      <c r="F436" s="59">
        <f>7.7447 * CHOOSE(CONTROL!$C$27, $C$14, 100%, $E$14)</f>
        <v>7.7446999999999999</v>
      </c>
      <c r="G436" s="59">
        <f>7.7496 * CHOOSE(CONTROL!$C$27, $C$14, 100%, $E$14)</f>
        <v>7.7496</v>
      </c>
      <c r="H436" s="59">
        <f>14.0818* CHOOSE(CONTROL!$C$27, $C$14, 100%, $E$14)</f>
        <v>14.081799999999999</v>
      </c>
      <c r="I436" s="59">
        <f>14.0867 * CHOOSE(CONTROL!$C$27, $C$14, 100%, $E$14)</f>
        <v>14.0867</v>
      </c>
      <c r="J436" s="59">
        <f>14.0818 * CHOOSE(CONTROL!$C$27, $C$14, 100%, $E$14)</f>
        <v>14.081799999999999</v>
      </c>
      <c r="K436" s="59">
        <f>14.0867 * CHOOSE(CONTROL!$C$27, $C$14, 100%, $E$14)</f>
        <v>14.0867</v>
      </c>
      <c r="L436" s="59">
        <f>7.7447 * CHOOSE(CONTROL!$C$27, $C$14, 100%, $E$14)</f>
        <v>7.7446999999999999</v>
      </c>
      <c r="M436" s="59">
        <f>7.7496 * CHOOSE(CONTROL!$C$27, $C$14, 100%, $E$14)</f>
        <v>7.7496</v>
      </c>
      <c r="N436" s="59">
        <f>7.7447 * CHOOSE(CONTROL!$C$27, $C$14, 100%, $E$14)</f>
        <v>7.7446999999999999</v>
      </c>
      <c r="O436" s="59">
        <f>7.7496 * CHOOSE(CONTROL!$C$27, $C$14, 100%, $E$14)</f>
        <v>7.7496</v>
      </c>
    </row>
    <row r="437" spans="1:15" ht="15">
      <c r="A437" s="11">
        <v>54393</v>
      </c>
      <c r="B437" s="58">
        <f>6.4483 * CHOOSE(CONTROL!$C$27, $C$14, 100%, $E$14)</f>
        <v>6.4482999999999997</v>
      </c>
      <c r="C437" s="58">
        <f>6.4483 * CHOOSE(CONTROL!$C$27, $C$14, 100%, $E$14)</f>
        <v>6.4482999999999997</v>
      </c>
      <c r="D437" s="58">
        <f>6.4523 * CHOOSE(CONTROL!$C$27, $C$14, 100%, $E$14)</f>
        <v>6.4523000000000001</v>
      </c>
      <c r="E437" s="59">
        <f>7.6797 * CHOOSE(CONTROL!$C$27, $C$14, 100%, $E$14)</f>
        <v>7.6797000000000004</v>
      </c>
      <c r="F437" s="59">
        <f>7.6797 * CHOOSE(CONTROL!$C$27, $C$14, 100%, $E$14)</f>
        <v>7.6797000000000004</v>
      </c>
      <c r="G437" s="59">
        <f>7.6847 * CHOOSE(CONTROL!$C$27, $C$14, 100%, $E$14)</f>
        <v>7.6847000000000003</v>
      </c>
      <c r="H437" s="59">
        <f>14.1111* CHOOSE(CONTROL!$C$27, $C$14, 100%, $E$14)</f>
        <v>14.1111</v>
      </c>
      <c r="I437" s="59">
        <f>14.116 * CHOOSE(CONTROL!$C$27, $C$14, 100%, $E$14)</f>
        <v>14.116</v>
      </c>
      <c r="J437" s="59">
        <f>14.1111 * CHOOSE(CONTROL!$C$27, $C$14, 100%, $E$14)</f>
        <v>14.1111</v>
      </c>
      <c r="K437" s="59">
        <f>14.116 * CHOOSE(CONTROL!$C$27, $C$14, 100%, $E$14)</f>
        <v>14.116</v>
      </c>
      <c r="L437" s="59">
        <f>7.6797 * CHOOSE(CONTROL!$C$27, $C$14, 100%, $E$14)</f>
        <v>7.6797000000000004</v>
      </c>
      <c r="M437" s="59">
        <f>7.6847 * CHOOSE(CONTROL!$C$27, $C$14, 100%, $E$14)</f>
        <v>7.6847000000000003</v>
      </c>
      <c r="N437" s="59">
        <f>7.6797 * CHOOSE(CONTROL!$C$27, $C$14, 100%, $E$14)</f>
        <v>7.6797000000000004</v>
      </c>
      <c r="O437" s="59">
        <f>7.6847 * CHOOSE(CONTROL!$C$27, $C$14, 100%, $E$14)</f>
        <v>7.6847000000000003</v>
      </c>
    </row>
    <row r="438" spans="1:15" ht="15">
      <c r="A438" s="11">
        <v>54424</v>
      </c>
      <c r="B438" s="58">
        <f>6.5044 * CHOOSE(CONTROL!$C$27, $C$14, 100%, $E$14)</f>
        <v>6.5044000000000004</v>
      </c>
      <c r="C438" s="58">
        <f>6.5044 * CHOOSE(CONTROL!$C$27, $C$14, 100%, $E$14)</f>
        <v>6.5044000000000004</v>
      </c>
      <c r="D438" s="58">
        <f>6.5084 * CHOOSE(CONTROL!$C$27, $C$14, 100%, $E$14)</f>
        <v>6.5084</v>
      </c>
      <c r="E438" s="59">
        <f>7.7893 * CHOOSE(CONTROL!$C$27, $C$14, 100%, $E$14)</f>
        <v>7.7892999999999999</v>
      </c>
      <c r="F438" s="59">
        <f>7.7893 * CHOOSE(CONTROL!$C$27, $C$14, 100%, $E$14)</f>
        <v>7.7892999999999999</v>
      </c>
      <c r="G438" s="59">
        <f>7.7943 * CHOOSE(CONTROL!$C$27, $C$14, 100%, $E$14)</f>
        <v>7.7942999999999998</v>
      </c>
      <c r="H438" s="59">
        <f>14.1405* CHOOSE(CONTROL!$C$27, $C$14, 100%, $E$14)</f>
        <v>14.140499999999999</v>
      </c>
      <c r="I438" s="59">
        <f>14.1454 * CHOOSE(CONTROL!$C$27, $C$14, 100%, $E$14)</f>
        <v>14.1454</v>
      </c>
      <c r="J438" s="59">
        <f>14.1405 * CHOOSE(CONTROL!$C$27, $C$14, 100%, $E$14)</f>
        <v>14.140499999999999</v>
      </c>
      <c r="K438" s="59">
        <f>14.1454 * CHOOSE(CONTROL!$C$27, $C$14, 100%, $E$14)</f>
        <v>14.1454</v>
      </c>
      <c r="L438" s="59">
        <f>7.7893 * CHOOSE(CONTROL!$C$27, $C$14, 100%, $E$14)</f>
        <v>7.7892999999999999</v>
      </c>
      <c r="M438" s="59">
        <f>7.7943 * CHOOSE(CONTROL!$C$27, $C$14, 100%, $E$14)</f>
        <v>7.7942999999999998</v>
      </c>
      <c r="N438" s="59">
        <f>7.7893 * CHOOSE(CONTROL!$C$27, $C$14, 100%, $E$14)</f>
        <v>7.7892999999999999</v>
      </c>
      <c r="O438" s="59">
        <f>7.7943 * CHOOSE(CONTROL!$C$27, $C$14, 100%, $E$14)</f>
        <v>7.7942999999999998</v>
      </c>
    </row>
    <row r="439" spans="1:15" ht="15">
      <c r="A439" s="11">
        <v>54455</v>
      </c>
      <c r="B439" s="58">
        <f>6.5014 * CHOOSE(CONTROL!$C$27, $C$14, 100%, $E$14)</f>
        <v>6.5014000000000003</v>
      </c>
      <c r="C439" s="58">
        <f>6.5014 * CHOOSE(CONTROL!$C$27, $C$14, 100%, $E$14)</f>
        <v>6.5014000000000003</v>
      </c>
      <c r="D439" s="58">
        <f>6.5054 * CHOOSE(CONTROL!$C$27, $C$14, 100%, $E$14)</f>
        <v>6.5053999999999998</v>
      </c>
      <c r="E439" s="59">
        <f>7.661 * CHOOSE(CONTROL!$C$27, $C$14, 100%, $E$14)</f>
        <v>7.6609999999999996</v>
      </c>
      <c r="F439" s="59">
        <f>7.661 * CHOOSE(CONTROL!$C$27, $C$14, 100%, $E$14)</f>
        <v>7.6609999999999996</v>
      </c>
      <c r="G439" s="59">
        <f>7.6659 * CHOOSE(CONTROL!$C$27, $C$14, 100%, $E$14)</f>
        <v>7.6658999999999997</v>
      </c>
      <c r="H439" s="59">
        <f>14.1699* CHOOSE(CONTROL!$C$27, $C$14, 100%, $E$14)</f>
        <v>14.1699</v>
      </c>
      <c r="I439" s="59">
        <f>14.1749 * CHOOSE(CONTROL!$C$27, $C$14, 100%, $E$14)</f>
        <v>14.174899999999999</v>
      </c>
      <c r="J439" s="59">
        <f>14.1699 * CHOOSE(CONTROL!$C$27, $C$14, 100%, $E$14)</f>
        <v>14.1699</v>
      </c>
      <c r="K439" s="59">
        <f>14.1749 * CHOOSE(CONTROL!$C$27, $C$14, 100%, $E$14)</f>
        <v>14.174899999999999</v>
      </c>
      <c r="L439" s="59">
        <f>7.661 * CHOOSE(CONTROL!$C$27, $C$14, 100%, $E$14)</f>
        <v>7.6609999999999996</v>
      </c>
      <c r="M439" s="59">
        <f>7.6659 * CHOOSE(CONTROL!$C$27, $C$14, 100%, $E$14)</f>
        <v>7.6658999999999997</v>
      </c>
      <c r="N439" s="59">
        <f>7.661 * CHOOSE(CONTROL!$C$27, $C$14, 100%, $E$14)</f>
        <v>7.6609999999999996</v>
      </c>
      <c r="O439" s="59">
        <f>7.6659 * CHOOSE(CONTROL!$C$27, $C$14, 100%, $E$14)</f>
        <v>7.6658999999999997</v>
      </c>
    </row>
    <row r="440" spans="1:15" ht="15">
      <c r="A440" s="11">
        <v>54483</v>
      </c>
      <c r="B440" s="58">
        <f>6.4984 * CHOOSE(CONTROL!$C$27, $C$14, 100%, $E$14)</f>
        <v>6.4984000000000002</v>
      </c>
      <c r="C440" s="58">
        <f>6.4984 * CHOOSE(CONTROL!$C$27, $C$14, 100%, $E$14)</f>
        <v>6.4984000000000002</v>
      </c>
      <c r="D440" s="58">
        <f>6.5024 * CHOOSE(CONTROL!$C$27, $C$14, 100%, $E$14)</f>
        <v>6.5023999999999997</v>
      </c>
      <c r="E440" s="59">
        <f>7.7584 * CHOOSE(CONTROL!$C$27, $C$14, 100%, $E$14)</f>
        <v>7.7584</v>
      </c>
      <c r="F440" s="59">
        <f>7.7584 * CHOOSE(CONTROL!$C$27, $C$14, 100%, $E$14)</f>
        <v>7.7584</v>
      </c>
      <c r="G440" s="59">
        <f>7.7633 * CHOOSE(CONTROL!$C$27, $C$14, 100%, $E$14)</f>
        <v>7.7633000000000001</v>
      </c>
      <c r="H440" s="59">
        <f>14.1995* CHOOSE(CONTROL!$C$27, $C$14, 100%, $E$14)</f>
        <v>14.1995</v>
      </c>
      <c r="I440" s="59">
        <f>14.2044 * CHOOSE(CONTROL!$C$27, $C$14, 100%, $E$14)</f>
        <v>14.2044</v>
      </c>
      <c r="J440" s="59">
        <f>14.1995 * CHOOSE(CONTROL!$C$27, $C$14, 100%, $E$14)</f>
        <v>14.1995</v>
      </c>
      <c r="K440" s="59">
        <f>14.2044 * CHOOSE(CONTROL!$C$27, $C$14, 100%, $E$14)</f>
        <v>14.2044</v>
      </c>
      <c r="L440" s="59">
        <f>7.7584 * CHOOSE(CONTROL!$C$27, $C$14, 100%, $E$14)</f>
        <v>7.7584</v>
      </c>
      <c r="M440" s="59">
        <f>7.7633 * CHOOSE(CONTROL!$C$27, $C$14, 100%, $E$14)</f>
        <v>7.7633000000000001</v>
      </c>
      <c r="N440" s="59">
        <f>7.7584 * CHOOSE(CONTROL!$C$27, $C$14, 100%, $E$14)</f>
        <v>7.7584</v>
      </c>
      <c r="O440" s="59">
        <f>7.7633 * CHOOSE(CONTROL!$C$27, $C$14, 100%, $E$14)</f>
        <v>7.7633000000000001</v>
      </c>
    </row>
    <row r="441" spans="1:15" ht="15">
      <c r="A441" s="11">
        <v>54514</v>
      </c>
      <c r="B441" s="58">
        <f>6.4982 * CHOOSE(CONTROL!$C$27, $C$14, 100%, $E$14)</f>
        <v>6.4981999999999998</v>
      </c>
      <c r="C441" s="58">
        <f>6.4982 * CHOOSE(CONTROL!$C$27, $C$14, 100%, $E$14)</f>
        <v>6.4981999999999998</v>
      </c>
      <c r="D441" s="58">
        <f>6.5022 * CHOOSE(CONTROL!$C$27, $C$14, 100%, $E$14)</f>
        <v>6.5022000000000002</v>
      </c>
      <c r="E441" s="59">
        <f>7.861 * CHOOSE(CONTROL!$C$27, $C$14, 100%, $E$14)</f>
        <v>7.8609999999999998</v>
      </c>
      <c r="F441" s="59">
        <f>7.861 * CHOOSE(CONTROL!$C$27, $C$14, 100%, $E$14)</f>
        <v>7.8609999999999998</v>
      </c>
      <c r="G441" s="59">
        <f>7.866 * CHOOSE(CONTROL!$C$27, $C$14, 100%, $E$14)</f>
        <v>7.8659999999999997</v>
      </c>
      <c r="H441" s="59">
        <f>14.2291* CHOOSE(CONTROL!$C$27, $C$14, 100%, $E$14)</f>
        <v>14.229100000000001</v>
      </c>
      <c r="I441" s="59">
        <f>14.234 * CHOOSE(CONTROL!$C$27, $C$14, 100%, $E$14)</f>
        <v>14.234</v>
      </c>
      <c r="J441" s="59">
        <f>14.2291 * CHOOSE(CONTROL!$C$27, $C$14, 100%, $E$14)</f>
        <v>14.229100000000001</v>
      </c>
      <c r="K441" s="59">
        <f>14.234 * CHOOSE(CONTROL!$C$27, $C$14, 100%, $E$14)</f>
        <v>14.234</v>
      </c>
      <c r="L441" s="59">
        <f>7.861 * CHOOSE(CONTROL!$C$27, $C$14, 100%, $E$14)</f>
        <v>7.8609999999999998</v>
      </c>
      <c r="M441" s="59">
        <f>7.866 * CHOOSE(CONTROL!$C$27, $C$14, 100%, $E$14)</f>
        <v>7.8659999999999997</v>
      </c>
      <c r="N441" s="59">
        <f>7.861 * CHOOSE(CONTROL!$C$27, $C$14, 100%, $E$14)</f>
        <v>7.8609999999999998</v>
      </c>
      <c r="O441" s="59">
        <f>7.866 * CHOOSE(CONTROL!$C$27, $C$14, 100%, $E$14)</f>
        <v>7.8659999999999997</v>
      </c>
    </row>
    <row r="442" spans="1:15" ht="15">
      <c r="A442" s="11">
        <v>54544</v>
      </c>
      <c r="B442" s="58">
        <f>6.4982 * CHOOSE(CONTROL!$C$27, $C$14, 100%, $E$14)</f>
        <v>6.4981999999999998</v>
      </c>
      <c r="C442" s="58">
        <f>6.4982 * CHOOSE(CONTROL!$C$27, $C$14, 100%, $E$14)</f>
        <v>6.4981999999999998</v>
      </c>
      <c r="D442" s="58">
        <f>6.5038 * CHOOSE(CONTROL!$C$27, $C$14, 100%, $E$14)</f>
        <v>6.5038</v>
      </c>
      <c r="E442" s="59">
        <f>7.9011 * CHOOSE(CONTROL!$C$27, $C$14, 100%, $E$14)</f>
        <v>7.9010999999999996</v>
      </c>
      <c r="F442" s="59">
        <f>7.9011 * CHOOSE(CONTROL!$C$27, $C$14, 100%, $E$14)</f>
        <v>7.9010999999999996</v>
      </c>
      <c r="G442" s="59">
        <f>7.908 * CHOOSE(CONTROL!$C$27, $C$14, 100%, $E$14)</f>
        <v>7.9080000000000004</v>
      </c>
      <c r="H442" s="59">
        <f>14.2587* CHOOSE(CONTROL!$C$27, $C$14, 100%, $E$14)</f>
        <v>14.258699999999999</v>
      </c>
      <c r="I442" s="59">
        <f>14.2656 * CHOOSE(CONTROL!$C$27, $C$14, 100%, $E$14)</f>
        <v>14.265599999999999</v>
      </c>
      <c r="J442" s="59">
        <f>14.2587 * CHOOSE(CONTROL!$C$27, $C$14, 100%, $E$14)</f>
        <v>14.258699999999999</v>
      </c>
      <c r="K442" s="59">
        <f>14.2656 * CHOOSE(CONTROL!$C$27, $C$14, 100%, $E$14)</f>
        <v>14.265599999999999</v>
      </c>
      <c r="L442" s="59">
        <f>7.9011 * CHOOSE(CONTROL!$C$27, $C$14, 100%, $E$14)</f>
        <v>7.9010999999999996</v>
      </c>
      <c r="M442" s="59">
        <f>7.908 * CHOOSE(CONTROL!$C$27, $C$14, 100%, $E$14)</f>
        <v>7.9080000000000004</v>
      </c>
      <c r="N442" s="59">
        <f>7.9011 * CHOOSE(CONTROL!$C$27, $C$14, 100%, $E$14)</f>
        <v>7.9010999999999996</v>
      </c>
      <c r="O442" s="59">
        <f>7.908 * CHOOSE(CONTROL!$C$27, $C$14, 100%, $E$14)</f>
        <v>7.9080000000000004</v>
      </c>
    </row>
    <row r="443" spans="1:15" ht="15">
      <c r="A443" s="11">
        <v>54575</v>
      </c>
      <c r="B443" s="58">
        <f>6.5042 * CHOOSE(CONTROL!$C$27, $C$14, 100%, $E$14)</f>
        <v>6.5042</v>
      </c>
      <c r="C443" s="58">
        <f>6.5042 * CHOOSE(CONTROL!$C$27, $C$14, 100%, $E$14)</f>
        <v>6.5042</v>
      </c>
      <c r="D443" s="58">
        <f>6.5099 * CHOOSE(CONTROL!$C$27, $C$14, 100%, $E$14)</f>
        <v>6.5099</v>
      </c>
      <c r="E443" s="59">
        <f>7.8653 * CHOOSE(CONTROL!$C$27, $C$14, 100%, $E$14)</f>
        <v>7.8653000000000004</v>
      </c>
      <c r="F443" s="59">
        <f>7.8653 * CHOOSE(CONTROL!$C$27, $C$14, 100%, $E$14)</f>
        <v>7.8653000000000004</v>
      </c>
      <c r="G443" s="59">
        <f>7.8722 * CHOOSE(CONTROL!$C$27, $C$14, 100%, $E$14)</f>
        <v>7.8722000000000003</v>
      </c>
      <c r="H443" s="59">
        <f>14.2884* CHOOSE(CONTROL!$C$27, $C$14, 100%, $E$14)</f>
        <v>14.288399999999999</v>
      </c>
      <c r="I443" s="59">
        <f>14.2953 * CHOOSE(CONTROL!$C$27, $C$14, 100%, $E$14)</f>
        <v>14.295299999999999</v>
      </c>
      <c r="J443" s="59">
        <f>14.2884 * CHOOSE(CONTROL!$C$27, $C$14, 100%, $E$14)</f>
        <v>14.288399999999999</v>
      </c>
      <c r="K443" s="59">
        <f>14.2953 * CHOOSE(CONTROL!$C$27, $C$14, 100%, $E$14)</f>
        <v>14.295299999999999</v>
      </c>
      <c r="L443" s="59">
        <f>7.8653 * CHOOSE(CONTROL!$C$27, $C$14, 100%, $E$14)</f>
        <v>7.8653000000000004</v>
      </c>
      <c r="M443" s="59">
        <f>7.8722 * CHOOSE(CONTROL!$C$27, $C$14, 100%, $E$14)</f>
        <v>7.8722000000000003</v>
      </c>
      <c r="N443" s="59">
        <f>7.8653 * CHOOSE(CONTROL!$C$27, $C$14, 100%, $E$14)</f>
        <v>7.8653000000000004</v>
      </c>
      <c r="O443" s="59">
        <f>7.8722 * CHOOSE(CONTROL!$C$27, $C$14, 100%, $E$14)</f>
        <v>7.8722000000000003</v>
      </c>
    </row>
    <row r="444" spans="1:15" ht="15">
      <c r="A444" s="11">
        <v>54605</v>
      </c>
      <c r="B444" s="58">
        <f>6.6083 * CHOOSE(CONTROL!$C$27, $C$14, 100%, $E$14)</f>
        <v>6.6082999999999998</v>
      </c>
      <c r="C444" s="58">
        <f>6.6083 * CHOOSE(CONTROL!$C$27, $C$14, 100%, $E$14)</f>
        <v>6.6082999999999998</v>
      </c>
      <c r="D444" s="58">
        <f>6.6139 * CHOOSE(CONTROL!$C$27, $C$14, 100%, $E$14)</f>
        <v>6.6139000000000001</v>
      </c>
      <c r="E444" s="59">
        <f>7.9963 * CHOOSE(CONTROL!$C$27, $C$14, 100%, $E$14)</f>
        <v>7.9962999999999997</v>
      </c>
      <c r="F444" s="59">
        <f>7.9963 * CHOOSE(CONTROL!$C$27, $C$14, 100%, $E$14)</f>
        <v>7.9962999999999997</v>
      </c>
      <c r="G444" s="59">
        <f>8.0032 * CHOOSE(CONTROL!$C$27, $C$14, 100%, $E$14)</f>
        <v>8.0031999999999996</v>
      </c>
      <c r="H444" s="59">
        <f>14.3182* CHOOSE(CONTROL!$C$27, $C$14, 100%, $E$14)</f>
        <v>14.318199999999999</v>
      </c>
      <c r="I444" s="59">
        <f>14.3251 * CHOOSE(CONTROL!$C$27, $C$14, 100%, $E$14)</f>
        <v>14.325100000000001</v>
      </c>
      <c r="J444" s="59">
        <f>14.3182 * CHOOSE(CONTROL!$C$27, $C$14, 100%, $E$14)</f>
        <v>14.318199999999999</v>
      </c>
      <c r="K444" s="59">
        <f>14.3251 * CHOOSE(CONTROL!$C$27, $C$14, 100%, $E$14)</f>
        <v>14.325100000000001</v>
      </c>
      <c r="L444" s="59">
        <f>7.9963 * CHOOSE(CONTROL!$C$27, $C$14, 100%, $E$14)</f>
        <v>7.9962999999999997</v>
      </c>
      <c r="M444" s="59">
        <f>8.0032 * CHOOSE(CONTROL!$C$27, $C$14, 100%, $E$14)</f>
        <v>8.0031999999999996</v>
      </c>
      <c r="N444" s="59">
        <f>7.9963 * CHOOSE(CONTROL!$C$27, $C$14, 100%, $E$14)</f>
        <v>7.9962999999999997</v>
      </c>
      <c r="O444" s="59">
        <f>8.0032 * CHOOSE(CONTROL!$C$27, $C$14, 100%, $E$14)</f>
        <v>8.0031999999999996</v>
      </c>
    </row>
    <row r="445" spans="1:15" ht="15">
      <c r="A445" s="11">
        <v>54636</v>
      </c>
      <c r="B445" s="58">
        <f>6.615 * CHOOSE(CONTROL!$C$27, $C$14, 100%, $E$14)</f>
        <v>6.6150000000000002</v>
      </c>
      <c r="C445" s="58">
        <f>6.615 * CHOOSE(CONTROL!$C$27, $C$14, 100%, $E$14)</f>
        <v>6.6150000000000002</v>
      </c>
      <c r="D445" s="58">
        <f>6.6206 * CHOOSE(CONTROL!$C$27, $C$14, 100%, $E$14)</f>
        <v>6.6205999999999996</v>
      </c>
      <c r="E445" s="59">
        <f>7.8807 * CHOOSE(CONTROL!$C$27, $C$14, 100%, $E$14)</f>
        <v>7.8807</v>
      </c>
      <c r="F445" s="59">
        <f>7.8807 * CHOOSE(CONTROL!$C$27, $C$14, 100%, $E$14)</f>
        <v>7.8807</v>
      </c>
      <c r="G445" s="59">
        <f>7.8876 * CHOOSE(CONTROL!$C$27, $C$14, 100%, $E$14)</f>
        <v>7.8875999999999999</v>
      </c>
      <c r="H445" s="59">
        <f>14.348* CHOOSE(CONTROL!$C$27, $C$14, 100%, $E$14)</f>
        <v>14.348000000000001</v>
      </c>
      <c r="I445" s="59">
        <f>14.3549 * CHOOSE(CONTROL!$C$27, $C$14, 100%, $E$14)</f>
        <v>14.354900000000001</v>
      </c>
      <c r="J445" s="59">
        <f>14.348 * CHOOSE(CONTROL!$C$27, $C$14, 100%, $E$14)</f>
        <v>14.348000000000001</v>
      </c>
      <c r="K445" s="59">
        <f>14.3549 * CHOOSE(CONTROL!$C$27, $C$14, 100%, $E$14)</f>
        <v>14.354900000000001</v>
      </c>
      <c r="L445" s="59">
        <f>7.8807 * CHOOSE(CONTROL!$C$27, $C$14, 100%, $E$14)</f>
        <v>7.8807</v>
      </c>
      <c r="M445" s="59">
        <f>7.8876 * CHOOSE(CONTROL!$C$27, $C$14, 100%, $E$14)</f>
        <v>7.8875999999999999</v>
      </c>
      <c r="N445" s="59">
        <f>7.8807 * CHOOSE(CONTROL!$C$27, $C$14, 100%, $E$14)</f>
        <v>7.8807</v>
      </c>
      <c r="O445" s="59">
        <f>7.8876 * CHOOSE(CONTROL!$C$27, $C$14, 100%, $E$14)</f>
        <v>7.8875999999999999</v>
      </c>
    </row>
    <row r="446" spans="1:15" ht="15">
      <c r="A446" s="11">
        <v>54667</v>
      </c>
      <c r="B446" s="58">
        <f>6.6119 * CHOOSE(CONTROL!$C$27, $C$14, 100%, $E$14)</f>
        <v>6.6119000000000003</v>
      </c>
      <c r="C446" s="58">
        <f>6.6119 * CHOOSE(CONTROL!$C$27, $C$14, 100%, $E$14)</f>
        <v>6.6119000000000003</v>
      </c>
      <c r="D446" s="58">
        <f>6.6176 * CHOOSE(CONTROL!$C$27, $C$14, 100%, $E$14)</f>
        <v>6.6176000000000004</v>
      </c>
      <c r="E446" s="59">
        <f>7.8653 * CHOOSE(CONTROL!$C$27, $C$14, 100%, $E$14)</f>
        <v>7.8653000000000004</v>
      </c>
      <c r="F446" s="59">
        <f>7.8653 * CHOOSE(CONTROL!$C$27, $C$14, 100%, $E$14)</f>
        <v>7.8653000000000004</v>
      </c>
      <c r="G446" s="59">
        <f>7.8721 * CHOOSE(CONTROL!$C$27, $C$14, 100%, $E$14)</f>
        <v>7.8720999999999997</v>
      </c>
      <c r="H446" s="59">
        <f>14.3779* CHOOSE(CONTROL!$C$27, $C$14, 100%, $E$14)</f>
        <v>14.3779</v>
      </c>
      <c r="I446" s="59">
        <f>14.3848 * CHOOSE(CONTROL!$C$27, $C$14, 100%, $E$14)</f>
        <v>14.3848</v>
      </c>
      <c r="J446" s="59">
        <f>14.3779 * CHOOSE(CONTROL!$C$27, $C$14, 100%, $E$14)</f>
        <v>14.3779</v>
      </c>
      <c r="K446" s="59">
        <f>14.3848 * CHOOSE(CONTROL!$C$27, $C$14, 100%, $E$14)</f>
        <v>14.3848</v>
      </c>
      <c r="L446" s="59">
        <f>7.8653 * CHOOSE(CONTROL!$C$27, $C$14, 100%, $E$14)</f>
        <v>7.8653000000000004</v>
      </c>
      <c r="M446" s="59">
        <f>7.8721 * CHOOSE(CONTROL!$C$27, $C$14, 100%, $E$14)</f>
        <v>7.8720999999999997</v>
      </c>
      <c r="N446" s="59">
        <f>7.8653 * CHOOSE(CONTROL!$C$27, $C$14, 100%, $E$14)</f>
        <v>7.8653000000000004</v>
      </c>
      <c r="O446" s="59">
        <f>7.8721 * CHOOSE(CONTROL!$C$27, $C$14, 100%, $E$14)</f>
        <v>7.8720999999999997</v>
      </c>
    </row>
    <row r="447" spans="1:15" ht="15">
      <c r="A447" s="11">
        <v>54697</v>
      </c>
      <c r="B447" s="58">
        <f>6.6156 * CHOOSE(CONTROL!$C$27, $C$14, 100%, $E$14)</f>
        <v>6.6155999999999997</v>
      </c>
      <c r="C447" s="58">
        <f>6.6156 * CHOOSE(CONTROL!$C$27, $C$14, 100%, $E$14)</f>
        <v>6.6155999999999997</v>
      </c>
      <c r="D447" s="58">
        <f>6.6196 * CHOOSE(CONTROL!$C$27, $C$14, 100%, $E$14)</f>
        <v>6.6196000000000002</v>
      </c>
      <c r="E447" s="59">
        <f>7.9053 * CHOOSE(CONTROL!$C$27, $C$14, 100%, $E$14)</f>
        <v>7.9053000000000004</v>
      </c>
      <c r="F447" s="59">
        <f>7.9053 * CHOOSE(CONTROL!$C$27, $C$14, 100%, $E$14)</f>
        <v>7.9053000000000004</v>
      </c>
      <c r="G447" s="59">
        <f>7.9102 * CHOOSE(CONTROL!$C$27, $C$14, 100%, $E$14)</f>
        <v>7.9101999999999997</v>
      </c>
      <c r="H447" s="59">
        <f>14.4078* CHOOSE(CONTROL!$C$27, $C$14, 100%, $E$14)</f>
        <v>14.4078</v>
      </c>
      <c r="I447" s="59">
        <f>14.4128 * CHOOSE(CONTROL!$C$27, $C$14, 100%, $E$14)</f>
        <v>14.412800000000001</v>
      </c>
      <c r="J447" s="59">
        <f>14.4078 * CHOOSE(CONTROL!$C$27, $C$14, 100%, $E$14)</f>
        <v>14.4078</v>
      </c>
      <c r="K447" s="59">
        <f>14.4128 * CHOOSE(CONTROL!$C$27, $C$14, 100%, $E$14)</f>
        <v>14.412800000000001</v>
      </c>
      <c r="L447" s="59">
        <f>7.9053 * CHOOSE(CONTROL!$C$27, $C$14, 100%, $E$14)</f>
        <v>7.9053000000000004</v>
      </c>
      <c r="M447" s="59">
        <f>7.9102 * CHOOSE(CONTROL!$C$27, $C$14, 100%, $E$14)</f>
        <v>7.9101999999999997</v>
      </c>
      <c r="N447" s="59">
        <f>7.9053 * CHOOSE(CONTROL!$C$27, $C$14, 100%, $E$14)</f>
        <v>7.9053000000000004</v>
      </c>
      <c r="O447" s="59">
        <f>7.9102 * CHOOSE(CONTROL!$C$27, $C$14, 100%, $E$14)</f>
        <v>7.9101999999999997</v>
      </c>
    </row>
    <row r="448" spans="1:15" ht="15">
      <c r="A448" s="11">
        <v>54728</v>
      </c>
      <c r="B448" s="58">
        <f>6.6186 * CHOOSE(CONTROL!$C$27, $C$14, 100%, $E$14)</f>
        <v>6.6185999999999998</v>
      </c>
      <c r="C448" s="58">
        <f>6.6186 * CHOOSE(CONTROL!$C$27, $C$14, 100%, $E$14)</f>
        <v>6.6185999999999998</v>
      </c>
      <c r="D448" s="58">
        <f>6.6226 * CHOOSE(CONTROL!$C$27, $C$14, 100%, $E$14)</f>
        <v>6.6226000000000003</v>
      </c>
      <c r="E448" s="59">
        <f>7.9341 * CHOOSE(CONTROL!$C$27, $C$14, 100%, $E$14)</f>
        <v>7.9340999999999999</v>
      </c>
      <c r="F448" s="59">
        <f>7.9341 * CHOOSE(CONTROL!$C$27, $C$14, 100%, $E$14)</f>
        <v>7.9340999999999999</v>
      </c>
      <c r="G448" s="59">
        <f>7.939 * CHOOSE(CONTROL!$C$27, $C$14, 100%, $E$14)</f>
        <v>7.9390000000000001</v>
      </c>
      <c r="H448" s="59">
        <f>14.4379* CHOOSE(CONTROL!$C$27, $C$14, 100%, $E$14)</f>
        <v>14.437900000000001</v>
      </c>
      <c r="I448" s="59">
        <f>14.4428 * CHOOSE(CONTROL!$C$27, $C$14, 100%, $E$14)</f>
        <v>14.4428</v>
      </c>
      <c r="J448" s="59">
        <f>14.4379 * CHOOSE(CONTROL!$C$27, $C$14, 100%, $E$14)</f>
        <v>14.437900000000001</v>
      </c>
      <c r="K448" s="59">
        <f>14.4428 * CHOOSE(CONTROL!$C$27, $C$14, 100%, $E$14)</f>
        <v>14.4428</v>
      </c>
      <c r="L448" s="59">
        <f>7.9341 * CHOOSE(CONTROL!$C$27, $C$14, 100%, $E$14)</f>
        <v>7.9340999999999999</v>
      </c>
      <c r="M448" s="59">
        <f>7.939 * CHOOSE(CONTROL!$C$27, $C$14, 100%, $E$14)</f>
        <v>7.9390000000000001</v>
      </c>
      <c r="N448" s="59">
        <f>7.9341 * CHOOSE(CONTROL!$C$27, $C$14, 100%, $E$14)</f>
        <v>7.9340999999999999</v>
      </c>
      <c r="O448" s="59">
        <f>7.939 * CHOOSE(CONTROL!$C$27, $C$14, 100%, $E$14)</f>
        <v>7.9390000000000001</v>
      </c>
    </row>
    <row r="449" spans="1:15" ht="15">
      <c r="A449" s="11">
        <v>54758</v>
      </c>
      <c r="B449" s="58">
        <f>6.6186 * CHOOSE(CONTROL!$C$27, $C$14, 100%, $E$14)</f>
        <v>6.6185999999999998</v>
      </c>
      <c r="C449" s="58">
        <f>6.6186 * CHOOSE(CONTROL!$C$27, $C$14, 100%, $E$14)</f>
        <v>6.6185999999999998</v>
      </c>
      <c r="D449" s="58">
        <f>6.6226 * CHOOSE(CONTROL!$C$27, $C$14, 100%, $E$14)</f>
        <v>6.6226000000000003</v>
      </c>
      <c r="E449" s="59">
        <f>7.8673 * CHOOSE(CONTROL!$C$27, $C$14, 100%, $E$14)</f>
        <v>7.8673000000000002</v>
      </c>
      <c r="F449" s="59">
        <f>7.8673 * CHOOSE(CONTROL!$C$27, $C$14, 100%, $E$14)</f>
        <v>7.8673000000000002</v>
      </c>
      <c r="G449" s="59">
        <f>7.8722 * CHOOSE(CONTROL!$C$27, $C$14, 100%, $E$14)</f>
        <v>7.8722000000000003</v>
      </c>
      <c r="H449" s="59">
        <f>14.4679* CHOOSE(CONTROL!$C$27, $C$14, 100%, $E$14)</f>
        <v>14.4679</v>
      </c>
      <c r="I449" s="59">
        <f>14.4729 * CHOOSE(CONTROL!$C$27, $C$14, 100%, $E$14)</f>
        <v>14.472899999999999</v>
      </c>
      <c r="J449" s="59">
        <f>14.4679 * CHOOSE(CONTROL!$C$27, $C$14, 100%, $E$14)</f>
        <v>14.4679</v>
      </c>
      <c r="K449" s="59">
        <f>14.4729 * CHOOSE(CONTROL!$C$27, $C$14, 100%, $E$14)</f>
        <v>14.472899999999999</v>
      </c>
      <c r="L449" s="59">
        <f>7.8673 * CHOOSE(CONTROL!$C$27, $C$14, 100%, $E$14)</f>
        <v>7.8673000000000002</v>
      </c>
      <c r="M449" s="59">
        <f>7.8722 * CHOOSE(CONTROL!$C$27, $C$14, 100%, $E$14)</f>
        <v>7.8722000000000003</v>
      </c>
      <c r="N449" s="59">
        <f>7.8673 * CHOOSE(CONTROL!$C$27, $C$14, 100%, $E$14)</f>
        <v>7.8673000000000002</v>
      </c>
      <c r="O449" s="59">
        <f>7.8722 * CHOOSE(CONTROL!$C$27, $C$14, 100%, $E$14)</f>
        <v>7.8722000000000003</v>
      </c>
    </row>
    <row r="450" spans="1:15" ht="15">
      <c r="A450" s="11">
        <v>54789</v>
      </c>
      <c r="B450" s="58">
        <f>6.6762 * CHOOSE(CONTROL!$C$27, $C$14, 100%, $E$14)</f>
        <v>6.6761999999999997</v>
      </c>
      <c r="C450" s="58">
        <f>6.6762 * CHOOSE(CONTROL!$C$27, $C$14, 100%, $E$14)</f>
        <v>6.6761999999999997</v>
      </c>
      <c r="D450" s="58">
        <f>6.6802 * CHOOSE(CONTROL!$C$27, $C$14, 100%, $E$14)</f>
        <v>6.6802000000000001</v>
      </c>
      <c r="E450" s="59">
        <f>7.9797 * CHOOSE(CONTROL!$C$27, $C$14, 100%, $E$14)</f>
        <v>7.9797000000000002</v>
      </c>
      <c r="F450" s="59">
        <f>7.9797 * CHOOSE(CONTROL!$C$27, $C$14, 100%, $E$14)</f>
        <v>7.9797000000000002</v>
      </c>
      <c r="G450" s="59">
        <f>7.9846 * CHOOSE(CONTROL!$C$27, $C$14, 100%, $E$14)</f>
        <v>7.9846000000000004</v>
      </c>
      <c r="H450" s="59">
        <f>14.4981* CHOOSE(CONTROL!$C$27, $C$14, 100%, $E$14)</f>
        <v>14.498100000000001</v>
      </c>
      <c r="I450" s="59">
        <f>14.503 * CHOOSE(CONTROL!$C$27, $C$14, 100%, $E$14)</f>
        <v>14.503</v>
      </c>
      <c r="J450" s="59">
        <f>14.4981 * CHOOSE(CONTROL!$C$27, $C$14, 100%, $E$14)</f>
        <v>14.498100000000001</v>
      </c>
      <c r="K450" s="59">
        <f>14.503 * CHOOSE(CONTROL!$C$27, $C$14, 100%, $E$14)</f>
        <v>14.503</v>
      </c>
      <c r="L450" s="59">
        <f>7.9797 * CHOOSE(CONTROL!$C$27, $C$14, 100%, $E$14)</f>
        <v>7.9797000000000002</v>
      </c>
      <c r="M450" s="59">
        <f>7.9846 * CHOOSE(CONTROL!$C$27, $C$14, 100%, $E$14)</f>
        <v>7.9846000000000004</v>
      </c>
      <c r="N450" s="59">
        <f>7.9797 * CHOOSE(CONTROL!$C$27, $C$14, 100%, $E$14)</f>
        <v>7.9797000000000002</v>
      </c>
      <c r="O450" s="59">
        <f>7.9846 * CHOOSE(CONTROL!$C$27, $C$14, 100%, $E$14)</f>
        <v>7.9846000000000004</v>
      </c>
    </row>
    <row r="451" spans="1:15" ht="15">
      <c r="A451" s="11">
        <v>54820</v>
      </c>
      <c r="B451" s="58">
        <f>6.6731 * CHOOSE(CONTROL!$C$27, $C$14, 100%, $E$14)</f>
        <v>6.6730999999999998</v>
      </c>
      <c r="C451" s="58">
        <f>6.6731 * CHOOSE(CONTROL!$C$27, $C$14, 100%, $E$14)</f>
        <v>6.6730999999999998</v>
      </c>
      <c r="D451" s="58">
        <f>6.6771 * CHOOSE(CONTROL!$C$27, $C$14, 100%, $E$14)</f>
        <v>6.6771000000000003</v>
      </c>
      <c r="E451" s="59">
        <f>7.8478 * CHOOSE(CONTROL!$C$27, $C$14, 100%, $E$14)</f>
        <v>7.8478000000000003</v>
      </c>
      <c r="F451" s="59">
        <f>7.8478 * CHOOSE(CONTROL!$C$27, $C$14, 100%, $E$14)</f>
        <v>7.8478000000000003</v>
      </c>
      <c r="G451" s="59">
        <f>7.8527 * CHOOSE(CONTROL!$C$27, $C$14, 100%, $E$14)</f>
        <v>7.8526999999999996</v>
      </c>
      <c r="H451" s="59">
        <f>14.5283* CHOOSE(CONTROL!$C$27, $C$14, 100%, $E$14)</f>
        <v>14.5283</v>
      </c>
      <c r="I451" s="59">
        <f>14.5332 * CHOOSE(CONTROL!$C$27, $C$14, 100%, $E$14)</f>
        <v>14.533200000000001</v>
      </c>
      <c r="J451" s="59">
        <f>14.5283 * CHOOSE(CONTROL!$C$27, $C$14, 100%, $E$14)</f>
        <v>14.5283</v>
      </c>
      <c r="K451" s="59">
        <f>14.5332 * CHOOSE(CONTROL!$C$27, $C$14, 100%, $E$14)</f>
        <v>14.533200000000001</v>
      </c>
      <c r="L451" s="59">
        <f>7.8478 * CHOOSE(CONTROL!$C$27, $C$14, 100%, $E$14)</f>
        <v>7.8478000000000003</v>
      </c>
      <c r="M451" s="59">
        <f>7.8527 * CHOOSE(CONTROL!$C$27, $C$14, 100%, $E$14)</f>
        <v>7.8526999999999996</v>
      </c>
      <c r="N451" s="59">
        <f>7.8478 * CHOOSE(CONTROL!$C$27, $C$14, 100%, $E$14)</f>
        <v>7.8478000000000003</v>
      </c>
      <c r="O451" s="59">
        <f>7.8527 * CHOOSE(CONTROL!$C$27, $C$14, 100%, $E$14)</f>
        <v>7.8526999999999996</v>
      </c>
    </row>
    <row r="452" spans="1:15" ht="15">
      <c r="A452" s="11">
        <v>54848</v>
      </c>
      <c r="B452" s="58">
        <f>6.6701 * CHOOSE(CONTROL!$C$27, $C$14, 100%, $E$14)</f>
        <v>6.6700999999999997</v>
      </c>
      <c r="C452" s="58">
        <f>6.6701 * CHOOSE(CONTROL!$C$27, $C$14, 100%, $E$14)</f>
        <v>6.6700999999999997</v>
      </c>
      <c r="D452" s="58">
        <f>6.6741 * CHOOSE(CONTROL!$C$27, $C$14, 100%, $E$14)</f>
        <v>6.6741000000000001</v>
      </c>
      <c r="E452" s="59">
        <f>7.948 * CHOOSE(CONTROL!$C$27, $C$14, 100%, $E$14)</f>
        <v>7.9480000000000004</v>
      </c>
      <c r="F452" s="59">
        <f>7.948 * CHOOSE(CONTROL!$C$27, $C$14, 100%, $E$14)</f>
        <v>7.9480000000000004</v>
      </c>
      <c r="G452" s="59">
        <f>7.9529 * CHOOSE(CONTROL!$C$27, $C$14, 100%, $E$14)</f>
        <v>7.9528999999999996</v>
      </c>
      <c r="H452" s="59">
        <f>14.5586* CHOOSE(CONTROL!$C$27, $C$14, 100%, $E$14)</f>
        <v>14.5586</v>
      </c>
      <c r="I452" s="59">
        <f>14.5635 * CHOOSE(CONTROL!$C$27, $C$14, 100%, $E$14)</f>
        <v>14.563499999999999</v>
      </c>
      <c r="J452" s="59">
        <f>14.5586 * CHOOSE(CONTROL!$C$27, $C$14, 100%, $E$14)</f>
        <v>14.5586</v>
      </c>
      <c r="K452" s="59">
        <f>14.5635 * CHOOSE(CONTROL!$C$27, $C$14, 100%, $E$14)</f>
        <v>14.563499999999999</v>
      </c>
      <c r="L452" s="59">
        <f>7.948 * CHOOSE(CONTROL!$C$27, $C$14, 100%, $E$14)</f>
        <v>7.9480000000000004</v>
      </c>
      <c r="M452" s="59">
        <f>7.9529 * CHOOSE(CONTROL!$C$27, $C$14, 100%, $E$14)</f>
        <v>7.9528999999999996</v>
      </c>
      <c r="N452" s="59">
        <f>7.948 * CHOOSE(CONTROL!$C$27, $C$14, 100%, $E$14)</f>
        <v>7.9480000000000004</v>
      </c>
      <c r="O452" s="59">
        <f>7.9529 * CHOOSE(CONTROL!$C$27, $C$14, 100%, $E$14)</f>
        <v>7.9528999999999996</v>
      </c>
    </row>
    <row r="453" spans="1:15" ht="15">
      <c r="A453" s="11">
        <v>54879</v>
      </c>
      <c r="B453" s="58">
        <f>6.67 * CHOOSE(CONTROL!$C$27, $C$14, 100%, $E$14)</f>
        <v>6.67</v>
      </c>
      <c r="C453" s="58">
        <f>6.67 * CHOOSE(CONTROL!$C$27, $C$14, 100%, $E$14)</f>
        <v>6.67</v>
      </c>
      <c r="D453" s="58">
        <f>6.674 * CHOOSE(CONTROL!$C$27, $C$14, 100%, $E$14)</f>
        <v>6.6740000000000004</v>
      </c>
      <c r="E453" s="59">
        <f>8.0536 * CHOOSE(CONTROL!$C$27, $C$14, 100%, $E$14)</f>
        <v>8.0535999999999994</v>
      </c>
      <c r="F453" s="59">
        <f>8.0536 * CHOOSE(CONTROL!$C$27, $C$14, 100%, $E$14)</f>
        <v>8.0535999999999994</v>
      </c>
      <c r="G453" s="59">
        <f>8.0586 * CHOOSE(CONTROL!$C$27, $C$14, 100%, $E$14)</f>
        <v>8.0586000000000002</v>
      </c>
      <c r="H453" s="59">
        <f>14.5889* CHOOSE(CONTROL!$C$27, $C$14, 100%, $E$14)</f>
        <v>14.588900000000001</v>
      </c>
      <c r="I453" s="59">
        <f>14.5938 * CHOOSE(CONTROL!$C$27, $C$14, 100%, $E$14)</f>
        <v>14.5938</v>
      </c>
      <c r="J453" s="59">
        <f>14.5889 * CHOOSE(CONTROL!$C$27, $C$14, 100%, $E$14)</f>
        <v>14.588900000000001</v>
      </c>
      <c r="K453" s="59">
        <f>14.5938 * CHOOSE(CONTROL!$C$27, $C$14, 100%, $E$14)</f>
        <v>14.5938</v>
      </c>
      <c r="L453" s="59">
        <f>8.0536 * CHOOSE(CONTROL!$C$27, $C$14, 100%, $E$14)</f>
        <v>8.0535999999999994</v>
      </c>
      <c r="M453" s="59">
        <f>8.0586 * CHOOSE(CONTROL!$C$27, $C$14, 100%, $E$14)</f>
        <v>8.0586000000000002</v>
      </c>
      <c r="N453" s="59">
        <f>8.0536 * CHOOSE(CONTROL!$C$27, $C$14, 100%, $E$14)</f>
        <v>8.0535999999999994</v>
      </c>
      <c r="O453" s="59">
        <f>8.0586 * CHOOSE(CONTROL!$C$27, $C$14, 100%, $E$14)</f>
        <v>8.0586000000000002</v>
      </c>
    </row>
    <row r="454" spans="1:15" ht="15">
      <c r="A454" s="11">
        <v>54909</v>
      </c>
      <c r="B454" s="58">
        <f>6.67 * CHOOSE(CONTROL!$C$27, $C$14, 100%, $E$14)</f>
        <v>6.67</v>
      </c>
      <c r="C454" s="58">
        <f>6.67 * CHOOSE(CONTROL!$C$27, $C$14, 100%, $E$14)</f>
        <v>6.67</v>
      </c>
      <c r="D454" s="58">
        <f>6.6757 * CHOOSE(CONTROL!$C$27, $C$14, 100%, $E$14)</f>
        <v>6.6757</v>
      </c>
      <c r="E454" s="59">
        <f>8.0948 * CHOOSE(CONTROL!$C$27, $C$14, 100%, $E$14)</f>
        <v>8.0947999999999993</v>
      </c>
      <c r="F454" s="59">
        <f>8.0948 * CHOOSE(CONTROL!$C$27, $C$14, 100%, $E$14)</f>
        <v>8.0947999999999993</v>
      </c>
      <c r="G454" s="59">
        <f>8.1017 * CHOOSE(CONTROL!$C$27, $C$14, 100%, $E$14)</f>
        <v>8.1016999999999992</v>
      </c>
      <c r="H454" s="59">
        <f>14.6193* CHOOSE(CONTROL!$C$27, $C$14, 100%, $E$14)</f>
        <v>14.619300000000001</v>
      </c>
      <c r="I454" s="59">
        <f>14.6262 * CHOOSE(CONTROL!$C$27, $C$14, 100%, $E$14)</f>
        <v>14.626200000000001</v>
      </c>
      <c r="J454" s="59">
        <f>14.6193 * CHOOSE(CONTROL!$C$27, $C$14, 100%, $E$14)</f>
        <v>14.619300000000001</v>
      </c>
      <c r="K454" s="59">
        <f>14.6262 * CHOOSE(CONTROL!$C$27, $C$14, 100%, $E$14)</f>
        <v>14.626200000000001</v>
      </c>
      <c r="L454" s="59">
        <f>8.0948 * CHOOSE(CONTROL!$C$27, $C$14, 100%, $E$14)</f>
        <v>8.0947999999999993</v>
      </c>
      <c r="M454" s="59">
        <f>8.1017 * CHOOSE(CONTROL!$C$27, $C$14, 100%, $E$14)</f>
        <v>8.1016999999999992</v>
      </c>
      <c r="N454" s="59">
        <f>8.0948 * CHOOSE(CONTROL!$C$27, $C$14, 100%, $E$14)</f>
        <v>8.0947999999999993</v>
      </c>
      <c r="O454" s="59">
        <f>8.1017 * CHOOSE(CONTROL!$C$27, $C$14, 100%, $E$14)</f>
        <v>8.1016999999999992</v>
      </c>
    </row>
    <row r="455" spans="1:15" ht="15">
      <c r="A455" s="11">
        <v>54940</v>
      </c>
      <c r="B455" s="58">
        <f>6.6761 * CHOOSE(CONTROL!$C$27, $C$14, 100%, $E$14)</f>
        <v>6.6760999999999999</v>
      </c>
      <c r="C455" s="58">
        <f>6.6761 * CHOOSE(CONTROL!$C$27, $C$14, 100%, $E$14)</f>
        <v>6.6760999999999999</v>
      </c>
      <c r="D455" s="58">
        <f>6.6818 * CHOOSE(CONTROL!$C$27, $C$14, 100%, $E$14)</f>
        <v>6.6818</v>
      </c>
      <c r="E455" s="59">
        <f>8.0579 * CHOOSE(CONTROL!$C$27, $C$14, 100%, $E$14)</f>
        <v>8.0579000000000001</v>
      </c>
      <c r="F455" s="59">
        <f>8.0579 * CHOOSE(CONTROL!$C$27, $C$14, 100%, $E$14)</f>
        <v>8.0579000000000001</v>
      </c>
      <c r="G455" s="59">
        <f>8.0648 * CHOOSE(CONTROL!$C$27, $C$14, 100%, $E$14)</f>
        <v>8.0648</v>
      </c>
      <c r="H455" s="59">
        <f>14.6497* CHOOSE(CONTROL!$C$27, $C$14, 100%, $E$14)</f>
        <v>14.649699999999999</v>
      </c>
      <c r="I455" s="59">
        <f>14.6566 * CHOOSE(CONTROL!$C$27, $C$14, 100%, $E$14)</f>
        <v>14.656599999999999</v>
      </c>
      <c r="J455" s="59">
        <f>14.6497 * CHOOSE(CONTROL!$C$27, $C$14, 100%, $E$14)</f>
        <v>14.649699999999999</v>
      </c>
      <c r="K455" s="59">
        <f>14.6566 * CHOOSE(CONTROL!$C$27, $C$14, 100%, $E$14)</f>
        <v>14.656599999999999</v>
      </c>
      <c r="L455" s="59">
        <f>8.0579 * CHOOSE(CONTROL!$C$27, $C$14, 100%, $E$14)</f>
        <v>8.0579000000000001</v>
      </c>
      <c r="M455" s="59">
        <f>8.0648 * CHOOSE(CONTROL!$C$27, $C$14, 100%, $E$14)</f>
        <v>8.0648</v>
      </c>
      <c r="N455" s="59">
        <f>8.0579 * CHOOSE(CONTROL!$C$27, $C$14, 100%, $E$14)</f>
        <v>8.0579000000000001</v>
      </c>
      <c r="O455" s="59">
        <f>8.0648 * CHOOSE(CONTROL!$C$27, $C$14, 100%, $E$14)</f>
        <v>8.0648</v>
      </c>
    </row>
    <row r="456" spans="1:15" ht="15">
      <c r="A456" s="11">
        <v>54970</v>
      </c>
      <c r="B456" s="58">
        <f>6.7826 * CHOOSE(CONTROL!$C$27, $C$14, 100%, $E$14)</f>
        <v>6.7826000000000004</v>
      </c>
      <c r="C456" s="58">
        <f>6.7826 * CHOOSE(CONTROL!$C$27, $C$14, 100%, $E$14)</f>
        <v>6.7826000000000004</v>
      </c>
      <c r="D456" s="58">
        <f>6.7883 * CHOOSE(CONTROL!$C$27, $C$14, 100%, $E$14)</f>
        <v>6.7882999999999996</v>
      </c>
      <c r="E456" s="59">
        <f>8.1919 * CHOOSE(CONTROL!$C$27, $C$14, 100%, $E$14)</f>
        <v>8.1919000000000004</v>
      </c>
      <c r="F456" s="59">
        <f>8.1919 * CHOOSE(CONTROL!$C$27, $C$14, 100%, $E$14)</f>
        <v>8.1919000000000004</v>
      </c>
      <c r="G456" s="59">
        <f>8.1987 * CHOOSE(CONTROL!$C$27, $C$14, 100%, $E$14)</f>
        <v>8.1987000000000005</v>
      </c>
      <c r="H456" s="59">
        <f>14.6803* CHOOSE(CONTROL!$C$27, $C$14, 100%, $E$14)</f>
        <v>14.680300000000001</v>
      </c>
      <c r="I456" s="59">
        <f>14.6871 * CHOOSE(CONTROL!$C$27, $C$14, 100%, $E$14)</f>
        <v>14.687099999999999</v>
      </c>
      <c r="J456" s="59">
        <f>14.6803 * CHOOSE(CONTROL!$C$27, $C$14, 100%, $E$14)</f>
        <v>14.680300000000001</v>
      </c>
      <c r="K456" s="59">
        <f>14.6871 * CHOOSE(CONTROL!$C$27, $C$14, 100%, $E$14)</f>
        <v>14.687099999999999</v>
      </c>
      <c r="L456" s="59">
        <f>8.1919 * CHOOSE(CONTROL!$C$27, $C$14, 100%, $E$14)</f>
        <v>8.1919000000000004</v>
      </c>
      <c r="M456" s="59">
        <f>8.1987 * CHOOSE(CONTROL!$C$27, $C$14, 100%, $E$14)</f>
        <v>8.1987000000000005</v>
      </c>
      <c r="N456" s="59">
        <f>8.1919 * CHOOSE(CONTROL!$C$27, $C$14, 100%, $E$14)</f>
        <v>8.1919000000000004</v>
      </c>
      <c r="O456" s="59">
        <f>8.1987 * CHOOSE(CONTROL!$C$27, $C$14, 100%, $E$14)</f>
        <v>8.1987000000000005</v>
      </c>
    </row>
    <row r="457" spans="1:15" ht="15">
      <c r="A457" s="11">
        <v>55001</v>
      </c>
      <c r="B457" s="58">
        <f>6.7893 * CHOOSE(CONTROL!$C$27, $C$14, 100%, $E$14)</f>
        <v>6.7892999999999999</v>
      </c>
      <c r="C457" s="58">
        <f>6.7893 * CHOOSE(CONTROL!$C$27, $C$14, 100%, $E$14)</f>
        <v>6.7892999999999999</v>
      </c>
      <c r="D457" s="58">
        <f>6.7949 * CHOOSE(CONTROL!$C$27, $C$14, 100%, $E$14)</f>
        <v>6.7949000000000002</v>
      </c>
      <c r="E457" s="59">
        <f>8.0729 * CHOOSE(CONTROL!$C$27, $C$14, 100%, $E$14)</f>
        <v>8.0729000000000006</v>
      </c>
      <c r="F457" s="59">
        <f>8.0729 * CHOOSE(CONTROL!$C$27, $C$14, 100%, $E$14)</f>
        <v>8.0729000000000006</v>
      </c>
      <c r="G457" s="59">
        <f>8.0798 * CHOOSE(CONTROL!$C$27, $C$14, 100%, $E$14)</f>
        <v>8.0798000000000005</v>
      </c>
      <c r="H457" s="59">
        <f>14.7108* CHOOSE(CONTROL!$C$27, $C$14, 100%, $E$14)</f>
        <v>14.710800000000001</v>
      </c>
      <c r="I457" s="59">
        <f>14.7177 * CHOOSE(CONTROL!$C$27, $C$14, 100%, $E$14)</f>
        <v>14.717700000000001</v>
      </c>
      <c r="J457" s="59">
        <f>14.7108 * CHOOSE(CONTROL!$C$27, $C$14, 100%, $E$14)</f>
        <v>14.710800000000001</v>
      </c>
      <c r="K457" s="59">
        <f>14.7177 * CHOOSE(CONTROL!$C$27, $C$14, 100%, $E$14)</f>
        <v>14.717700000000001</v>
      </c>
      <c r="L457" s="59">
        <f>8.0729 * CHOOSE(CONTROL!$C$27, $C$14, 100%, $E$14)</f>
        <v>8.0729000000000006</v>
      </c>
      <c r="M457" s="59">
        <f>8.0798 * CHOOSE(CONTROL!$C$27, $C$14, 100%, $E$14)</f>
        <v>8.0798000000000005</v>
      </c>
      <c r="N457" s="59">
        <f>8.0729 * CHOOSE(CONTROL!$C$27, $C$14, 100%, $E$14)</f>
        <v>8.0729000000000006</v>
      </c>
      <c r="O457" s="59">
        <f>8.0798 * CHOOSE(CONTROL!$C$27, $C$14, 100%, $E$14)</f>
        <v>8.0798000000000005</v>
      </c>
    </row>
    <row r="458" spans="1:15" ht="15">
      <c r="A458" s="11">
        <v>55032</v>
      </c>
      <c r="B458" s="58">
        <f>6.7863 * CHOOSE(CONTROL!$C$27, $C$14, 100%, $E$14)</f>
        <v>6.7862999999999998</v>
      </c>
      <c r="C458" s="58">
        <f>6.7863 * CHOOSE(CONTROL!$C$27, $C$14, 100%, $E$14)</f>
        <v>6.7862999999999998</v>
      </c>
      <c r="D458" s="58">
        <f>6.7919 * CHOOSE(CONTROL!$C$27, $C$14, 100%, $E$14)</f>
        <v>6.7919</v>
      </c>
      <c r="E458" s="59">
        <f>8.0571 * CHOOSE(CONTROL!$C$27, $C$14, 100%, $E$14)</f>
        <v>8.0571000000000002</v>
      </c>
      <c r="F458" s="59">
        <f>8.0571 * CHOOSE(CONTROL!$C$27, $C$14, 100%, $E$14)</f>
        <v>8.0571000000000002</v>
      </c>
      <c r="G458" s="59">
        <f>8.0639 * CHOOSE(CONTROL!$C$27, $C$14, 100%, $E$14)</f>
        <v>8.0639000000000003</v>
      </c>
      <c r="H458" s="59">
        <f>14.7415* CHOOSE(CONTROL!$C$27, $C$14, 100%, $E$14)</f>
        <v>14.7415</v>
      </c>
      <c r="I458" s="59">
        <f>14.7484 * CHOOSE(CONTROL!$C$27, $C$14, 100%, $E$14)</f>
        <v>14.7484</v>
      </c>
      <c r="J458" s="59">
        <f>14.7415 * CHOOSE(CONTROL!$C$27, $C$14, 100%, $E$14)</f>
        <v>14.7415</v>
      </c>
      <c r="K458" s="59">
        <f>14.7484 * CHOOSE(CONTROL!$C$27, $C$14, 100%, $E$14)</f>
        <v>14.7484</v>
      </c>
      <c r="L458" s="59">
        <f>8.0571 * CHOOSE(CONTROL!$C$27, $C$14, 100%, $E$14)</f>
        <v>8.0571000000000002</v>
      </c>
      <c r="M458" s="59">
        <f>8.0639 * CHOOSE(CONTROL!$C$27, $C$14, 100%, $E$14)</f>
        <v>8.0639000000000003</v>
      </c>
      <c r="N458" s="59">
        <f>8.0571 * CHOOSE(CONTROL!$C$27, $C$14, 100%, $E$14)</f>
        <v>8.0571000000000002</v>
      </c>
      <c r="O458" s="59">
        <f>8.0639 * CHOOSE(CONTROL!$C$27, $C$14, 100%, $E$14)</f>
        <v>8.0639000000000003</v>
      </c>
    </row>
    <row r="459" spans="1:15" ht="15">
      <c r="A459" s="11">
        <v>55062</v>
      </c>
      <c r="B459" s="58">
        <f>6.7905 * CHOOSE(CONTROL!$C$27, $C$14, 100%, $E$14)</f>
        <v>6.7904999999999998</v>
      </c>
      <c r="C459" s="58">
        <f>6.7905 * CHOOSE(CONTROL!$C$27, $C$14, 100%, $E$14)</f>
        <v>6.7904999999999998</v>
      </c>
      <c r="D459" s="58">
        <f>6.7945 * CHOOSE(CONTROL!$C$27, $C$14, 100%, $E$14)</f>
        <v>6.7945000000000002</v>
      </c>
      <c r="E459" s="59">
        <f>8.0986 * CHOOSE(CONTROL!$C$27, $C$14, 100%, $E$14)</f>
        <v>8.0985999999999994</v>
      </c>
      <c r="F459" s="59">
        <f>8.0986 * CHOOSE(CONTROL!$C$27, $C$14, 100%, $E$14)</f>
        <v>8.0985999999999994</v>
      </c>
      <c r="G459" s="59">
        <f>8.1035 * CHOOSE(CONTROL!$C$27, $C$14, 100%, $E$14)</f>
        <v>8.1035000000000004</v>
      </c>
      <c r="H459" s="59">
        <f>14.7722* CHOOSE(CONTROL!$C$27, $C$14, 100%, $E$14)</f>
        <v>14.7722</v>
      </c>
      <c r="I459" s="59">
        <f>14.7771 * CHOOSE(CONTROL!$C$27, $C$14, 100%, $E$14)</f>
        <v>14.777100000000001</v>
      </c>
      <c r="J459" s="59">
        <f>14.7722 * CHOOSE(CONTROL!$C$27, $C$14, 100%, $E$14)</f>
        <v>14.7722</v>
      </c>
      <c r="K459" s="59">
        <f>14.7771 * CHOOSE(CONTROL!$C$27, $C$14, 100%, $E$14)</f>
        <v>14.777100000000001</v>
      </c>
      <c r="L459" s="59">
        <f>8.0986 * CHOOSE(CONTROL!$C$27, $C$14, 100%, $E$14)</f>
        <v>8.0985999999999994</v>
      </c>
      <c r="M459" s="59">
        <f>8.1035 * CHOOSE(CONTROL!$C$27, $C$14, 100%, $E$14)</f>
        <v>8.1035000000000004</v>
      </c>
      <c r="N459" s="59">
        <f>8.0986 * CHOOSE(CONTROL!$C$27, $C$14, 100%, $E$14)</f>
        <v>8.0985999999999994</v>
      </c>
      <c r="O459" s="59">
        <f>8.1035 * CHOOSE(CONTROL!$C$27, $C$14, 100%, $E$14)</f>
        <v>8.1035000000000004</v>
      </c>
    </row>
    <row r="460" spans="1:15" ht="15">
      <c r="A460" s="11">
        <v>55093</v>
      </c>
      <c r="B460" s="58">
        <f>6.7936 * CHOOSE(CONTROL!$C$27, $C$14, 100%, $E$14)</f>
        <v>6.7935999999999996</v>
      </c>
      <c r="C460" s="58">
        <f>6.7936 * CHOOSE(CONTROL!$C$27, $C$14, 100%, $E$14)</f>
        <v>6.7935999999999996</v>
      </c>
      <c r="D460" s="58">
        <f>6.7976 * CHOOSE(CONTROL!$C$27, $C$14, 100%, $E$14)</f>
        <v>6.7976000000000001</v>
      </c>
      <c r="E460" s="59">
        <f>8.1282 * CHOOSE(CONTROL!$C$27, $C$14, 100%, $E$14)</f>
        <v>8.1281999999999996</v>
      </c>
      <c r="F460" s="59">
        <f>8.1282 * CHOOSE(CONTROL!$C$27, $C$14, 100%, $E$14)</f>
        <v>8.1281999999999996</v>
      </c>
      <c r="G460" s="59">
        <f>8.1331 * CHOOSE(CONTROL!$C$27, $C$14, 100%, $E$14)</f>
        <v>8.1331000000000007</v>
      </c>
      <c r="H460" s="59">
        <f>14.803* CHOOSE(CONTROL!$C$27, $C$14, 100%, $E$14)</f>
        <v>14.803000000000001</v>
      </c>
      <c r="I460" s="59">
        <f>14.8079 * CHOOSE(CONTROL!$C$27, $C$14, 100%, $E$14)</f>
        <v>14.8079</v>
      </c>
      <c r="J460" s="59">
        <f>14.803 * CHOOSE(CONTROL!$C$27, $C$14, 100%, $E$14)</f>
        <v>14.803000000000001</v>
      </c>
      <c r="K460" s="59">
        <f>14.8079 * CHOOSE(CONTROL!$C$27, $C$14, 100%, $E$14)</f>
        <v>14.8079</v>
      </c>
      <c r="L460" s="59">
        <f>8.1282 * CHOOSE(CONTROL!$C$27, $C$14, 100%, $E$14)</f>
        <v>8.1281999999999996</v>
      </c>
      <c r="M460" s="59">
        <f>8.1331 * CHOOSE(CONTROL!$C$27, $C$14, 100%, $E$14)</f>
        <v>8.1331000000000007</v>
      </c>
      <c r="N460" s="59">
        <f>8.1282 * CHOOSE(CONTROL!$C$27, $C$14, 100%, $E$14)</f>
        <v>8.1281999999999996</v>
      </c>
      <c r="O460" s="59">
        <f>8.1331 * CHOOSE(CONTROL!$C$27, $C$14, 100%, $E$14)</f>
        <v>8.1331000000000007</v>
      </c>
    </row>
    <row r="461" spans="1:15" ht="15">
      <c r="A461" s="11">
        <v>55123</v>
      </c>
      <c r="B461" s="58">
        <f>6.7936 * CHOOSE(CONTROL!$C$27, $C$14, 100%, $E$14)</f>
        <v>6.7935999999999996</v>
      </c>
      <c r="C461" s="58">
        <f>6.7936 * CHOOSE(CONTROL!$C$27, $C$14, 100%, $E$14)</f>
        <v>6.7935999999999996</v>
      </c>
      <c r="D461" s="58">
        <f>6.7976 * CHOOSE(CONTROL!$C$27, $C$14, 100%, $E$14)</f>
        <v>6.7976000000000001</v>
      </c>
      <c r="E461" s="59">
        <f>8.0595 * CHOOSE(CONTROL!$C$27, $C$14, 100%, $E$14)</f>
        <v>8.0594999999999999</v>
      </c>
      <c r="F461" s="59">
        <f>8.0595 * CHOOSE(CONTROL!$C$27, $C$14, 100%, $E$14)</f>
        <v>8.0594999999999999</v>
      </c>
      <c r="G461" s="59">
        <f>8.0644 * CHOOSE(CONTROL!$C$27, $C$14, 100%, $E$14)</f>
        <v>8.0643999999999991</v>
      </c>
      <c r="H461" s="59">
        <f>14.8338* CHOOSE(CONTROL!$C$27, $C$14, 100%, $E$14)</f>
        <v>14.8338</v>
      </c>
      <c r="I461" s="59">
        <f>14.8387 * CHOOSE(CONTROL!$C$27, $C$14, 100%, $E$14)</f>
        <v>14.838699999999999</v>
      </c>
      <c r="J461" s="59">
        <f>14.8338 * CHOOSE(CONTROL!$C$27, $C$14, 100%, $E$14)</f>
        <v>14.8338</v>
      </c>
      <c r="K461" s="59">
        <f>14.8387 * CHOOSE(CONTROL!$C$27, $C$14, 100%, $E$14)</f>
        <v>14.838699999999999</v>
      </c>
      <c r="L461" s="59">
        <f>8.0595 * CHOOSE(CONTROL!$C$27, $C$14, 100%, $E$14)</f>
        <v>8.0594999999999999</v>
      </c>
      <c r="M461" s="59">
        <f>8.0644 * CHOOSE(CONTROL!$C$27, $C$14, 100%, $E$14)</f>
        <v>8.0643999999999991</v>
      </c>
      <c r="N461" s="59">
        <f>8.0595 * CHOOSE(CONTROL!$C$27, $C$14, 100%, $E$14)</f>
        <v>8.0594999999999999</v>
      </c>
      <c r="O461" s="59">
        <f>8.0644 * CHOOSE(CONTROL!$C$27, $C$14, 100%, $E$14)</f>
        <v>8.0643999999999991</v>
      </c>
    </row>
    <row r="462" spans="1:15" ht="15">
      <c r="A462" s="11">
        <v>55154</v>
      </c>
      <c r="B462" s="58">
        <f>6.8525 * CHOOSE(CONTROL!$C$27, $C$14, 100%, $E$14)</f>
        <v>6.8525</v>
      </c>
      <c r="C462" s="58">
        <f>6.8525 * CHOOSE(CONTROL!$C$27, $C$14, 100%, $E$14)</f>
        <v>6.8525</v>
      </c>
      <c r="D462" s="58">
        <f>6.8565 * CHOOSE(CONTROL!$C$27, $C$14, 100%, $E$14)</f>
        <v>6.8564999999999996</v>
      </c>
      <c r="E462" s="59">
        <f>8.1748 * CHOOSE(CONTROL!$C$27, $C$14, 100%, $E$14)</f>
        <v>8.1747999999999994</v>
      </c>
      <c r="F462" s="59">
        <f>8.1748 * CHOOSE(CONTROL!$C$27, $C$14, 100%, $E$14)</f>
        <v>8.1747999999999994</v>
      </c>
      <c r="G462" s="59">
        <f>8.1797 * CHOOSE(CONTROL!$C$27, $C$14, 100%, $E$14)</f>
        <v>8.1797000000000004</v>
      </c>
      <c r="H462" s="59">
        <f>14.8647* CHOOSE(CONTROL!$C$27, $C$14, 100%, $E$14)</f>
        <v>14.864699999999999</v>
      </c>
      <c r="I462" s="59">
        <f>14.8696 * CHOOSE(CONTROL!$C$27, $C$14, 100%, $E$14)</f>
        <v>14.8696</v>
      </c>
      <c r="J462" s="59">
        <f>14.8647 * CHOOSE(CONTROL!$C$27, $C$14, 100%, $E$14)</f>
        <v>14.864699999999999</v>
      </c>
      <c r="K462" s="59">
        <f>14.8696 * CHOOSE(CONTROL!$C$27, $C$14, 100%, $E$14)</f>
        <v>14.8696</v>
      </c>
      <c r="L462" s="59">
        <f>8.1748 * CHOOSE(CONTROL!$C$27, $C$14, 100%, $E$14)</f>
        <v>8.1747999999999994</v>
      </c>
      <c r="M462" s="59">
        <f>8.1797 * CHOOSE(CONTROL!$C$27, $C$14, 100%, $E$14)</f>
        <v>8.1797000000000004</v>
      </c>
      <c r="N462" s="59">
        <f>8.1748 * CHOOSE(CONTROL!$C$27, $C$14, 100%, $E$14)</f>
        <v>8.1747999999999994</v>
      </c>
      <c r="O462" s="59">
        <f>8.1797 * CHOOSE(CONTROL!$C$27, $C$14, 100%, $E$14)</f>
        <v>8.1797000000000004</v>
      </c>
    </row>
    <row r="463" spans="1:15" ht="15">
      <c r="A463" s="11">
        <v>55185</v>
      </c>
      <c r="B463" s="58">
        <f>6.8495 * CHOOSE(CONTROL!$C$27, $C$14, 100%, $E$14)</f>
        <v>6.8494999999999999</v>
      </c>
      <c r="C463" s="58">
        <f>6.8495 * CHOOSE(CONTROL!$C$27, $C$14, 100%, $E$14)</f>
        <v>6.8494999999999999</v>
      </c>
      <c r="D463" s="58">
        <f>6.8535 * CHOOSE(CONTROL!$C$27, $C$14, 100%, $E$14)</f>
        <v>6.8535000000000004</v>
      </c>
      <c r="E463" s="59">
        <f>8.0392 * CHOOSE(CONTROL!$C$27, $C$14, 100%, $E$14)</f>
        <v>8.0391999999999992</v>
      </c>
      <c r="F463" s="59">
        <f>8.0392 * CHOOSE(CONTROL!$C$27, $C$14, 100%, $E$14)</f>
        <v>8.0391999999999992</v>
      </c>
      <c r="G463" s="59">
        <f>8.0441 * CHOOSE(CONTROL!$C$27, $C$14, 100%, $E$14)</f>
        <v>8.0441000000000003</v>
      </c>
      <c r="H463" s="59">
        <f>14.8957* CHOOSE(CONTROL!$C$27, $C$14, 100%, $E$14)</f>
        <v>14.8957</v>
      </c>
      <c r="I463" s="59">
        <f>14.9006 * CHOOSE(CONTROL!$C$27, $C$14, 100%, $E$14)</f>
        <v>14.900600000000001</v>
      </c>
      <c r="J463" s="59">
        <f>14.8957 * CHOOSE(CONTROL!$C$27, $C$14, 100%, $E$14)</f>
        <v>14.8957</v>
      </c>
      <c r="K463" s="59">
        <f>14.9006 * CHOOSE(CONTROL!$C$27, $C$14, 100%, $E$14)</f>
        <v>14.900600000000001</v>
      </c>
      <c r="L463" s="59">
        <f>8.0392 * CHOOSE(CONTROL!$C$27, $C$14, 100%, $E$14)</f>
        <v>8.0391999999999992</v>
      </c>
      <c r="M463" s="59">
        <f>8.0441 * CHOOSE(CONTROL!$C$27, $C$14, 100%, $E$14)</f>
        <v>8.0441000000000003</v>
      </c>
      <c r="N463" s="59">
        <f>8.0392 * CHOOSE(CONTROL!$C$27, $C$14, 100%, $E$14)</f>
        <v>8.0391999999999992</v>
      </c>
      <c r="O463" s="59">
        <f>8.0441 * CHOOSE(CONTROL!$C$27, $C$14, 100%, $E$14)</f>
        <v>8.0441000000000003</v>
      </c>
    </row>
    <row r="464" spans="1:15" ht="15">
      <c r="A464" s="11">
        <v>55213</v>
      </c>
      <c r="B464" s="58">
        <f>6.8464 * CHOOSE(CONTROL!$C$27, $C$14, 100%, $E$14)</f>
        <v>6.8464</v>
      </c>
      <c r="C464" s="58">
        <f>6.8464 * CHOOSE(CONTROL!$C$27, $C$14, 100%, $E$14)</f>
        <v>6.8464</v>
      </c>
      <c r="D464" s="58">
        <f>6.8504 * CHOOSE(CONTROL!$C$27, $C$14, 100%, $E$14)</f>
        <v>6.8503999999999996</v>
      </c>
      <c r="E464" s="59">
        <f>8.1423 * CHOOSE(CONTROL!$C$27, $C$14, 100%, $E$14)</f>
        <v>8.1423000000000005</v>
      </c>
      <c r="F464" s="59">
        <f>8.1423 * CHOOSE(CONTROL!$C$27, $C$14, 100%, $E$14)</f>
        <v>8.1423000000000005</v>
      </c>
      <c r="G464" s="59">
        <f>8.1472 * CHOOSE(CONTROL!$C$27, $C$14, 100%, $E$14)</f>
        <v>8.1471999999999998</v>
      </c>
      <c r="H464" s="59">
        <f>14.9267* CHOOSE(CONTROL!$C$27, $C$14, 100%, $E$14)</f>
        <v>14.9267</v>
      </c>
      <c r="I464" s="59">
        <f>14.9316 * CHOOSE(CONTROL!$C$27, $C$14, 100%, $E$14)</f>
        <v>14.9316</v>
      </c>
      <c r="J464" s="59">
        <f>14.9267 * CHOOSE(CONTROL!$C$27, $C$14, 100%, $E$14)</f>
        <v>14.9267</v>
      </c>
      <c r="K464" s="59">
        <f>14.9316 * CHOOSE(CONTROL!$C$27, $C$14, 100%, $E$14)</f>
        <v>14.9316</v>
      </c>
      <c r="L464" s="59">
        <f>8.1423 * CHOOSE(CONTROL!$C$27, $C$14, 100%, $E$14)</f>
        <v>8.1423000000000005</v>
      </c>
      <c r="M464" s="59">
        <f>8.1472 * CHOOSE(CONTROL!$C$27, $C$14, 100%, $E$14)</f>
        <v>8.1471999999999998</v>
      </c>
      <c r="N464" s="59">
        <f>8.1423 * CHOOSE(CONTROL!$C$27, $C$14, 100%, $E$14)</f>
        <v>8.1423000000000005</v>
      </c>
      <c r="O464" s="59">
        <f>8.1472 * CHOOSE(CONTROL!$C$27, $C$14, 100%, $E$14)</f>
        <v>8.1471999999999998</v>
      </c>
    </row>
    <row r="465" spans="1:15" ht="15">
      <c r="A465" s="11">
        <v>55244</v>
      </c>
      <c r="B465" s="58">
        <f>6.8465 * CHOOSE(CONTROL!$C$27, $C$14, 100%, $E$14)</f>
        <v>6.8464999999999998</v>
      </c>
      <c r="C465" s="58">
        <f>6.8465 * CHOOSE(CONTROL!$C$27, $C$14, 100%, $E$14)</f>
        <v>6.8464999999999998</v>
      </c>
      <c r="D465" s="58">
        <f>6.8505 * CHOOSE(CONTROL!$C$27, $C$14, 100%, $E$14)</f>
        <v>6.8505000000000003</v>
      </c>
      <c r="E465" s="59">
        <f>8.251 * CHOOSE(CONTROL!$C$27, $C$14, 100%, $E$14)</f>
        <v>8.2509999999999994</v>
      </c>
      <c r="F465" s="59">
        <f>8.251 * CHOOSE(CONTROL!$C$27, $C$14, 100%, $E$14)</f>
        <v>8.2509999999999994</v>
      </c>
      <c r="G465" s="59">
        <f>8.2559 * CHOOSE(CONTROL!$C$27, $C$14, 100%, $E$14)</f>
        <v>8.2559000000000005</v>
      </c>
      <c r="H465" s="59">
        <f>14.9578* CHOOSE(CONTROL!$C$27, $C$14, 100%, $E$14)</f>
        <v>14.957800000000001</v>
      </c>
      <c r="I465" s="59">
        <f>14.9627 * CHOOSE(CONTROL!$C$27, $C$14, 100%, $E$14)</f>
        <v>14.9627</v>
      </c>
      <c r="J465" s="59">
        <f>14.9578 * CHOOSE(CONTROL!$C$27, $C$14, 100%, $E$14)</f>
        <v>14.957800000000001</v>
      </c>
      <c r="K465" s="59">
        <f>14.9627 * CHOOSE(CONTROL!$C$27, $C$14, 100%, $E$14)</f>
        <v>14.9627</v>
      </c>
      <c r="L465" s="59">
        <f>8.251 * CHOOSE(CONTROL!$C$27, $C$14, 100%, $E$14)</f>
        <v>8.2509999999999994</v>
      </c>
      <c r="M465" s="59">
        <f>8.2559 * CHOOSE(CONTROL!$C$27, $C$14, 100%, $E$14)</f>
        <v>8.2559000000000005</v>
      </c>
      <c r="N465" s="59">
        <f>8.251 * CHOOSE(CONTROL!$C$27, $C$14, 100%, $E$14)</f>
        <v>8.2509999999999994</v>
      </c>
      <c r="O465" s="59">
        <f>8.2559 * CHOOSE(CONTROL!$C$27, $C$14, 100%, $E$14)</f>
        <v>8.2559000000000005</v>
      </c>
    </row>
    <row r="466" spans="1:15" ht="15">
      <c r="A466" s="11">
        <v>55274</v>
      </c>
      <c r="B466" s="58">
        <f>6.8465 * CHOOSE(CONTROL!$C$27, $C$14, 100%, $E$14)</f>
        <v>6.8464999999999998</v>
      </c>
      <c r="C466" s="58">
        <f>6.8465 * CHOOSE(CONTROL!$C$27, $C$14, 100%, $E$14)</f>
        <v>6.8464999999999998</v>
      </c>
      <c r="D466" s="58">
        <f>6.8521 * CHOOSE(CONTROL!$C$27, $C$14, 100%, $E$14)</f>
        <v>6.8521000000000001</v>
      </c>
      <c r="E466" s="59">
        <f>8.2934 * CHOOSE(CONTROL!$C$27, $C$14, 100%, $E$14)</f>
        <v>8.2934000000000001</v>
      </c>
      <c r="F466" s="59">
        <f>8.2934 * CHOOSE(CONTROL!$C$27, $C$14, 100%, $E$14)</f>
        <v>8.2934000000000001</v>
      </c>
      <c r="G466" s="59">
        <f>8.3002 * CHOOSE(CONTROL!$C$27, $C$14, 100%, $E$14)</f>
        <v>8.3002000000000002</v>
      </c>
      <c r="H466" s="59">
        <f>14.989* CHOOSE(CONTROL!$C$27, $C$14, 100%, $E$14)</f>
        <v>14.989000000000001</v>
      </c>
      <c r="I466" s="59">
        <f>14.9959 * CHOOSE(CONTROL!$C$27, $C$14, 100%, $E$14)</f>
        <v>14.995900000000001</v>
      </c>
      <c r="J466" s="59">
        <f>14.989 * CHOOSE(CONTROL!$C$27, $C$14, 100%, $E$14)</f>
        <v>14.989000000000001</v>
      </c>
      <c r="K466" s="59">
        <f>14.9959 * CHOOSE(CONTROL!$C$27, $C$14, 100%, $E$14)</f>
        <v>14.995900000000001</v>
      </c>
      <c r="L466" s="59">
        <f>8.2934 * CHOOSE(CONTROL!$C$27, $C$14, 100%, $E$14)</f>
        <v>8.2934000000000001</v>
      </c>
      <c r="M466" s="59">
        <f>8.3002 * CHOOSE(CONTROL!$C$27, $C$14, 100%, $E$14)</f>
        <v>8.3002000000000002</v>
      </c>
      <c r="N466" s="59">
        <f>8.2934 * CHOOSE(CONTROL!$C$27, $C$14, 100%, $E$14)</f>
        <v>8.2934000000000001</v>
      </c>
      <c r="O466" s="59">
        <f>8.3002 * CHOOSE(CONTROL!$C$27, $C$14, 100%, $E$14)</f>
        <v>8.3002000000000002</v>
      </c>
    </row>
    <row r="467" spans="1:15" ht="15">
      <c r="A467" s="11">
        <v>55305</v>
      </c>
      <c r="B467" s="58">
        <f>6.8526 * CHOOSE(CONTROL!$C$27, $C$14, 100%, $E$14)</f>
        <v>6.8525999999999998</v>
      </c>
      <c r="C467" s="58">
        <f>6.8526 * CHOOSE(CONTROL!$C$27, $C$14, 100%, $E$14)</f>
        <v>6.8525999999999998</v>
      </c>
      <c r="D467" s="58">
        <f>6.8582 * CHOOSE(CONTROL!$C$27, $C$14, 100%, $E$14)</f>
        <v>6.8582000000000001</v>
      </c>
      <c r="E467" s="59">
        <f>8.2552 * CHOOSE(CONTROL!$C$27, $C$14, 100%, $E$14)</f>
        <v>8.2552000000000003</v>
      </c>
      <c r="F467" s="59">
        <f>8.2552 * CHOOSE(CONTROL!$C$27, $C$14, 100%, $E$14)</f>
        <v>8.2552000000000003</v>
      </c>
      <c r="G467" s="59">
        <f>8.2621 * CHOOSE(CONTROL!$C$27, $C$14, 100%, $E$14)</f>
        <v>8.2621000000000002</v>
      </c>
      <c r="H467" s="59">
        <f>15.0202* CHOOSE(CONTROL!$C$27, $C$14, 100%, $E$14)</f>
        <v>15.020200000000001</v>
      </c>
      <c r="I467" s="59">
        <f>15.0271 * CHOOSE(CONTROL!$C$27, $C$14, 100%, $E$14)</f>
        <v>15.027100000000001</v>
      </c>
      <c r="J467" s="59">
        <f>15.0202 * CHOOSE(CONTROL!$C$27, $C$14, 100%, $E$14)</f>
        <v>15.020200000000001</v>
      </c>
      <c r="K467" s="59">
        <f>15.0271 * CHOOSE(CONTROL!$C$27, $C$14, 100%, $E$14)</f>
        <v>15.027100000000001</v>
      </c>
      <c r="L467" s="59">
        <f>8.2552 * CHOOSE(CONTROL!$C$27, $C$14, 100%, $E$14)</f>
        <v>8.2552000000000003</v>
      </c>
      <c r="M467" s="59">
        <f>8.2621 * CHOOSE(CONTROL!$C$27, $C$14, 100%, $E$14)</f>
        <v>8.2621000000000002</v>
      </c>
      <c r="N467" s="59">
        <f>8.2552 * CHOOSE(CONTROL!$C$27, $C$14, 100%, $E$14)</f>
        <v>8.2552000000000003</v>
      </c>
      <c r="O467" s="59">
        <f>8.2621 * CHOOSE(CONTROL!$C$27, $C$14, 100%, $E$14)</f>
        <v>8.2621000000000002</v>
      </c>
    </row>
    <row r="468" spans="1:15" ht="15">
      <c r="A468" s="11">
        <v>55335</v>
      </c>
      <c r="B468" s="58">
        <f>6.9616 * CHOOSE(CONTROL!$C$27, $C$14, 100%, $E$14)</f>
        <v>6.9615999999999998</v>
      </c>
      <c r="C468" s="58">
        <f>6.9616 * CHOOSE(CONTROL!$C$27, $C$14, 100%, $E$14)</f>
        <v>6.9615999999999998</v>
      </c>
      <c r="D468" s="58">
        <f>6.9672 * CHOOSE(CONTROL!$C$27, $C$14, 100%, $E$14)</f>
        <v>6.9672000000000001</v>
      </c>
      <c r="E468" s="59">
        <f>8.3922 * CHOOSE(CONTROL!$C$27, $C$14, 100%, $E$14)</f>
        <v>8.3922000000000008</v>
      </c>
      <c r="F468" s="59">
        <f>8.3922 * CHOOSE(CONTROL!$C$27, $C$14, 100%, $E$14)</f>
        <v>8.3922000000000008</v>
      </c>
      <c r="G468" s="59">
        <f>8.3991 * CHOOSE(CONTROL!$C$27, $C$14, 100%, $E$14)</f>
        <v>8.3991000000000007</v>
      </c>
      <c r="H468" s="59">
        <f>15.0515* CHOOSE(CONTROL!$C$27, $C$14, 100%, $E$14)</f>
        <v>15.051500000000001</v>
      </c>
      <c r="I468" s="59">
        <f>15.0584 * CHOOSE(CONTROL!$C$27, $C$14, 100%, $E$14)</f>
        <v>15.058400000000001</v>
      </c>
      <c r="J468" s="59">
        <f>15.0515 * CHOOSE(CONTROL!$C$27, $C$14, 100%, $E$14)</f>
        <v>15.051500000000001</v>
      </c>
      <c r="K468" s="59">
        <f>15.0584 * CHOOSE(CONTROL!$C$27, $C$14, 100%, $E$14)</f>
        <v>15.058400000000001</v>
      </c>
      <c r="L468" s="59">
        <f>8.3922 * CHOOSE(CONTROL!$C$27, $C$14, 100%, $E$14)</f>
        <v>8.3922000000000008</v>
      </c>
      <c r="M468" s="59">
        <f>8.3991 * CHOOSE(CONTROL!$C$27, $C$14, 100%, $E$14)</f>
        <v>8.3991000000000007</v>
      </c>
      <c r="N468" s="59">
        <f>8.3922 * CHOOSE(CONTROL!$C$27, $C$14, 100%, $E$14)</f>
        <v>8.3922000000000008</v>
      </c>
      <c r="O468" s="59">
        <f>8.3991 * CHOOSE(CONTROL!$C$27, $C$14, 100%, $E$14)</f>
        <v>8.3991000000000007</v>
      </c>
    </row>
    <row r="469" spans="1:15" ht="15">
      <c r="A469" s="11">
        <v>55366</v>
      </c>
      <c r="B469" s="58">
        <f>6.9683 * CHOOSE(CONTROL!$C$27, $C$14, 100%, $E$14)</f>
        <v>6.9683000000000002</v>
      </c>
      <c r="C469" s="58">
        <f>6.9683 * CHOOSE(CONTROL!$C$27, $C$14, 100%, $E$14)</f>
        <v>6.9683000000000002</v>
      </c>
      <c r="D469" s="58">
        <f>6.9739 * CHOOSE(CONTROL!$C$27, $C$14, 100%, $E$14)</f>
        <v>6.9739000000000004</v>
      </c>
      <c r="E469" s="59">
        <f>8.2698 * CHOOSE(CONTROL!$C$27, $C$14, 100%, $E$14)</f>
        <v>8.2698</v>
      </c>
      <c r="F469" s="59">
        <f>8.2698 * CHOOSE(CONTROL!$C$27, $C$14, 100%, $E$14)</f>
        <v>8.2698</v>
      </c>
      <c r="G469" s="59">
        <f>8.2767 * CHOOSE(CONTROL!$C$27, $C$14, 100%, $E$14)</f>
        <v>8.2766999999999999</v>
      </c>
      <c r="H469" s="59">
        <f>15.0828* CHOOSE(CONTROL!$C$27, $C$14, 100%, $E$14)</f>
        <v>15.082800000000001</v>
      </c>
      <c r="I469" s="59">
        <f>15.0897 * CHOOSE(CONTROL!$C$27, $C$14, 100%, $E$14)</f>
        <v>15.089700000000001</v>
      </c>
      <c r="J469" s="59">
        <f>15.0828 * CHOOSE(CONTROL!$C$27, $C$14, 100%, $E$14)</f>
        <v>15.082800000000001</v>
      </c>
      <c r="K469" s="59">
        <f>15.0897 * CHOOSE(CONTROL!$C$27, $C$14, 100%, $E$14)</f>
        <v>15.089700000000001</v>
      </c>
      <c r="L469" s="59">
        <f>8.2698 * CHOOSE(CONTROL!$C$27, $C$14, 100%, $E$14)</f>
        <v>8.2698</v>
      </c>
      <c r="M469" s="59">
        <f>8.2767 * CHOOSE(CONTROL!$C$27, $C$14, 100%, $E$14)</f>
        <v>8.2766999999999999</v>
      </c>
      <c r="N469" s="59">
        <f>8.2698 * CHOOSE(CONTROL!$C$27, $C$14, 100%, $E$14)</f>
        <v>8.2698</v>
      </c>
      <c r="O469" s="59">
        <f>8.2767 * CHOOSE(CONTROL!$C$27, $C$14, 100%, $E$14)</f>
        <v>8.2766999999999999</v>
      </c>
    </row>
    <row r="470" spans="1:15" ht="15">
      <c r="A470" s="11">
        <v>55397</v>
      </c>
      <c r="B470" s="58">
        <f>6.9653 * CHOOSE(CONTROL!$C$27, $C$14, 100%, $E$14)</f>
        <v>6.9653</v>
      </c>
      <c r="C470" s="58">
        <f>6.9653 * CHOOSE(CONTROL!$C$27, $C$14, 100%, $E$14)</f>
        <v>6.9653</v>
      </c>
      <c r="D470" s="58">
        <f>6.9709 * CHOOSE(CONTROL!$C$27, $C$14, 100%, $E$14)</f>
        <v>6.9709000000000003</v>
      </c>
      <c r="E470" s="59">
        <f>8.2536 * CHOOSE(CONTROL!$C$27, $C$14, 100%, $E$14)</f>
        <v>8.2536000000000005</v>
      </c>
      <c r="F470" s="59">
        <f>8.2536 * CHOOSE(CONTROL!$C$27, $C$14, 100%, $E$14)</f>
        <v>8.2536000000000005</v>
      </c>
      <c r="G470" s="59">
        <f>8.2604 * CHOOSE(CONTROL!$C$27, $C$14, 100%, $E$14)</f>
        <v>8.2604000000000006</v>
      </c>
      <c r="H470" s="59">
        <f>15.1143* CHOOSE(CONTROL!$C$27, $C$14, 100%, $E$14)</f>
        <v>15.1143</v>
      </c>
      <c r="I470" s="59">
        <f>15.1212 * CHOOSE(CONTROL!$C$27, $C$14, 100%, $E$14)</f>
        <v>15.1212</v>
      </c>
      <c r="J470" s="59">
        <f>15.1143 * CHOOSE(CONTROL!$C$27, $C$14, 100%, $E$14)</f>
        <v>15.1143</v>
      </c>
      <c r="K470" s="59">
        <f>15.1212 * CHOOSE(CONTROL!$C$27, $C$14, 100%, $E$14)</f>
        <v>15.1212</v>
      </c>
      <c r="L470" s="59">
        <f>8.2536 * CHOOSE(CONTROL!$C$27, $C$14, 100%, $E$14)</f>
        <v>8.2536000000000005</v>
      </c>
      <c r="M470" s="59">
        <f>8.2604 * CHOOSE(CONTROL!$C$27, $C$14, 100%, $E$14)</f>
        <v>8.2604000000000006</v>
      </c>
      <c r="N470" s="59">
        <f>8.2536 * CHOOSE(CONTROL!$C$27, $C$14, 100%, $E$14)</f>
        <v>8.2536000000000005</v>
      </c>
      <c r="O470" s="59">
        <f>8.2604 * CHOOSE(CONTROL!$C$27, $C$14, 100%, $E$14)</f>
        <v>8.2604000000000006</v>
      </c>
    </row>
    <row r="471" spans="1:15" ht="15">
      <c r="A471" s="11">
        <v>55427</v>
      </c>
      <c r="B471" s="58">
        <f>6.9701 * CHOOSE(CONTROL!$C$27, $C$14, 100%, $E$14)</f>
        <v>6.9701000000000004</v>
      </c>
      <c r="C471" s="58">
        <f>6.9701 * CHOOSE(CONTROL!$C$27, $C$14, 100%, $E$14)</f>
        <v>6.9701000000000004</v>
      </c>
      <c r="D471" s="58">
        <f>6.9741 * CHOOSE(CONTROL!$C$27, $C$14, 100%, $E$14)</f>
        <v>6.9741</v>
      </c>
      <c r="E471" s="59">
        <f>8.2966 * CHOOSE(CONTROL!$C$27, $C$14, 100%, $E$14)</f>
        <v>8.2965999999999998</v>
      </c>
      <c r="F471" s="59">
        <f>8.2966 * CHOOSE(CONTROL!$C$27, $C$14, 100%, $E$14)</f>
        <v>8.2965999999999998</v>
      </c>
      <c r="G471" s="59">
        <f>8.3015 * CHOOSE(CONTROL!$C$27, $C$14, 100%, $E$14)</f>
        <v>8.3015000000000008</v>
      </c>
      <c r="H471" s="59">
        <f>15.1458* CHOOSE(CONTROL!$C$27, $C$14, 100%, $E$14)</f>
        <v>15.145799999999999</v>
      </c>
      <c r="I471" s="59">
        <f>15.1507 * CHOOSE(CONTROL!$C$27, $C$14, 100%, $E$14)</f>
        <v>15.150700000000001</v>
      </c>
      <c r="J471" s="59">
        <f>15.1458 * CHOOSE(CONTROL!$C$27, $C$14, 100%, $E$14)</f>
        <v>15.145799999999999</v>
      </c>
      <c r="K471" s="59">
        <f>15.1507 * CHOOSE(CONTROL!$C$27, $C$14, 100%, $E$14)</f>
        <v>15.150700000000001</v>
      </c>
      <c r="L471" s="59">
        <f>8.2966 * CHOOSE(CONTROL!$C$27, $C$14, 100%, $E$14)</f>
        <v>8.2965999999999998</v>
      </c>
      <c r="M471" s="59">
        <f>8.3015 * CHOOSE(CONTROL!$C$27, $C$14, 100%, $E$14)</f>
        <v>8.3015000000000008</v>
      </c>
      <c r="N471" s="59">
        <f>8.2966 * CHOOSE(CONTROL!$C$27, $C$14, 100%, $E$14)</f>
        <v>8.2965999999999998</v>
      </c>
      <c r="O471" s="59">
        <f>8.3015 * CHOOSE(CONTROL!$C$27, $C$14, 100%, $E$14)</f>
        <v>8.3015000000000008</v>
      </c>
    </row>
    <row r="472" spans="1:15" ht="15">
      <c r="A472" s="11">
        <v>55458</v>
      </c>
      <c r="B472" s="58">
        <f>6.9731 * CHOOSE(CONTROL!$C$27, $C$14, 100%, $E$14)</f>
        <v>6.9730999999999996</v>
      </c>
      <c r="C472" s="58">
        <f>6.9731 * CHOOSE(CONTROL!$C$27, $C$14, 100%, $E$14)</f>
        <v>6.9730999999999996</v>
      </c>
      <c r="D472" s="58">
        <f>6.9771 * CHOOSE(CONTROL!$C$27, $C$14, 100%, $E$14)</f>
        <v>6.9771000000000001</v>
      </c>
      <c r="E472" s="59">
        <f>8.327 * CHOOSE(CONTROL!$C$27, $C$14, 100%, $E$14)</f>
        <v>8.327</v>
      </c>
      <c r="F472" s="59">
        <f>8.327 * CHOOSE(CONTROL!$C$27, $C$14, 100%, $E$14)</f>
        <v>8.327</v>
      </c>
      <c r="G472" s="59">
        <f>8.3319 * CHOOSE(CONTROL!$C$27, $C$14, 100%, $E$14)</f>
        <v>8.3318999999999992</v>
      </c>
      <c r="H472" s="59">
        <f>15.1773* CHOOSE(CONTROL!$C$27, $C$14, 100%, $E$14)</f>
        <v>15.177300000000001</v>
      </c>
      <c r="I472" s="59">
        <f>15.1822 * CHOOSE(CONTROL!$C$27, $C$14, 100%, $E$14)</f>
        <v>15.1822</v>
      </c>
      <c r="J472" s="59">
        <f>15.1773 * CHOOSE(CONTROL!$C$27, $C$14, 100%, $E$14)</f>
        <v>15.177300000000001</v>
      </c>
      <c r="K472" s="59">
        <f>15.1822 * CHOOSE(CONTROL!$C$27, $C$14, 100%, $E$14)</f>
        <v>15.1822</v>
      </c>
      <c r="L472" s="59">
        <f>8.327 * CHOOSE(CONTROL!$C$27, $C$14, 100%, $E$14)</f>
        <v>8.327</v>
      </c>
      <c r="M472" s="59">
        <f>8.3319 * CHOOSE(CONTROL!$C$27, $C$14, 100%, $E$14)</f>
        <v>8.3318999999999992</v>
      </c>
      <c r="N472" s="59">
        <f>8.327 * CHOOSE(CONTROL!$C$27, $C$14, 100%, $E$14)</f>
        <v>8.327</v>
      </c>
      <c r="O472" s="59">
        <f>8.3319 * CHOOSE(CONTROL!$C$27, $C$14, 100%, $E$14)</f>
        <v>8.3318999999999992</v>
      </c>
    </row>
    <row r="473" spans="1:15" ht="15">
      <c r="A473" s="11">
        <v>55488</v>
      </c>
      <c r="B473" s="58">
        <f>6.9731 * CHOOSE(CONTROL!$C$27, $C$14, 100%, $E$14)</f>
        <v>6.9730999999999996</v>
      </c>
      <c r="C473" s="58">
        <f>6.9731 * CHOOSE(CONTROL!$C$27, $C$14, 100%, $E$14)</f>
        <v>6.9730999999999996</v>
      </c>
      <c r="D473" s="58">
        <f>6.9771 * CHOOSE(CONTROL!$C$27, $C$14, 100%, $E$14)</f>
        <v>6.9771000000000001</v>
      </c>
      <c r="E473" s="59">
        <f>8.2564 * CHOOSE(CONTROL!$C$27, $C$14, 100%, $E$14)</f>
        <v>8.2563999999999993</v>
      </c>
      <c r="F473" s="59">
        <f>8.2564 * CHOOSE(CONTROL!$C$27, $C$14, 100%, $E$14)</f>
        <v>8.2563999999999993</v>
      </c>
      <c r="G473" s="59">
        <f>8.2613 * CHOOSE(CONTROL!$C$27, $C$14, 100%, $E$14)</f>
        <v>8.2613000000000003</v>
      </c>
      <c r="H473" s="59">
        <f>15.2089* CHOOSE(CONTROL!$C$27, $C$14, 100%, $E$14)</f>
        <v>15.2089</v>
      </c>
      <c r="I473" s="59">
        <f>15.2139 * CHOOSE(CONTROL!$C$27, $C$14, 100%, $E$14)</f>
        <v>15.213900000000001</v>
      </c>
      <c r="J473" s="59">
        <f>15.2089 * CHOOSE(CONTROL!$C$27, $C$14, 100%, $E$14)</f>
        <v>15.2089</v>
      </c>
      <c r="K473" s="59">
        <f>15.2139 * CHOOSE(CONTROL!$C$27, $C$14, 100%, $E$14)</f>
        <v>15.213900000000001</v>
      </c>
      <c r="L473" s="59">
        <f>8.2564 * CHOOSE(CONTROL!$C$27, $C$14, 100%, $E$14)</f>
        <v>8.2563999999999993</v>
      </c>
      <c r="M473" s="59">
        <f>8.2613 * CHOOSE(CONTROL!$C$27, $C$14, 100%, $E$14)</f>
        <v>8.2613000000000003</v>
      </c>
      <c r="N473" s="59">
        <f>8.2564 * CHOOSE(CONTROL!$C$27, $C$14, 100%, $E$14)</f>
        <v>8.2563999999999993</v>
      </c>
      <c r="O473" s="59">
        <f>8.2613 * CHOOSE(CONTROL!$C$27, $C$14, 100%, $E$14)</f>
        <v>8.2613000000000003</v>
      </c>
    </row>
    <row r="474" spans="1:15" ht="15">
      <c r="A474" s="11">
        <v>55519</v>
      </c>
      <c r="B474" s="58">
        <f>7.0335 * CHOOSE(CONTROL!$C$27, $C$14, 100%, $E$14)</f>
        <v>7.0335000000000001</v>
      </c>
      <c r="C474" s="58">
        <f>7.0335 * CHOOSE(CONTROL!$C$27, $C$14, 100%, $E$14)</f>
        <v>7.0335000000000001</v>
      </c>
      <c r="D474" s="58">
        <f>7.0375 * CHOOSE(CONTROL!$C$27, $C$14, 100%, $E$14)</f>
        <v>7.0374999999999996</v>
      </c>
      <c r="E474" s="59">
        <f>8.3746 * CHOOSE(CONTROL!$C$27, $C$14, 100%, $E$14)</f>
        <v>8.3745999999999992</v>
      </c>
      <c r="F474" s="59">
        <f>8.3746 * CHOOSE(CONTROL!$C$27, $C$14, 100%, $E$14)</f>
        <v>8.3745999999999992</v>
      </c>
      <c r="G474" s="59">
        <f>8.3795 * CHOOSE(CONTROL!$C$27, $C$14, 100%, $E$14)</f>
        <v>8.3795000000000002</v>
      </c>
      <c r="H474" s="59">
        <f>15.2406* CHOOSE(CONTROL!$C$27, $C$14, 100%, $E$14)</f>
        <v>15.240600000000001</v>
      </c>
      <c r="I474" s="59">
        <f>15.2455 * CHOOSE(CONTROL!$C$27, $C$14, 100%, $E$14)</f>
        <v>15.2455</v>
      </c>
      <c r="J474" s="59">
        <f>15.2406 * CHOOSE(CONTROL!$C$27, $C$14, 100%, $E$14)</f>
        <v>15.240600000000001</v>
      </c>
      <c r="K474" s="59">
        <f>15.2455 * CHOOSE(CONTROL!$C$27, $C$14, 100%, $E$14)</f>
        <v>15.2455</v>
      </c>
      <c r="L474" s="59">
        <f>8.3746 * CHOOSE(CONTROL!$C$27, $C$14, 100%, $E$14)</f>
        <v>8.3745999999999992</v>
      </c>
      <c r="M474" s="59">
        <f>8.3795 * CHOOSE(CONTROL!$C$27, $C$14, 100%, $E$14)</f>
        <v>8.3795000000000002</v>
      </c>
      <c r="N474" s="59">
        <f>8.3746 * CHOOSE(CONTROL!$C$27, $C$14, 100%, $E$14)</f>
        <v>8.3745999999999992</v>
      </c>
      <c r="O474" s="59">
        <f>8.3795 * CHOOSE(CONTROL!$C$27, $C$14, 100%, $E$14)</f>
        <v>8.3795000000000002</v>
      </c>
    </row>
    <row r="475" spans="1:15" ht="15">
      <c r="A475" s="11">
        <v>55550</v>
      </c>
      <c r="B475" s="58">
        <f>7.0305 * CHOOSE(CONTROL!$C$27, $C$14, 100%, $E$14)</f>
        <v>7.0305</v>
      </c>
      <c r="C475" s="58">
        <f>7.0305 * CHOOSE(CONTROL!$C$27, $C$14, 100%, $E$14)</f>
        <v>7.0305</v>
      </c>
      <c r="D475" s="58">
        <f>7.0345 * CHOOSE(CONTROL!$C$27, $C$14, 100%, $E$14)</f>
        <v>7.0345000000000004</v>
      </c>
      <c r="E475" s="59">
        <f>8.2353 * CHOOSE(CONTROL!$C$27, $C$14, 100%, $E$14)</f>
        <v>8.2353000000000005</v>
      </c>
      <c r="F475" s="59">
        <f>8.2353 * CHOOSE(CONTROL!$C$27, $C$14, 100%, $E$14)</f>
        <v>8.2353000000000005</v>
      </c>
      <c r="G475" s="59">
        <f>8.2402 * CHOOSE(CONTROL!$C$27, $C$14, 100%, $E$14)</f>
        <v>8.2401999999999997</v>
      </c>
      <c r="H475" s="59">
        <f>15.2724* CHOOSE(CONTROL!$C$27, $C$14, 100%, $E$14)</f>
        <v>15.272399999999999</v>
      </c>
      <c r="I475" s="59">
        <f>15.2773 * CHOOSE(CONTROL!$C$27, $C$14, 100%, $E$14)</f>
        <v>15.2773</v>
      </c>
      <c r="J475" s="59">
        <f>15.2724 * CHOOSE(CONTROL!$C$27, $C$14, 100%, $E$14)</f>
        <v>15.272399999999999</v>
      </c>
      <c r="K475" s="59">
        <f>15.2773 * CHOOSE(CONTROL!$C$27, $C$14, 100%, $E$14)</f>
        <v>15.2773</v>
      </c>
      <c r="L475" s="59">
        <f>8.2353 * CHOOSE(CONTROL!$C$27, $C$14, 100%, $E$14)</f>
        <v>8.2353000000000005</v>
      </c>
      <c r="M475" s="59">
        <f>8.2402 * CHOOSE(CONTROL!$C$27, $C$14, 100%, $E$14)</f>
        <v>8.2401999999999997</v>
      </c>
      <c r="N475" s="59">
        <f>8.2353 * CHOOSE(CONTROL!$C$27, $C$14, 100%, $E$14)</f>
        <v>8.2353000000000005</v>
      </c>
      <c r="O475" s="59">
        <f>8.2402 * CHOOSE(CONTROL!$C$27, $C$14, 100%, $E$14)</f>
        <v>8.2401999999999997</v>
      </c>
    </row>
    <row r="476" spans="1:15" ht="15">
      <c r="A476" s="11">
        <v>55579</v>
      </c>
      <c r="B476" s="58">
        <f>7.0274 * CHOOSE(CONTROL!$C$27, $C$14, 100%, $E$14)</f>
        <v>7.0274000000000001</v>
      </c>
      <c r="C476" s="58">
        <f>7.0274 * CHOOSE(CONTROL!$C$27, $C$14, 100%, $E$14)</f>
        <v>7.0274000000000001</v>
      </c>
      <c r="D476" s="58">
        <f>7.0314 * CHOOSE(CONTROL!$C$27, $C$14, 100%, $E$14)</f>
        <v>7.0313999999999997</v>
      </c>
      <c r="E476" s="59">
        <f>8.3413 * CHOOSE(CONTROL!$C$27, $C$14, 100%, $E$14)</f>
        <v>8.3413000000000004</v>
      </c>
      <c r="F476" s="59">
        <f>8.3413 * CHOOSE(CONTROL!$C$27, $C$14, 100%, $E$14)</f>
        <v>8.3413000000000004</v>
      </c>
      <c r="G476" s="59">
        <f>8.3462 * CHOOSE(CONTROL!$C$27, $C$14, 100%, $E$14)</f>
        <v>8.3461999999999996</v>
      </c>
      <c r="H476" s="59">
        <f>15.3042* CHOOSE(CONTROL!$C$27, $C$14, 100%, $E$14)</f>
        <v>15.3042</v>
      </c>
      <c r="I476" s="59">
        <f>15.3091 * CHOOSE(CONTROL!$C$27, $C$14, 100%, $E$14)</f>
        <v>15.309100000000001</v>
      </c>
      <c r="J476" s="59">
        <f>15.3042 * CHOOSE(CONTROL!$C$27, $C$14, 100%, $E$14)</f>
        <v>15.3042</v>
      </c>
      <c r="K476" s="59">
        <f>15.3091 * CHOOSE(CONTROL!$C$27, $C$14, 100%, $E$14)</f>
        <v>15.309100000000001</v>
      </c>
      <c r="L476" s="59">
        <f>8.3413 * CHOOSE(CONTROL!$C$27, $C$14, 100%, $E$14)</f>
        <v>8.3413000000000004</v>
      </c>
      <c r="M476" s="59">
        <f>8.3462 * CHOOSE(CONTROL!$C$27, $C$14, 100%, $E$14)</f>
        <v>8.3461999999999996</v>
      </c>
      <c r="N476" s="59">
        <f>8.3413 * CHOOSE(CONTROL!$C$27, $C$14, 100%, $E$14)</f>
        <v>8.3413000000000004</v>
      </c>
      <c r="O476" s="59">
        <f>8.3462 * CHOOSE(CONTROL!$C$27, $C$14, 100%, $E$14)</f>
        <v>8.3461999999999996</v>
      </c>
    </row>
    <row r="477" spans="1:15" ht="15">
      <c r="A477" s="11">
        <v>55610</v>
      </c>
      <c r="B477" s="58">
        <f>7.0277 * CHOOSE(CONTROL!$C$27, $C$14, 100%, $E$14)</f>
        <v>7.0277000000000003</v>
      </c>
      <c r="C477" s="58">
        <f>7.0277 * CHOOSE(CONTROL!$C$27, $C$14, 100%, $E$14)</f>
        <v>7.0277000000000003</v>
      </c>
      <c r="D477" s="58">
        <f>7.0317 * CHOOSE(CONTROL!$C$27, $C$14, 100%, $E$14)</f>
        <v>7.0316999999999998</v>
      </c>
      <c r="E477" s="59">
        <f>8.4532 * CHOOSE(CONTROL!$C$27, $C$14, 100%, $E$14)</f>
        <v>8.4532000000000007</v>
      </c>
      <c r="F477" s="59">
        <f>8.4532 * CHOOSE(CONTROL!$C$27, $C$14, 100%, $E$14)</f>
        <v>8.4532000000000007</v>
      </c>
      <c r="G477" s="59">
        <f>8.4581 * CHOOSE(CONTROL!$C$27, $C$14, 100%, $E$14)</f>
        <v>8.4581</v>
      </c>
      <c r="H477" s="59">
        <f>15.3361* CHOOSE(CONTROL!$C$27, $C$14, 100%, $E$14)</f>
        <v>15.3361</v>
      </c>
      <c r="I477" s="59">
        <f>15.341 * CHOOSE(CONTROL!$C$27, $C$14, 100%, $E$14)</f>
        <v>15.340999999999999</v>
      </c>
      <c r="J477" s="59">
        <f>15.3361 * CHOOSE(CONTROL!$C$27, $C$14, 100%, $E$14)</f>
        <v>15.3361</v>
      </c>
      <c r="K477" s="59">
        <f>15.341 * CHOOSE(CONTROL!$C$27, $C$14, 100%, $E$14)</f>
        <v>15.340999999999999</v>
      </c>
      <c r="L477" s="59">
        <f>8.4532 * CHOOSE(CONTROL!$C$27, $C$14, 100%, $E$14)</f>
        <v>8.4532000000000007</v>
      </c>
      <c r="M477" s="59">
        <f>8.4581 * CHOOSE(CONTROL!$C$27, $C$14, 100%, $E$14)</f>
        <v>8.4581</v>
      </c>
      <c r="N477" s="59">
        <f>8.4532 * CHOOSE(CONTROL!$C$27, $C$14, 100%, $E$14)</f>
        <v>8.4532000000000007</v>
      </c>
      <c r="O477" s="59">
        <f>8.4581 * CHOOSE(CONTROL!$C$27, $C$14, 100%, $E$14)</f>
        <v>8.4581</v>
      </c>
    </row>
    <row r="478" spans="1:15" ht="15">
      <c r="A478" s="11">
        <v>55640</v>
      </c>
      <c r="B478" s="58">
        <f>7.0277 * CHOOSE(CONTROL!$C$27, $C$14, 100%, $E$14)</f>
        <v>7.0277000000000003</v>
      </c>
      <c r="C478" s="58">
        <f>7.0277 * CHOOSE(CONTROL!$C$27, $C$14, 100%, $E$14)</f>
        <v>7.0277000000000003</v>
      </c>
      <c r="D478" s="58">
        <f>7.0333 * CHOOSE(CONTROL!$C$27, $C$14, 100%, $E$14)</f>
        <v>7.0332999999999997</v>
      </c>
      <c r="E478" s="59">
        <f>8.4967 * CHOOSE(CONTROL!$C$27, $C$14, 100%, $E$14)</f>
        <v>8.4967000000000006</v>
      </c>
      <c r="F478" s="59">
        <f>8.4967 * CHOOSE(CONTROL!$C$27, $C$14, 100%, $E$14)</f>
        <v>8.4967000000000006</v>
      </c>
      <c r="G478" s="59">
        <f>8.5036 * CHOOSE(CONTROL!$C$27, $C$14, 100%, $E$14)</f>
        <v>8.5036000000000005</v>
      </c>
      <c r="H478" s="59">
        <f>15.368* CHOOSE(CONTROL!$C$27, $C$14, 100%, $E$14)</f>
        <v>15.368</v>
      </c>
      <c r="I478" s="59">
        <f>15.3749 * CHOOSE(CONTROL!$C$27, $C$14, 100%, $E$14)</f>
        <v>15.3749</v>
      </c>
      <c r="J478" s="59">
        <f>15.368 * CHOOSE(CONTROL!$C$27, $C$14, 100%, $E$14)</f>
        <v>15.368</v>
      </c>
      <c r="K478" s="59">
        <f>15.3749 * CHOOSE(CONTROL!$C$27, $C$14, 100%, $E$14)</f>
        <v>15.3749</v>
      </c>
      <c r="L478" s="59">
        <f>8.4967 * CHOOSE(CONTROL!$C$27, $C$14, 100%, $E$14)</f>
        <v>8.4967000000000006</v>
      </c>
      <c r="M478" s="59">
        <f>8.5036 * CHOOSE(CONTROL!$C$27, $C$14, 100%, $E$14)</f>
        <v>8.5036000000000005</v>
      </c>
      <c r="N478" s="59">
        <f>8.4967 * CHOOSE(CONTROL!$C$27, $C$14, 100%, $E$14)</f>
        <v>8.4967000000000006</v>
      </c>
      <c r="O478" s="59">
        <f>8.5036 * CHOOSE(CONTROL!$C$27, $C$14, 100%, $E$14)</f>
        <v>8.5036000000000005</v>
      </c>
    </row>
    <row r="479" spans="1:15" ht="15">
      <c r="A479" s="11">
        <v>55671</v>
      </c>
      <c r="B479" s="58">
        <f>7.0338 * CHOOSE(CONTROL!$C$27, $C$14, 100%, $E$14)</f>
        <v>7.0338000000000003</v>
      </c>
      <c r="C479" s="58">
        <f>7.0338 * CHOOSE(CONTROL!$C$27, $C$14, 100%, $E$14)</f>
        <v>7.0338000000000003</v>
      </c>
      <c r="D479" s="58">
        <f>7.0394 * CHOOSE(CONTROL!$C$27, $C$14, 100%, $E$14)</f>
        <v>7.0393999999999997</v>
      </c>
      <c r="E479" s="59">
        <f>8.4574 * CHOOSE(CONTROL!$C$27, $C$14, 100%, $E$14)</f>
        <v>8.4573999999999998</v>
      </c>
      <c r="F479" s="59">
        <f>8.4574 * CHOOSE(CONTROL!$C$27, $C$14, 100%, $E$14)</f>
        <v>8.4573999999999998</v>
      </c>
      <c r="G479" s="59">
        <f>8.4643 * CHOOSE(CONTROL!$C$27, $C$14, 100%, $E$14)</f>
        <v>8.4642999999999997</v>
      </c>
      <c r="H479" s="59">
        <f>15.4* CHOOSE(CONTROL!$C$27, $C$14, 100%, $E$14)</f>
        <v>15.4</v>
      </c>
      <c r="I479" s="59">
        <f>15.4069 * CHOOSE(CONTROL!$C$27, $C$14, 100%, $E$14)</f>
        <v>15.4069</v>
      </c>
      <c r="J479" s="59">
        <f>15.4 * CHOOSE(CONTROL!$C$27, $C$14, 100%, $E$14)</f>
        <v>15.4</v>
      </c>
      <c r="K479" s="59">
        <f>15.4069 * CHOOSE(CONTROL!$C$27, $C$14, 100%, $E$14)</f>
        <v>15.4069</v>
      </c>
      <c r="L479" s="59">
        <f>8.4574 * CHOOSE(CONTROL!$C$27, $C$14, 100%, $E$14)</f>
        <v>8.4573999999999998</v>
      </c>
      <c r="M479" s="59">
        <f>8.4643 * CHOOSE(CONTROL!$C$27, $C$14, 100%, $E$14)</f>
        <v>8.4642999999999997</v>
      </c>
      <c r="N479" s="59">
        <f>8.4574 * CHOOSE(CONTROL!$C$27, $C$14, 100%, $E$14)</f>
        <v>8.4573999999999998</v>
      </c>
      <c r="O479" s="59">
        <f>8.4643 * CHOOSE(CONTROL!$C$27, $C$14, 100%, $E$14)</f>
        <v>8.4642999999999997</v>
      </c>
    </row>
    <row r="480" spans="1:15" ht="15">
      <c r="A480" s="11">
        <v>55701</v>
      </c>
      <c r="B480" s="58">
        <f>7.1454 * CHOOSE(CONTROL!$C$27, $C$14, 100%, $E$14)</f>
        <v>7.1454000000000004</v>
      </c>
      <c r="C480" s="58">
        <f>7.1454 * CHOOSE(CONTROL!$C$27, $C$14, 100%, $E$14)</f>
        <v>7.1454000000000004</v>
      </c>
      <c r="D480" s="58">
        <f>7.151 * CHOOSE(CONTROL!$C$27, $C$14, 100%, $E$14)</f>
        <v>7.1509999999999998</v>
      </c>
      <c r="E480" s="59">
        <f>8.5975 * CHOOSE(CONTROL!$C$27, $C$14, 100%, $E$14)</f>
        <v>8.5975000000000001</v>
      </c>
      <c r="F480" s="59">
        <f>8.5975 * CHOOSE(CONTROL!$C$27, $C$14, 100%, $E$14)</f>
        <v>8.5975000000000001</v>
      </c>
      <c r="G480" s="59">
        <f>8.6044 * CHOOSE(CONTROL!$C$27, $C$14, 100%, $E$14)</f>
        <v>8.6044</v>
      </c>
      <c r="H480" s="59">
        <f>15.4321* CHOOSE(CONTROL!$C$27, $C$14, 100%, $E$14)</f>
        <v>15.4321</v>
      </c>
      <c r="I480" s="59">
        <f>15.439 * CHOOSE(CONTROL!$C$27, $C$14, 100%, $E$14)</f>
        <v>15.439</v>
      </c>
      <c r="J480" s="59">
        <f>15.4321 * CHOOSE(CONTROL!$C$27, $C$14, 100%, $E$14)</f>
        <v>15.4321</v>
      </c>
      <c r="K480" s="59">
        <f>15.439 * CHOOSE(CONTROL!$C$27, $C$14, 100%, $E$14)</f>
        <v>15.439</v>
      </c>
      <c r="L480" s="59">
        <f>8.5975 * CHOOSE(CONTROL!$C$27, $C$14, 100%, $E$14)</f>
        <v>8.5975000000000001</v>
      </c>
      <c r="M480" s="59">
        <f>8.6044 * CHOOSE(CONTROL!$C$27, $C$14, 100%, $E$14)</f>
        <v>8.6044</v>
      </c>
      <c r="N480" s="59">
        <f>8.5975 * CHOOSE(CONTROL!$C$27, $C$14, 100%, $E$14)</f>
        <v>8.5975000000000001</v>
      </c>
      <c r="O480" s="59">
        <f>8.6044 * CHOOSE(CONTROL!$C$27, $C$14, 100%, $E$14)</f>
        <v>8.6044</v>
      </c>
    </row>
    <row r="481" spans="1:15" ht="15">
      <c r="A481" s="11">
        <v>55732</v>
      </c>
      <c r="B481" s="58">
        <f>7.1521 * CHOOSE(CONTROL!$C$27, $C$14, 100%, $E$14)</f>
        <v>7.1520999999999999</v>
      </c>
      <c r="C481" s="58">
        <f>7.1521 * CHOOSE(CONTROL!$C$27, $C$14, 100%, $E$14)</f>
        <v>7.1520999999999999</v>
      </c>
      <c r="D481" s="58">
        <f>7.1577 * CHOOSE(CONTROL!$C$27, $C$14, 100%, $E$14)</f>
        <v>7.1577000000000002</v>
      </c>
      <c r="E481" s="59">
        <f>8.4715 * CHOOSE(CONTROL!$C$27, $C$14, 100%, $E$14)</f>
        <v>8.4715000000000007</v>
      </c>
      <c r="F481" s="59">
        <f>8.4715 * CHOOSE(CONTROL!$C$27, $C$14, 100%, $E$14)</f>
        <v>8.4715000000000007</v>
      </c>
      <c r="G481" s="59">
        <f>8.4784 * CHOOSE(CONTROL!$C$27, $C$14, 100%, $E$14)</f>
        <v>8.4784000000000006</v>
      </c>
      <c r="H481" s="59">
        <f>15.4643* CHOOSE(CONTROL!$C$27, $C$14, 100%, $E$14)</f>
        <v>15.4643</v>
      </c>
      <c r="I481" s="59">
        <f>15.4712 * CHOOSE(CONTROL!$C$27, $C$14, 100%, $E$14)</f>
        <v>15.4712</v>
      </c>
      <c r="J481" s="59">
        <f>15.4643 * CHOOSE(CONTROL!$C$27, $C$14, 100%, $E$14)</f>
        <v>15.4643</v>
      </c>
      <c r="K481" s="59">
        <f>15.4712 * CHOOSE(CONTROL!$C$27, $C$14, 100%, $E$14)</f>
        <v>15.4712</v>
      </c>
      <c r="L481" s="59">
        <f>8.4715 * CHOOSE(CONTROL!$C$27, $C$14, 100%, $E$14)</f>
        <v>8.4715000000000007</v>
      </c>
      <c r="M481" s="59">
        <f>8.4784 * CHOOSE(CONTROL!$C$27, $C$14, 100%, $E$14)</f>
        <v>8.4784000000000006</v>
      </c>
      <c r="N481" s="59">
        <f>8.4715 * CHOOSE(CONTROL!$C$27, $C$14, 100%, $E$14)</f>
        <v>8.4715000000000007</v>
      </c>
      <c r="O481" s="59">
        <f>8.4784 * CHOOSE(CONTROL!$C$27, $C$14, 100%, $E$14)</f>
        <v>8.4784000000000006</v>
      </c>
    </row>
    <row r="482" spans="1:15" ht="15">
      <c r="A482" s="11">
        <v>55763</v>
      </c>
      <c r="B482" s="58">
        <f>7.149 * CHOOSE(CONTROL!$C$27, $C$14, 100%, $E$14)</f>
        <v>7.149</v>
      </c>
      <c r="C482" s="58">
        <f>7.149 * CHOOSE(CONTROL!$C$27, $C$14, 100%, $E$14)</f>
        <v>7.149</v>
      </c>
      <c r="D482" s="58">
        <f>7.1547 * CHOOSE(CONTROL!$C$27, $C$14, 100%, $E$14)</f>
        <v>7.1547000000000001</v>
      </c>
      <c r="E482" s="59">
        <f>8.4549 * CHOOSE(CONTROL!$C$27, $C$14, 100%, $E$14)</f>
        <v>8.4549000000000003</v>
      </c>
      <c r="F482" s="59">
        <f>8.4549 * CHOOSE(CONTROL!$C$27, $C$14, 100%, $E$14)</f>
        <v>8.4549000000000003</v>
      </c>
      <c r="G482" s="59">
        <f>8.4618 * CHOOSE(CONTROL!$C$27, $C$14, 100%, $E$14)</f>
        <v>8.4618000000000002</v>
      </c>
      <c r="H482" s="59">
        <f>15.4965* CHOOSE(CONTROL!$C$27, $C$14, 100%, $E$14)</f>
        <v>15.496499999999999</v>
      </c>
      <c r="I482" s="59">
        <f>15.5034 * CHOOSE(CONTROL!$C$27, $C$14, 100%, $E$14)</f>
        <v>15.503399999999999</v>
      </c>
      <c r="J482" s="59">
        <f>15.4965 * CHOOSE(CONTROL!$C$27, $C$14, 100%, $E$14)</f>
        <v>15.496499999999999</v>
      </c>
      <c r="K482" s="59">
        <f>15.5034 * CHOOSE(CONTROL!$C$27, $C$14, 100%, $E$14)</f>
        <v>15.503399999999999</v>
      </c>
      <c r="L482" s="59">
        <f>8.4549 * CHOOSE(CONTROL!$C$27, $C$14, 100%, $E$14)</f>
        <v>8.4549000000000003</v>
      </c>
      <c r="M482" s="59">
        <f>8.4618 * CHOOSE(CONTROL!$C$27, $C$14, 100%, $E$14)</f>
        <v>8.4618000000000002</v>
      </c>
      <c r="N482" s="59">
        <f>8.4549 * CHOOSE(CONTROL!$C$27, $C$14, 100%, $E$14)</f>
        <v>8.4549000000000003</v>
      </c>
      <c r="O482" s="59">
        <f>8.4618 * CHOOSE(CONTROL!$C$27, $C$14, 100%, $E$14)</f>
        <v>8.4618000000000002</v>
      </c>
    </row>
    <row r="483" spans="1:15" ht="15">
      <c r="A483" s="11">
        <v>55793</v>
      </c>
      <c r="B483" s="58">
        <f>7.1545 * CHOOSE(CONTROL!$C$27, $C$14, 100%, $E$14)</f>
        <v>7.1544999999999996</v>
      </c>
      <c r="C483" s="58">
        <f>7.1545 * CHOOSE(CONTROL!$C$27, $C$14, 100%, $E$14)</f>
        <v>7.1544999999999996</v>
      </c>
      <c r="D483" s="58">
        <f>7.1585 * CHOOSE(CONTROL!$C$27, $C$14, 100%, $E$14)</f>
        <v>7.1585000000000001</v>
      </c>
      <c r="E483" s="59">
        <f>8.4995 * CHOOSE(CONTROL!$C$27, $C$14, 100%, $E$14)</f>
        <v>8.4994999999999994</v>
      </c>
      <c r="F483" s="59">
        <f>8.4995 * CHOOSE(CONTROL!$C$27, $C$14, 100%, $E$14)</f>
        <v>8.4994999999999994</v>
      </c>
      <c r="G483" s="59">
        <f>8.5044 * CHOOSE(CONTROL!$C$27, $C$14, 100%, $E$14)</f>
        <v>8.5044000000000004</v>
      </c>
      <c r="H483" s="59">
        <f>15.5288* CHOOSE(CONTROL!$C$27, $C$14, 100%, $E$14)</f>
        <v>15.5288</v>
      </c>
      <c r="I483" s="59">
        <f>15.5337 * CHOOSE(CONTROL!$C$27, $C$14, 100%, $E$14)</f>
        <v>15.5337</v>
      </c>
      <c r="J483" s="59">
        <f>15.5288 * CHOOSE(CONTROL!$C$27, $C$14, 100%, $E$14)</f>
        <v>15.5288</v>
      </c>
      <c r="K483" s="59">
        <f>15.5337 * CHOOSE(CONTROL!$C$27, $C$14, 100%, $E$14)</f>
        <v>15.5337</v>
      </c>
      <c r="L483" s="59">
        <f>8.4995 * CHOOSE(CONTROL!$C$27, $C$14, 100%, $E$14)</f>
        <v>8.4994999999999994</v>
      </c>
      <c r="M483" s="59">
        <f>8.5044 * CHOOSE(CONTROL!$C$27, $C$14, 100%, $E$14)</f>
        <v>8.5044000000000004</v>
      </c>
      <c r="N483" s="59">
        <f>8.4995 * CHOOSE(CONTROL!$C$27, $C$14, 100%, $E$14)</f>
        <v>8.4994999999999994</v>
      </c>
      <c r="O483" s="59">
        <f>8.5044 * CHOOSE(CONTROL!$C$27, $C$14, 100%, $E$14)</f>
        <v>8.5044000000000004</v>
      </c>
    </row>
    <row r="484" spans="1:15" ht="15">
      <c r="A484" s="11">
        <v>55824</v>
      </c>
      <c r="B484" s="58">
        <f>7.1575 * CHOOSE(CONTROL!$C$27, $C$14, 100%, $E$14)</f>
        <v>7.1574999999999998</v>
      </c>
      <c r="C484" s="58">
        <f>7.1575 * CHOOSE(CONTROL!$C$27, $C$14, 100%, $E$14)</f>
        <v>7.1574999999999998</v>
      </c>
      <c r="D484" s="58">
        <f>7.1615 * CHOOSE(CONTROL!$C$27, $C$14, 100%, $E$14)</f>
        <v>7.1615000000000002</v>
      </c>
      <c r="E484" s="59">
        <f>8.5307 * CHOOSE(CONTROL!$C$27, $C$14, 100%, $E$14)</f>
        <v>8.5306999999999995</v>
      </c>
      <c r="F484" s="59">
        <f>8.5307 * CHOOSE(CONTROL!$C$27, $C$14, 100%, $E$14)</f>
        <v>8.5306999999999995</v>
      </c>
      <c r="G484" s="59">
        <f>8.5356 * CHOOSE(CONTROL!$C$27, $C$14, 100%, $E$14)</f>
        <v>8.5356000000000005</v>
      </c>
      <c r="H484" s="59">
        <f>15.5611* CHOOSE(CONTROL!$C$27, $C$14, 100%, $E$14)</f>
        <v>15.5611</v>
      </c>
      <c r="I484" s="59">
        <f>15.566 * CHOOSE(CONTROL!$C$27, $C$14, 100%, $E$14)</f>
        <v>15.566000000000001</v>
      </c>
      <c r="J484" s="59">
        <f>15.5611 * CHOOSE(CONTROL!$C$27, $C$14, 100%, $E$14)</f>
        <v>15.5611</v>
      </c>
      <c r="K484" s="59">
        <f>15.566 * CHOOSE(CONTROL!$C$27, $C$14, 100%, $E$14)</f>
        <v>15.566000000000001</v>
      </c>
      <c r="L484" s="59">
        <f>8.5307 * CHOOSE(CONTROL!$C$27, $C$14, 100%, $E$14)</f>
        <v>8.5306999999999995</v>
      </c>
      <c r="M484" s="59">
        <f>8.5356 * CHOOSE(CONTROL!$C$27, $C$14, 100%, $E$14)</f>
        <v>8.5356000000000005</v>
      </c>
      <c r="N484" s="59">
        <f>8.5307 * CHOOSE(CONTROL!$C$27, $C$14, 100%, $E$14)</f>
        <v>8.5306999999999995</v>
      </c>
      <c r="O484" s="59">
        <f>8.5356 * CHOOSE(CONTROL!$C$27, $C$14, 100%, $E$14)</f>
        <v>8.5356000000000005</v>
      </c>
    </row>
    <row r="485" spans="1:15" ht="15">
      <c r="A485" s="11">
        <v>55854</v>
      </c>
      <c r="B485" s="58">
        <f>7.1575 * CHOOSE(CONTROL!$C$27, $C$14, 100%, $E$14)</f>
        <v>7.1574999999999998</v>
      </c>
      <c r="C485" s="58">
        <f>7.1575 * CHOOSE(CONTROL!$C$27, $C$14, 100%, $E$14)</f>
        <v>7.1574999999999998</v>
      </c>
      <c r="D485" s="58">
        <f>7.1615 * CHOOSE(CONTROL!$C$27, $C$14, 100%, $E$14)</f>
        <v>7.1615000000000002</v>
      </c>
      <c r="E485" s="59">
        <f>8.4581 * CHOOSE(CONTROL!$C$27, $C$14, 100%, $E$14)</f>
        <v>8.4581</v>
      </c>
      <c r="F485" s="59">
        <f>8.4581 * CHOOSE(CONTROL!$C$27, $C$14, 100%, $E$14)</f>
        <v>8.4581</v>
      </c>
      <c r="G485" s="59">
        <f>8.463 * CHOOSE(CONTROL!$C$27, $C$14, 100%, $E$14)</f>
        <v>8.4629999999999992</v>
      </c>
      <c r="H485" s="59">
        <f>15.5935* CHOOSE(CONTROL!$C$27, $C$14, 100%, $E$14)</f>
        <v>15.593500000000001</v>
      </c>
      <c r="I485" s="59">
        <f>15.5985 * CHOOSE(CONTROL!$C$27, $C$14, 100%, $E$14)</f>
        <v>15.5985</v>
      </c>
      <c r="J485" s="59">
        <f>15.5935 * CHOOSE(CONTROL!$C$27, $C$14, 100%, $E$14)</f>
        <v>15.593500000000001</v>
      </c>
      <c r="K485" s="59">
        <f>15.5985 * CHOOSE(CONTROL!$C$27, $C$14, 100%, $E$14)</f>
        <v>15.5985</v>
      </c>
      <c r="L485" s="59">
        <f>8.4581 * CHOOSE(CONTROL!$C$27, $C$14, 100%, $E$14)</f>
        <v>8.4581</v>
      </c>
      <c r="M485" s="59">
        <f>8.463 * CHOOSE(CONTROL!$C$27, $C$14, 100%, $E$14)</f>
        <v>8.4629999999999992</v>
      </c>
      <c r="N485" s="59">
        <f>8.4581 * CHOOSE(CONTROL!$C$27, $C$14, 100%, $E$14)</f>
        <v>8.4581</v>
      </c>
      <c r="O485" s="59">
        <f>8.463 * CHOOSE(CONTROL!$C$27, $C$14, 100%, $E$14)</f>
        <v>8.4629999999999992</v>
      </c>
    </row>
    <row r="486" spans="1:15" ht="15">
      <c r="A486" s="11">
        <v>55885</v>
      </c>
      <c r="B486" s="58">
        <f>7.2193 * CHOOSE(CONTROL!$C$27, $C$14, 100%, $E$14)</f>
        <v>7.2192999999999996</v>
      </c>
      <c r="C486" s="58">
        <f>7.2193 * CHOOSE(CONTROL!$C$27, $C$14, 100%, $E$14)</f>
        <v>7.2192999999999996</v>
      </c>
      <c r="D486" s="58">
        <f>7.2233 * CHOOSE(CONTROL!$C$27, $C$14, 100%, $E$14)</f>
        <v>7.2233000000000001</v>
      </c>
      <c r="E486" s="59">
        <f>8.5793 * CHOOSE(CONTROL!$C$27, $C$14, 100%, $E$14)</f>
        <v>8.5792999999999999</v>
      </c>
      <c r="F486" s="59">
        <f>8.5793 * CHOOSE(CONTROL!$C$27, $C$14, 100%, $E$14)</f>
        <v>8.5792999999999999</v>
      </c>
      <c r="G486" s="59">
        <f>8.5842 * CHOOSE(CONTROL!$C$27, $C$14, 100%, $E$14)</f>
        <v>8.5841999999999992</v>
      </c>
      <c r="H486" s="59">
        <f>15.626* CHOOSE(CONTROL!$C$27, $C$14, 100%, $E$14)</f>
        <v>15.625999999999999</v>
      </c>
      <c r="I486" s="59">
        <f>15.631 * CHOOSE(CONTROL!$C$27, $C$14, 100%, $E$14)</f>
        <v>15.631</v>
      </c>
      <c r="J486" s="59">
        <f>15.626 * CHOOSE(CONTROL!$C$27, $C$14, 100%, $E$14)</f>
        <v>15.625999999999999</v>
      </c>
      <c r="K486" s="59">
        <f>15.631 * CHOOSE(CONTROL!$C$27, $C$14, 100%, $E$14)</f>
        <v>15.631</v>
      </c>
      <c r="L486" s="59">
        <f>8.5793 * CHOOSE(CONTROL!$C$27, $C$14, 100%, $E$14)</f>
        <v>8.5792999999999999</v>
      </c>
      <c r="M486" s="59">
        <f>8.5842 * CHOOSE(CONTROL!$C$27, $C$14, 100%, $E$14)</f>
        <v>8.5841999999999992</v>
      </c>
      <c r="N486" s="59">
        <f>8.5793 * CHOOSE(CONTROL!$C$27, $C$14, 100%, $E$14)</f>
        <v>8.5792999999999999</v>
      </c>
      <c r="O486" s="59">
        <f>8.5842 * CHOOSE(CONTROL!$C$27, $C$14, 100%, $E$14)</f>
        <v>8.5841999999999992</v>
      </c>
    </row>
    <row r="487" spans="1:15" ht="15">
      <c r="A487" s="11">
        <v>55916</v>
      </c>
      <c r="B487" s="58">
        <f>7.2163 * CHOOSE(CONTROL!$C$27, $C$14, 100%, $E$14)</f>
        <v>7.2163000000000004</v>
      </c>
      <c r="C487" s="58">
        <f>7.2163 * CHOOSE(CONTROL!$C$27, $C$14, 100%, $E$14)</f>
        <v>7.2163000000000004</v>
      </c>
      <c r="D487" s="58">
        <f>7.2203 * CHOOSE(CONTROL!$C$27, $C$14, 100%, $E$14)</f>
        <v>7.2202999999999999</v>
      </c>
      <c r="E487" s="59">
        <f>8.4362 * CHOOSE(CONTROL!$C$27, $C$14, 100%, $E$14)</f>
        <v>8.4361999999999995</v>
      </c>
      <c r="F487" s="59">
        <f>8.4362 * CHOOSE(CONTROL!$C$27, $C$14, 100%, $E$14)</f>
        <v>8.4361999999999995</v>
      </c>
      <c r="G487" s="59">
        <f>8.4411 * CHOOSE(CONTROL!$C$27, $C$14, 100%, $E$14)</f>
        <v>8.4411000000000005</v>
      </c>
      <c r="H487" s="59">
        <f>15.6586* CHOOSE(CONTROL!$C$27, $C$14, 100%, $E$14)</f>
        <v>15.6586</v>
      </c>
      <c r="I487" s="59">
        <f>15.6635 * CHOOSE(CONTROL!$C$27, $C$14, 100%, $E$14)</f>
        <v>15.663500000000001</v>
      </c>
      <c r="J487" s="59">
        <f>15.6586 * CHOOSE(CONTROL!$C$27, $C$14, 100%, $E$14)</f>
        <v>15.6586</v>
      </c>
      <c r="K487" s="59">
        <f>15.6635 * CHOOSE(CONTROL!$C$27, $C$14, 100%, $E$14)</f>
        <v>15.663500000000001</v>
      </c>
      <c r="L487" s="59">
        <f>8.4362 * CHOOSE(CONTROL!$C$27, $C$14, 100%, $E$14)</f>
        <v>8.4361999999999995</v>
      </c>
      <c r="M487" s="59">
        <f>8.4411 * CHOOSE(CONTROL!$C$27, $C$14, 100%, $E$14)</f>
        <v>8.4411000000000005</v>
      </c>
      <c r="N487" s="59">
        <f>8.4362 * CHOOSE(CONTROL!$C$27, $C$14, 100%, $E$14)</f>
        <v>8.4361999999999995</v>
      </c>
      <c r="O487" s="59">
        <f>8.4411 * CHOOSE(CONTROL!$C$27, $C$14, 100%, $E$14)</f>
        <v>8.4411000000000005</v>
      </c>
    </row>
    <row r="488" spans="1:15" ht="15">
      <c r="A488" s="11">
        <v>55944</v>
      </c>
      <c r="B488" s="58">
        <f>7.2133 * CHOOSE(CONTROL!$C$27, $C$14, 100%, $E$14)</f>
        <v>7.2133000000000003</v>
      </c>
      <c r="C488" s="58">
        <f>7.2133 * CHOOSE(CONTROL!$C$27, $C$14, 100%, $E$14)</f>
        <v>7.2133000000000003</v>
      </c>
      <c r="D488" s="58">
        <f>7.2173 * CHOOSE(CONTROL!$C$27, $C$14, 100%, $E$14)</f>
        <v>7.2172999999999998</v>
      </c>
      <c r="E488" s="59">
        <f>8.5452 * CHOOSE(CONTROL!$C$27, $C$14, 100%, $E$14)</f>
        <v>8.5451999999999995</v>
      </c>
      <c r="F488" s="59">
        <f>8.5452 * CHOOSE(CONTROL!$C$27, $C$14, 100%, $E$14)</f>
        <v>8.5451999999999995</v>
      </c>
      <c r="G488" s="59">
        <f>8.5501 * CHOOSE(CONTROL!$C$27, $C$14, 100%, $E$14)</f>
        <v>8.5501000000000005</v>
      </c>
      <c r="H488" s="59">
        <f>15.6912* CHOOSE(CONTROL!$C$27, $C$14, 100%, $E$14)</f>
        <v>15.6912</v>
      </c>
      <c r="I488" s="59">
        <f>15.6961 * CHOOSE(CONTROL!$C$27, $C$14, 100%, $E$14)</f>
        <v>15.696099999999999</v>
      </c>
      <c r="J488" s="59">
        <f>15.6912 * CHOOSE(CONTROL!$C$27, $C$14, 100%, $E$14)</f>
        <v>15.6912</v>
      </c>
      <c r="K488" s="59">
        <f>15.6961 * CHOOSE(CONTROL!$C$27, $C$14, 100%, $E$14)</f>
        <v>15.696099999999999</v>
      </c>
      <c r="L488" s="59">
        <f>8.5452 * CHOOSE(CONTROL!$C$27, $C$14, 100%, $E$14)</f>
        <v>8.5451999999999995</v>
      </c>
      <c r="M488" s="59">
        <f>8.5501 * CHOOSE(CONTROL!$C$27, $C$14, 100%, $E$14)</f>
        <v>8.5501000000000005</v>
      </c>
      <c r="N488" s="59">
        <f>8.5452 * CHOOSE(CONTROL!$C$27, $C$14, 100%, $E$14)</f>
        <v>8.5451999999999995</v>
      </c>
      <c r="O488" s="59">
        <f>8.5501 * CHOOSE(CONTROL!$C$27, $C$14, 100%, $E$14)</f>
        <v>8.5501000000000005</v>
      </c>
    </row>
    <row r="489" spans="1:15" ht="15">
      <c r="A489" s="11">
        <v>55975</v>
      </c>
      <c r="B489" s="58">
        <f>7.2137 * CHOOSE(CONTROL!$C$27, $C$14, 100%, $E$14)</f>
        <v>7.2137000000000002</v>
      </c>
      <c r="C489" s="58">
        <f>7.2137 * CHOOSE(CONTROL!$C$27, $C$14, 100%, $E$14)</f>
        <v>7.2137000000000002</v>
      </c>
      <c r="D489" s="58">
        <f>7.2177 * CHOOSE(CONTROL!$C$27, $C$14, 100%, $E$14)</f>
        <v>7.2176999999999998</v>
      </c>
      <c r="E489" s="59">
        <f>8.6604 * CHOOSE(CONTROL!$C$27, $C$14, 100%, $E$14)</f>
        <v>8.6603999999999992</v>
      </c>
      <c r="F489" s="59">
        <f>8.6604 * CHOOSE(CONTROL!$C$27, $C$14, 100%, $E$14)</f>
        <v>8.6603999999999992</v>
      </c>
      <c r="G489" s="59">
        <f>8.6653 * CHOOSE(CONTROL!$C$27, $C$14, 100%, $E$14)</f>
        <v>8.6653000000000002</v>
      </c>
      <c r="H489" s="59">
        <f>15.7239* CHOOSE(CONTROL!$C$27, $C$14, 100%, $E$14)</f>
        <v>15.7239</v>
      </c>
      <c r="I489" s="59">
        <f>15.7288 * CHOOSE(CONTROL!$C$27, $C$14, 100%, $E$14)</f>
        <v>15.7288</v>
      </c>
      <c r="J489" s="59">
        <f>15.7239 * CHOOSE(CONTROL!$C$27, $C$14, 100%, $E$14)</f>
        <v>15.7239</v>
      </c>
      <c r="K489" s="59">
        <f>15.7288 * CHOOSE(CONTROL!$C$27, $C$14, 100%, $E$14)</f>
        <v>15.7288</v>
      </c>
      <c r="L489" s="59">
        <f>8.6604 * CHOOSE(CONTROL!$C$27, $C$14, 100%, $E$14)</f>
        <v>8.6603999999999992</v>
      </c>
      <c r="M489" s="59">
        <f>8.6653 * CHOOSE(CONTROL!$C$27, $C$14, 100%, $E$14)</f>
        <v>8.6653000000000002</v>
      </c>
      <c r="N489" s="59">
        <f>8.6604 * CHOOSE(CONTROL!$C$27, $C$14, 100%, $E$14)</f>
        <v>8.6603999999999992</v>
      </c>
      <c r="O489" s="59">
        <f>8.6653 * CHOOSE(CONTROL!$C$27, $C$14, 100%, $E$14)</f>
        <v>8.6653000000000002</v>
      </c>
    </row>
    <row r="490" spans="1:15" ht="15">
      <c r="A490" s="11">
        <v>56005</v>
      </c>
      <c r="B490" s="58">
        <f>7.2137 * CHOOSE(CONTROL!$C$27, $C$14, 100%, $E$14)</f>
        <v>7.2137000000000002</v>
      </c>
      <c r="C490" s="58">
        <f>7.2137 * CHOOSE(CONTROL!$C$27, $C$14, 100%, $E$14)</f>
        <v>7.2137000000000002</v>
      </c>
      <c r="D490" s="58">
        <f>7.2193 * CHOOSE(CONTROL!$C$27, $C$14, 100%, $E$14)</f>
        <v>7.2192999999999996</v>
      </c>
      <c r="E490" s="59">
        <f>8.7051 * CHOOSE(CONTROL!$C$27, $C$14, 100%, $E$14)</f>
        <v>8.7050999999999998</v>
      </c>
      <c r="F490" s="59">
        <f>8.7051 * CHOOSE(CONTROL!$C$27, $C$14, 100%, $E$14)</f>
        <v>8.7050999999999998</v>
      </c>
      <c r="G490" s="59">
        <f>8.712 * CHOOSE(CONTROL!$C$27, $C$14, 100%, $E$14)</f>
        <v>8.7119999999999997</v>
      </c>
      <c r="H490" s="59">
        <f>15.7567* CHOOSE(CONTROL!$C$27, $C$14, 100%, $E$14)</f>
        <v>15.7567</v>
      </c>
      <c r="I490" s="59">
        <f>15.7635 * CHOOSE(CONTROL!$C$27, $C$14, 100%, $E$14)</f>
        <v>15.763500000000001</v>
      </c>
      <c r="J490" s="59">
        <f>15.7567 * CHOOSE(CONTROL!$C$27, $C$14, 100%, $E$14)</f>
        <v>15.7567</v>
      </c>
      <c r="K490" s="59">
        <f>15.7635 * CHOOSE(CONTROL!$C$27, $C$14, 100%, $E$14)</f>
        <v>15.763500000000001</v>
      </c>
      <c r="L490" s="59">
        <f>8.7051 * CHOOSE(CONTROL!$C$27, $C$14, 100%, $E$14)</f>
        <v>8.7050999999999998</v>
      </c>
      <c r="M490" s="59">
        <f>8.712 * CHOOSE(CONTROL!$C$27, $C$14, 100%, $E$14)</f>
        <v>8.7119999999999997</v>
      </c>
      <c r="N490" s="59">
        <f>8.7051 * CHOOSE(CONTROL!$C$27, $C$14, 100%, $E$14)</f>
        <v>8.7050999999999998</v>
      </c>
      <c r="O490" s="59">
        <f>8.712 * CHOOSE(CONTROL!$C$27, $C$14, 100%, $E$14)</f>
        <v>8.7119999999999997</v>
      </c>
    </row>
    <row r="491" spans="1:15" ht="15">
      <c r="A491" s="11">
        <v>56036</v>
      </c>
      <c r="B491" s="58">
        <f>7.2198 * CHOOSE(CONTROL!$C$27, $C$14, 100%, $E$14)</f>
        <v>7.2198000000000002</v>
      </c>
      <c r="C491" s="58">
        <f>7.2198 * CHOOSE(CONTROL!$C$27, $C$14, 100%, $E$14)</f>
        <v>7.2198000000000002</v>
      </c>
      <c r="D491" s="58">
        <f>7.2254 * CHOOSE(CONTROL!$C$27, $C$14, 100%, $E$14)</f>
        <v>7.2253999999999996</v>
      </c>
      <c r="E491" s="59">
        <f>8.6646 * CHOOSE(CONTROL!$C$27, $C$14, 100%, $E$14)</f>
        <v>8.6646000000000001</v>
      </c>
      <c r="F491" s="59">
        <f>8.6646 * CHOOSE(CONTROL!$C$27, $C$14, 100%, $E$14)</f>
        <v>8.6646000000000001</v>
      </c>
      <c r="G491" s="59">
        <f>8.6715 * CHOOSE(CONTROL!$C$27, $C$14, 100%, $E$14)</f>
        <v>8.6715</v>
      </c>
      <c r="H491" s="59">
        <f>15.7895* CHOOSE(CONTROL!$C$27, $C$14, 100%, $E$14)</f>
        <v>15.7895</v>
      </c>
      <c r="I491" s="59">
        <f>15.7964 * CHOOSE(CONTROL!$C$27, $C$14, 100%, $E$14)</f>
        <v>15.7964</v>
      </c>
      <c r="J491" s="59">
        <f>15.7895 * CHOOSE(CONTROL!$C$27, $C$14, 100%, $E$14)</f>
        <v>15.7895</v>
      </c>
      <c r="K491" s="59">
        <f>15.7964 * CHOOSE(CONTROL!$C$27, $C$14, 100%, $E$14)</f>
        <v>15.7964</v>
      </c>
      <c r="L491" s="59">
        <f>8.6646 * CHOOSE(CONTROL!$C$27, $C$14, 100%, $E$14)</f>
        <v>8.6646000000000001</v>
      </c>
      <c r="M491" s="59">
        <f>8.6715 * CHOOSE(CONTROL!$C$27, $C$14, 100%, $E$14)</f>
        <v>8.6715</v>
      </c>
      <c r="N491" s="59">
        <f>8.6646 * CHOOSE(CONTROL!$C$27, $C$14, 100%, $E$14)</f>
        <v>8.6646000000000001</v>
      </c>
      <c r="O491" s="59">
        <f>8.6715 * CHOOSE(CONTROL!$C$27, $C$14, 100%, $E$14)</f>
        <v>8.6715</v>
      </c>
    </row>
    <row r="492" spans="1:15" ht="15">
      <c r="A492" s="11">
        <v>56066</v>
      </c>
      <c r="B492" s="58">
        <f>7.334 * CHOOSE(CONTROL!$C$27, $C$14, 100%, $E$14)</f>
        <v>7.3339999999999996</v>
      </c>
      <c r="C492" s="58">
        <f>7.334 * CHOOSE(CONTROL!$C$27, $C$14, 100%, $E$14)</f>
        <v>7.3339999999999996</v>
      </c>
      <c r="D492" s="58">
        <f>7.3397 * CHOOSE(CONTROL!$C$27, $C$14, 100%, $E$14)</f>
        <v>7.3396999999999997</v>
      </c>
      <c r="E492" s="59">
        <f>8.8078 * CHOOSE(CONTROL!$C$27, $C$14, 100%, $E$14)</f>
        <v>8.8078000000000003</v>
      </c>
      <c r="F492" s="59">
        <f>8.8078 * CHOOSE(CONTROL!$C$27, $C$14, 100%, $E$14)</f>
        <v>8.8078000000000003</v>
      </c>
      <c r="G492" s="59">
        <f>8.8147 * CHOOSE(CONTROL!$C$27, $C$14, 100%, $E$14)</f>
        <v>8.8147000000000002</v>
      </c>
      <c r="H492" s="59">
        <f>15.8224* CHOOSE(CONTROL!$C$27, $C$14, 100%, $E$14)</f>
        <v>15.8224</v>
      </c>
      <c r="I492" s="59">
        <f>15.8293 * CHOOSE(CONTROL!$C$27, $C$14, 100%, $E$14)</f>
        <v>15.8293</v>
      </c>
      <c r="J492" s="59">
        <f>15.8224 * CHOOSE(CONTROL!$C$27, $C$14, 100%, $E$14)</f>
        <v>15.8224</v>
      </c>
      <c r="K492" s="59">
        <f>15.8293 * CHOOSE(CONTROL!$C$27, $C$14, 100%, $E$14)</f>
        <v>15.8293</v>
      </c>
      <c r="L492" s="59">
        <f>8.8078 * CHOOSE(CONTROL!$C$27, $C$14, 100%, $E$14)</f>
        <v>8.8078000000000003</v>
      </c>
      <c r="M492" s="59">
        <f>8.8147 * CHOOSE(CONTROL!$C$27, $C$14, 100%, $E$14)</f>
        <v>8.8147000000000002</v>
      </c>
      <c r="N492" s="59">
        <f>8.8078 * CHOOSE(CONTROL!$C$27, $C$14, 100%, $E$14)</f>
        <v>8.8078000000000003</v>
      </c>
      <c r="O492" s="59">
        <f>8.8147 * CHOOSE(CONTROL!$C$27, $C$14, 100%, $E$14)</f>
        <v>8.8147000000000002</v>
      </c>
    </row>
    <row r="493" spans="1:15" ht="15">
      <c r="A493" s="11">
        <v>56097</v>
      </c>
      <c r="B493" s="58">
        <f>7.3407 * CHOOSE(CONTROL!$C$27, $C$14, 100%, $E$14)</f>
        <v>7.3407</v>
      </c>
      <c r="C493" s="58">
        <f>7.3407 * CHOOSE(CONTROL!$C$27, $C$14, 100%, $E$14)</f>
        <v>7.3407</v>
      </c>
      <c r="D493" s="58">
        <f>7.3464 * CHOOSE(CONTROL!$C$27, $C$14, 100%, $E$14)</f>
        <v>7.3464</v>
      </c>
      <c r="E493" s="59">
        <f>8.6782 * CHOOSE(CONTROL!$C$27, $C$14, 100%, $E$14)</f>
        <v>8.6782000000000004</v>
      </c>
      <c r="F493" s="59">
        <f>8.6782 * CHOOSE(CONTROL!$C$27, $C$14, 100%, $E$14)</f>
        <v>8.6782000000000004</v>
      </c>
      <c r="G493" s="59">
        <f>8.6851 * CHOOSE(CONTROL!$C$27, $C$14, 100%, $E$14)</f>
        <v>8.6851000000000003</v>
      </c>
      <c r="H493" s="59">
        <f>15.8553* CHOOSE(CONTROL!$C$27, $C$14, 100%, $E$14)</f>
        <v>15.8553</v>
      </c>
      <c r="I493" s="59">
        <f>15.8622 * CHOOSE(CONTROL!$C$27, $C$14, 100%, $E$14)</f>
        <v>15.8622</v>
      </c>
      <c r="J493" s="59">
        <f>15.8553 * CHOOSE(CONTROL!$C$27, $C$14, 100%, $E$14)</f>
        <v>15.8553</v>
      </c>
      <c r="K493" s="59">
        <f>15.8622 * CHOOSE(CONTROL!$C$27, $C$14, 100%, $E$14)</f>
        <v>15.8622</v>
      </c>
      <c r="L493" s="59">
        <f>8.6782 * CHOOSE(CONTROL!$C$27, $C$14, 100%, $E$14)</f>
        <v>8.6782000000000004</v>
      </c>
      <c r="M493" s="59">
        <f>8.6851 * CHOOSE(CONTROL!$C$27, $C$14, 100%, $E$14)</f>
        <v>8.6851000000000003</v>
      </c>
      <c r="N493" s="59">
        <f>8.6782 * CHOOSE(CONTROL!$C$27, $C$14, 100%, $E$14)</f>
        <v>8.6782000000000004</v>
      </c>
      <c r="O493" s="59">
        <f>8.6851 * CHOOSE(CONTROL!$C$27, $C$14, 100%, $E$14)</f>
        <v>8.6851000000000003</v>
      </c>
    </row>
    <row r="494" spans="1:15" ht="15">
      <c r="A494" s="11">
        <v>56128</v>
      </c>
      <c r="B494" s="58">
        <f>7.3377 * CHOOSE(CONTROL!$C$27, $C$14, 100%, $E$14)</f>
        <v>7.3376999999999999</v>
      </c>
      <c r="C494" s="58">
        <f>7.3377 * CHOOSE(CONTROL!$C$27, $C$14, 100%, $E$14)</f>
        <v>7.3376999999999999</v>
      </c>
      <c r="D494" s="58">
        <f>7.3433 * CHOOSE(CONTROL!$C$27, $C$14, 100%, $E$14)</f>
        <v>7.3433000000000002</v>
      </c>
      <c r="E494" s="59">
        <f>8.6611 * CHOOSE(CONTROL!$C$27, $C$14, 100%, $E$14)</f>
        <v>8.6610999999999994</v>
      </c>
      <c r="F494" s="59">
        <f>8.6611 * CHOOSE(CONTROL!$C$27, $C$14, 100%, $E$14)</f>
        <v>8.6610999999999994</v>
      </c>
      <c r="G494" s="59">
        <f>8.668 * CHOOSE(CONTROL!$C$27, $C$14, 100%, $E$14)</f>
        <v>8.6679999999999993</v>
      </c>
      <c r="H494" s="59">
        <f>15.8884* CHOOSE(CONTROL!$C$27, $C$14, 100%, $E$14)</f>
        <v>15.888400000000001</v>
      </c>
      <c r="I494" s="59">
        <f>15.8953 * CHOOSE(CONTROL!$C$27, $C$14, 100%, $E$14)</f>
        <v>15.895300000000001</v>
      </c>
      <c r="J494" s="59">
        <f>15.8884 * CHOOSE(CONTROL!$C$27, $C$14, 100%, $E$14)</f>
        <v>15.888400000000001</v>
      </c>
      <c r="K494" s="59">
        <f>15.8953 * CHOOSE(CONTROL!$C$27, $C$14, 100%, $E$14)</f>
        <v>15.895300000000001</v>
      </c>
      <c r="L494" s="59">
        <f>8.6611 * CHOOSE(CONTROL!$C$27, $C$14, 100%, $E$14)</f>
        <v>8.6610999999999994</v>
      </c>
      <c r="M494" s="59">
        <f>8.668 * CHOOSE(CONTROL!$C$27, $C$14, 100%, $E$14)</f>
        <v>8.6679999999999993</v>
      </c>
      <c r="N494" s="59">
        <f>8.6611 * CHOOSE(CONTROL!$C$27, $C$14, 100%, $E$14)</f>
        <v>8.6610999999999994</v>
      </c>
      <c r="O494" s="59">
        <f>8.668 * CHOOSE(CONTROL!$C$27, $C$14, 100%, $E$14)</f>
        <v>8.6679999999999993</v>
      </c>
    </row>
    <row r="495" spans="1:15" ht="15">
      <c r="A495" s="11">
        <v>56158</v>
      </c>
      <c r="B495" s="58">
        <f>7.3437 * CHOOSE(CONTROL!$C$27, $C$14, 100%, $E$14)</f>
        <v>7.3437000000000001</v>
      </c>
      <c r="C495" s="58">
        <f>7.3437 * CHOOSE(CONTROL!$C$27, $C$14, 100%, $E$14)</f>
        <v>7.3437000000000001</v>
      </c>
      <c r="D495" s="58">
        <f>7.3477 * CHOOSE(CONTROL!$C$27, $C$14, 100%, $E$14)</f>
        <v>7.3476999999999997</v>
      </c>
      <c r="E495" s="59">
        <f>8.7074 * CHOOSE(CONTROL!$C$27, $C$14, 100%, $E$14)</f>
        <v>8.7073999999999998</v>
      </c>
      <c r="F495" s="59">
        <f>8.7074 * CHOOSE(CONTROL!$C$27, $C$14, 100%, $E$14)</f>
        <v>8.7073999999999998</v>
      </c>
      <c r="G495" s="59">
        <f>8.7123 * CHOOSE(CONTROL!$C$27, $C$14, 100%, $E$14)</f>
        <v>8.7123000000000008</v>
      </c>
      <c r="H495" s="59">
        <f>15.9215* CHOOSE(CONTROL!$C$27, $C$14, 100%, $E$14)</f>
        <v>15.9215</v>
      </c>
      <c r="I495" s="59">
        <f>15.9264 * CHOOSE(CONTROL!$C$27, $C$14, 100%, $E$14)</f>
        <v>15.926399999999999</v>
      </c>
      <c r="J495" s="59">
        <f>15.9215 * CHOOSE(CONTROL!$C$27, $C$14, 100%, $E$14)</f>
        <v>15.9215</v>
      </c>
      <c r="K495" s="59">
        <f>15.9264 * CHOOSE(CONTROL!$C$27, $C$14, 100%, $E$14)</f>
        <v>15.926399999999999</v>
      </c>
      <c r="L495" s="59">
        <f>8.7074 * CHOOSE(CONTROL!$C$27, $C$14, 100%, $E$14)</f>
        <v>8.7073999999999998</v>
      </c>
      <c r="M495" s="59">
        <f>8.7123 * CHOOSE(CONTROL!$C$27, $C$14, 100%, $E$14)</f>
        <v>8.7123000000000008</v>
      </c>
      <c r="N495" s="59">
        <f>8.7074 * CHOOSE(CONTROL!$C$27, $C$14, 100%, $E$14)</f>
        <v>8.7073999999999998</v>
      </c>
      <c r="O495" s="59">
        <f>8.7123 * CHOOSE(CONTROL!$C$27, $C$14, 100%, $E$14)</f>
        <v>8.7123000000000008</v>
      </c>
    </row>
    <row r="496" spans="1:15" ht="15">
      <c r="A496" s="11">
        <v>56189</v>
      </c>
      <c r="B496" s="58">
        <f>7.3468 * CHOOSE(CONTROL!$C$27, $C$14, 100%, $E$14)</f>
        <v>7.3468</v>
      </c>
      <c r="C496" s="58">
        <f>7.3468 * CHOOSE(CONTROL!$C$27, $C$14, 100%, $E$14)</f>
        <v>7.3468</v>
      </c>
      <c r="D496" s="58">
        <f>7.3508 * CHOOSE(CONTROL!$C$27, $C$14, 100%, $E$14)</f>
        <v>7.3507999999999996</v>
      </c>
      <c r="E496" s="59">
        <f>8.7394 * CHOOSE(CONTROL!$C$27, $C$14, 100%, $E$14)</f>
        <v>8.7393999999999998</v>
      </c>
      <c r="F496" s="59">
        <f>8.7394 * CHOOSE(CONTROL!$C$27, $C$14, 100%, $E$14)</f>
        <v>8.7393999999999998</v>
      </c>
      <c r="G496" s="59">
        <f>8.7443 * CHOOSE(CONTROL!$C$27, $C$14, 100%, $E$14)</f>
        <v>8.7443000000000008</v>
      </c>
      <c r="H496" s="59">
        <f>15.9546* CHOOSE(CONTROL!$C$27, $C$14, 100%, $E$14)</f>
        <v>15.954599999999999</v>
      </c>
      <c r="I496" s="59">
        <f>15.9596 * CHOOSE(CONTROL!$C$27, $C$14, 100%, $E$14)</f>
        <v>15.9596</v>
      </c>
      <c r="J496" s="59">
        <f>15.9546 * CHOOSE(CONTROL!$C$27, $C$14, 100%, $E$14)</f>
        <v>15.954599999999999</v>
      </c>
      <c r="K496" s="59">
        <f>15.9596 * CHOOSE(CONTROL!$C$27, $C$14, 100%, $E$14)</f>
        <v>15.9596</v>
      </c>
      <c r="L496" s="59">
        <f>8.7394 * CHOOSE(CONTROL!$C$27, $C$14, 100%, $E$14)</f>
        <v>8.7393999999999998</v>
      </c>
      <c r="M496" s="59">
        <f>8.7443 * CHOOSE(CONTROL!$C$27, $C$14, 100%, $E$14)</f>
        <v>8.7443000000000008</v>
      </c>
      <c r="N496" s="59">
        <f>8.7394 * CHOOSE(CONTROL!$C$27, $C$14, 100%, $E$14)</f>
        <v>8.7393999999999998</v>
      </c>
      <c r="O496" s="59">
        <f>8.7443 * CHOOSE(CONTROL!$C$27, $C$14, 100%, $E$14)</f>
        <v>8.7443000000000008</v>
      </c>
    </row>
    <row r="497" spans="1:15" ht="15">
      <c r="A497" s="11">
        <v>56219</v>
      </c>
      <c r="B497" s="58">
        <f>7.3468 * CHOOSE(CONTROL!$C$27, $C$14, 100%, $E$14)</f>
        <v>7.3468</v>
      </c>
      <c r="C497" s="58">
        <f>7.3468 * CHOOSE(CONTROL!$C$27, $C$14, 100%, $E$14)</f>
        <v>7.3468</v>
      </c>
      <c r="D497" s="58">
        <f>7.3508 * CHOOSE(CONTROL!$C$27, $C$14, 100%, $E$14)</f>
        <v>7.3507999999999996</v>
      </c>
      <c r="E497" s="59">
        <f>8.6648 * CHOOSE(CONTROL!$C$27, $C$14, 100%, $E$14)</f>
        <v>8.6647999999999996</v>
      </c>
      <c r="F497" s="59">
        <f>8.6648 * CHOOSE(CONTROL!$C$27, $C$14, 100%, $E$14)</f>
        <v>8.6647999999999996</v>
      </c>
      <c r="G497" s="59">
        <f>8.6697 * CHOOSE(CONTROL!$C$27, $C$14, 100%, $E$14)</f>
        <v>8.6697000000000006</v>
      </c>
      <c r="H497" s="59">
        <f>15.9879* CHOOSE(CONTROL!$C$27, $C$14, 100%, $E$14)</f>
        <v>15.9879</v>
      </c>
      <c r="I497" s="59">
        <f>15.9928 * CHOOSE(CONTROL!$C$27, $C$14, 100%, $E$14)</f>
        <v>15.992800000000001</v>
      </c>
      <c r="J497" s="59">
        <f>15.9879 * CHOOSE(CONTROL!$C$27, $C$14, 100%, $E$14)</f>
        <v>15.9879</v>
      </c>
      <c r="K497" s="59">
        <f>15.9928 * CHOOSE(CONTROL!$C$27, $C$14, 100%, $E$14)</f>
        <v>15.992800000000001</v>
      </c>
      <c r="L497" s="59">
        <f>8.6648 * CHOOSE(CONTROL!$C$27, $C$14, 100%, $E$14)</f>
        <v>8.6647999999999996</v>
      </c>
      <c r="M497" s="59">
        <f>8.6697 * CHOOSE(CONTROL!$C$27, $C$14, 100%, $E$14)</f>
        <v>8.6697000000000006</v>
      </c>
      <c r="N497" s="59">
        <f>8.6648 * CHOOSE(CONTROL!$C$27, $C$14, 100%, $E$14)</f>
        <v>8.6647999999999996</v>
      </c>
      <c r="O497" s="59">
        <f>8.6697 * CHOOSE(CONTROL!$C$27, $C$14, 100%, $E$14)</f>
        <v>8.6697000000000006</v>
      </c>
    </row>
    <row r="498" spans="1:15" ht="15">
      <c r="A498" s="11">
        <v>56250</v>
      </c>
      <c r="B498" s="58">
        <f>7.4101 * CHOOSE(CONTROL!$C$27, $C$14, 100%, $E$14)</f>
        <v>7.4100999999999999</v>
      </c>
      <c r="C498" s="58">
        <f>7.4101 * CHOOSE(CONTROL!$C$27, $C$14, 100%, $E$14)</f>
        <v>7.4100999999999999</v>
      </c>
      <c r="D498" s="58">
        <f>7.4141 * CHOOSE(CONTROL!$C$27, $C$14, 100%, $E$14)</f>
        <v>7.4141000000000004</v>
      </c>
      <c r="E498" s="59">
        <f>8.7891 * CHOOSE(CONTROL!$C$27, $C$14, 100%, $E$14)</f>
        <v>8.7890999999999995</v>
      </c>
      <c r="F498" s="59">
        <f>8.7891 * CHOOSE(CONTROL!$C$27, $C$14, 100%, $E$14)</f>
        <v>8.7890999999999995</v>
      </c>
      <c r="G498" s="59">
        <f>8.794 * CHOOSE(CONTROL!$C$27, $C$14, 100%, $E$14)</f>
        <v>8.7940000000000005</v>
      </c>
      <c r="H498" s="59">
        <f>16.0212* CHOOSE(CONTROL!$C$27, $C$14, 100%, $E$14)</f>
        <v>16.0212</v>
      </c>
      <c r="I498" s="59">
        <f>16.0261 * CHOOSE(CONTROL!$C$27, $C$14, 100%, $E$14)</f>
        <v>16.0261</v>
      </c>
      <c r="J498" s="59">
        <f>16.0212 * CHOOSE(CONTROL!$C$27, $C$14, 100%, $E$14)</f>
        <v>16.0212</v>
      </c>
      <c r="K498" s="59">
        <f>16.0261 * CHOOSE(CONTROL!$C$27, $C$14, 100%, $E$14)</f>
        <v>16.0261</v>
      </c>
      <c r="L498" s="59">
        <f>8.7891 * CHOOSE(CONTROL!$C$27, $C$14, 100%, $E$14)</f>
        <v>8.7890999999999995</v>
      </c>
      <c r="M498" s="59">
        <f>8.794 * CHOOSE(CONTROL!$C$27, $C$14, 100%, $E$14)</f>
        <v>8.7940000000000005</v>
      </c>
      <c r="N498" s="59">
        <f>8.7891 * CHOOSE(CONTROL!$C$27, $C$14, 100%, $E$14)</f>
        <v>8.7890999999999995</v>
      </c>
      <c r="O498" s="59">
        <f>8.794 * CHOOSE(CONTROL!$C$27, $C$14, 100%, $E$14)</f>
        <v>8.7940000000000005</v>
      </c>
    </row>
    <row r="499" spans="1:15" ht="15">
      <c r="A499" s="11">
        <v>56281</v>
      </c>
      <c r="B499" s="58">
        <f>7.4071 * CHOOSE(CONTROL!$C$27, $C$14, 100%, $E$14)</f>
        <v>7.4070999999999998</v>
      </c>
      <c r="C499" s="58">
        <f>7.4071 * CHOOSE(CONTROL!$C$27, $C$14, 100%, $E$14)</f>
        <v>7.4070999999999998</v>
      </c>
      <c r="D499" s="58">
        <f>7.4111 * CHOOSE(CONTROL!$C$27, $C$14, 100%, $E$14)</f>
        <v>7.4111000000000002</v>
      </c>
      <c r="E499" s="59">
        <f>8.642 * CHOOSE(CONTROL!$C$27, $C$14, 100%, $E$14)</f>
        <v>8.6419999999999995</v>
      </c>
      <c r="F499" s="59">
        <f>8.642 * CHOOSE(CONTROL!$C$27, $C$14, 100%, $E$14)</f>
        <v>8.6419999999999995</v>
      </c>
      <c r="G499" s="59">
        <f>8.6469 * CHOOSE(CONTROL!$C$27, $C$14, 100%, $E$14)</f>
        <v>8.6469000000000005</v>
      </c>
      <c r="H499" s="59">
        <f>16.0546* CHOOSE(CONTROL!$C$27, $C$14, 100%, $E$14)</f>
        <v>16.054600000000001</v>
      </c>
      <c r="I499" s="59">
        <f>16.0595 * CHOOSE(CONTROL!$C$27, $C$14, 100%, $E$14)</f>
        <v>16.0595</v>
      </c>
      <c r="J499" s="59">
        <f>16.0546 * CHOOSE(CONTROL!$C$27, $C$14, 100%, $E$14)</f>
        <v>16.054600000000001</v>
      </c>
      <c r="K499" s="59">
        <f>16.0595 * CHOOSE(CONTROL!$C$27, $C$14, 100%, $E$14)</f>
        <v>16.0595</v>
      </c>
      <c r="L499" s="59">
        <f>8.642 * CHOOSE(CONTROL!$C$27, $C$14, 100%, $E$14)</f>
        <v>8.6419999999999995</v>
      </c>
      <c r="M499" s="59">
        <f>8.6469 * CHOOSE(CONTROL!$C$27, $C$14, 100%, $E$14)</f>
        <v>8.6469000000000005</v>
      </c>
      <c r="N499" s="59">
        <f>8.642 * CHOOSE(CONTROL!$C$27, $C$14, 100%, $E$14)</f>
        <v>8.6419999999999995</v>
      </c>
      <c r="O499" s="59">
        <f>8.6469 * CHOOSE(CONTROL!$C$27, $C$14, 100%, $E$14)</f>
        <v>8.6469000000000005</v>
      </c>
    </row>
    <row r="500" spans="1:15" ht="15">
      <c r="A500" s="11">
        <v>56309</v>
      </c>
      <c r="B500" s="58">
        <f>7.4041 * CHOOSE(CONTROL!$C$27, $C$14, 100%, $E$14)</f>
        <v>7.4040999999999997</v>
      </c>
      <c r="C500" s="58">
        <f>7.4041 * CHOOSE(CONTROL!$C$27, $C$14, 100%, $E$14)</f>
        <v>7.4040999999999997</v>
      </c>
      <c r="D500" s="58">
        <f>7.4081 * CHOOSE(CONTROL!$C$27, $C$14, 100%, $E$14)</f>
        <v>7.4081000000000001</v>
      </c>
      <c r="E500" s="59">
        <f>8.7542 * CHOOSE(CONTROL!$C$27, $C$14, 100%, $E$14)</f>
        <v>8.7542000000000009</v>
      </c>
      <c r="F500" s="59">
        <f>8.7542 * CHOOSE(CONTROL!$C$27, $C$14, 100%, $E$14)</f>
        <v>8.7542000000000009</v>
      </c>
      <c r="G500" s="59">
        <f>8.7591 * CHOOSE(CONTROL!$C$27, $C$14, 100%, $E$14)</f>
        <v>8.7591000000000001</v>
      </c>
      <c r="H500" s="59">
        <f>16.088* CHOOSE(CONTROL!$C$27, $C$14, 100%, $E$14)</f>
        <v>16.088000000000001</v>
      </c>
      <c r="I500" s="59">
        <f>16.0929 * CHOOSE(CONTROL!$C$27, $C$14, 100%, $E$14)</f>
        <v>16.0929</v>
      </c>
      <c r="J500" s="59">
        <f>16.088 * CHOOSE(CONTROL!$C$27, $C$14, 100%, $E$14)</f>
        <v>16.088000000000001</v>
      </c>
      <c r="K500" s="59">
        <f>16.0929 * CHOOSE(CONTROL!$C$27, $C$14, 100%, $E$14)</f>
        <v>16.0929</v>
      </c>
      <c r="L500" s="59">
        <f>8.7542 * CHOOSE(CONTROL!$C$27, $C$14, 100%, $E$14)</f>
        <v>8.7542000000000009</v>
      </c>
      <c r="M500" s="59">
        <f>8.7591 * CHOOSE(CONTROL!$C$27, $C$14, 100%, $E$14)</f>
        <v>8.7591000000000001</v>
      </c>
      <c r="N500" s="59">
        <f>8.7542 * CHOOSE(CONTROL!$C$27, $C$14, 100%, $E$14)</f>
        <v>8.7542000000000009</v>
      </c>
      <c r="O500" s="59">
        <f>8.7591 * CHOOSE(CONTROL!$C$27, $C$14, 100%, $E$14)</f>
        <v>8.7591000000000001</v>
      </c>
    </row>
    <row r="501" spans="1:15" ht="15">
      <c r="A501" s="11">
        <v>56340</v>
      </c>
      <c r="B501" s="58">
        <f>7.4046 * CHOOSE(CONTROL!$C$27, $C$14, 100%, $E$14)</f>
        <v>7.4046000000000003</v>
      </c>
      <c r="C501" s="58">
        <f>7.4046 * CHOOSE(CONTROL!$C$27, $C$14, 100%, $E$14)</f>
        <v>7.4046000000000003</v>
      </c>
      <c r="D501" s="58">
        <f>7.4086 * CHOOSE(CONTROL!$C$27, $C$14, 100%, $E$14)</f>
        <v>7.4085999999999999</v>
      </c>
      <c r="E501" s="59">
        <f>8.8727 * CHOOSE(CONTROL!$C$27, $C$14, 100%, $E$14)</f>
        <v>8.8727</v>
      </c>
      <c r="F501" s="59">
        <f>8.8727 * CHOOSE(CONTROL!$C$27, $C$14, 100%, $E$14)</f>
        <v>8.8727</v>
      </c>
      <c r="G501" s="59">
        <f>8.8776 * CHOOSE(CONTROL!$C$27, $C$14, 100%, $E$14)</f>
        <v>8.8775999999999993</v>
      </c>
      <c r="H501" s="59">
        <f>16.1215* CHOOSE(CONTROL!$C$27, $C$14, 100%, $E$14)</f>
        <v>16.121500000000001</v>
      </c>
      <c r="I501" s="59">
        <f>16.1265 * CHOOSE(CONTROL!$C$27, $C$14, 100%, $E$14)</f>
        <v>16.1265</v>
      </c>
      <c r="J501" s="59">
        <f>16.1215 * CHOOSE(CONTROL!$C$27, $C$14, 100%, $E$14)</f>
        <v>16.121500000000001</v>
      </c>
      <c r="K501" s="59">
        <f>16.1265 * CHOOSE(CONTROL!$C$27, $C$14, 100%, $E$14)</f>
        <v>16.1265</v>
      </c>
      <c r="L501" s="59">
        <f>8.8727 * CHOOSE(CONTROL!$C$27, $C$14, 100%, $E$14)</f>
        <v>8.8727</v>
      </c>
      <c r="M501" s="59">
        <f>8.8776 * CHOOSE(CONTROL!$C$27, $C$14, 100%, $E$14)</f>
        <v>8.8775999999999993</v>
      </c>
      <c r="N501" s="59">
        <f>8.8727 * CHOOSE(CONTROL!$C$27, $C$14, 100%, $E$14)</f>
        <v>8.8727</v>
      </c>
      <c r="O501" s="59">
        <f>8.8776 * CHOOSE(CONTROL!$C$27, $C$14, 100%, $E$14)</f>
        <v>8.8775999999999993</v>
      </c>
    </row>
    <row r="502" spans="1:15" ht="15">
      <c r="A502" s="11">
        <v>56370</v>
      </c>
      <c r="B502" s="58">
        <f>7.4046 * CHOOSE(CONTROL!$C$27, $C$14, 100%, $E$14)</f>
        <v>7.4046000000000003</v>
      </c>
      <c r="C502" s="58">
        <f>7.4046 * CHOOSE(CONTROL!$C$27, $C$14, 100%, $E$14)</f>
        <v>7.4046000000000003</v>
      </c>
      <c r="D502" s="58">
        <f>7.4103 * CHOOSE(CONTROL!$C$27, $C$14, 100%, $E$14)</f>
        <v>7.4103000000000003</v>
      </c>
      <c r="E502" s="59">
        <f>8.9187 * CHOOSE(CONTROL!$C$27, $C$14, 100%, $E$14)</f>
        <v>8.9186999999999994</v>
      </c>
      <c r="F502" s="59">
        <f>8.9187 * CHOOSE(CONTROL!$C$27, $C$14, 100%, $E$14)</f>
        <v>8.9186999999999994</v>
      </c>
      <c r="G502" s="59">
        <f>8.9256 * CHOOSE(CONTROL!$C$27, $C$14, 100%, $E$14)</f>
        <v>8.9255999999999993</v>
      </c>
      <c r="H502" s="59">
        <f>16.1551* CHOOSE(CONTROL!$C$27, $C$14, 100%, $E$14)</f>
        <v>16.155100000000001</v>
      </c>
      <c r="I502" s="59">
        <f>16.162 * CHOOSE(CONTROL!$C$27, $C$14, 100%, $E$14)</f>
        <v>16.161999999999999</v>
      </c>
      <c r="J502" s="59">
        <f>16.1551 * CHOOSE(CONTROL!$C$27, $C$14, 100%, $E$14)</f>
        <v>16.155100000000001</v>
      </c>
      <c r="K502" s="59">
        <f>16.162 * CHOOSE(CONTROL!$C$27, $C$14, 100%, $E$14)</f>
        <v>16.161999999999999</v>
      </c>
      <c r="L502" s="59">
        <f>8.9187 * CHOOSE(CONTROL!$C$27, $C$14, 100%, $E$14)</f>
        <v>8.9186999999999994</v>
      </c>
      <c r="M502" s="59">
        <f>8.9256 * CHOOSE(CONTROL!$C$27, $C$14, 100%, $E$14)</f>
        <v>8.9255999999999993</v>
      </c>
      <c r="N502" s="59">
        <f>8.9187 * CHOOSE(CONTROL!$C$27, $C$14, 100%, $E$14)</f>
        <v>8.9186999999999994</v>
      </c>
      <c r="O502" s="59">
        <f>8.9256 * CHOOSE(CONTROL!$C$27, $C$14, 100%, $E$14)</f>
        <v>8.9255999999999993</v>
      </c>
    </row>
    <row r="503" spans="1:15" ht="15">
      <c r="A503" s="11">
        <v>56401</v>
      </c>
      <c r="B503" s="58">
        <f>7.4107 * CHOOSE(CONTROL!$C$27, $C$14, 100%, $E$14)</f>
        <v>7.4107000000000003</v>
      </c>
      <c r="C503" s="58">
        <f>7.4107 * CHOOSE(CONTROL!$C$27, $C$14, 100%, $E$14)</f>
        <v>7.4107000000000003</v>
      </c>
      <c r="D503" s="58">
        <f>7.4163 * CHOOSE(CONTROL!$C$27, $C$14, 100%, $E$14)</f>
        <v>7.4162999999999997</v>
      </c>
      <c r="E503" s="59">
        <f>8.8769 * CHOOSE(CONTROL!$C$27, $C$14, 100%, $E$14)</f>
        <v>8.8768999999999991</v>
      </c>
      <c r="F503" s="59">
        <f>8.8769 * CHOOSE(CONTROL!$C$27, $C$14, 100%, $E$14)</f>
        <v>8.8768999999999991</v>
      </c>
      <c r="G503" s="59">
        <f>8.8838 * CHOOSE(CONTROL!$C$27, $C$14, 100%, $E$14)</f>
        <v>8.8838000000000008</v>
      </c>
      <c r="H503" s="59">
        <f>16.1888* CHOOSE(CONTROL!$C$27, $C$14, 100%, $E$14)</f>
        <v>16.188800000000001</v>
      </c>
      <c r="I503" s="59">
        <f>16.1957 * CHOOSE(CONTROL!$C$27, $C$14, 100%, $E$14)</f>
        <v>16.195699999999999</v>
      </c>
      <c r="J503" s="59">
        <f>16.1888 * CHOOSE(CONTROL!$C$27, $C$14, 100%, $E$14)</f>
        <v>16.188800000000001</v>
      </c>
      <c r="K503" s="59">
        <f>16.1957 * CHOOSE(CONTROL!$C$27, $C$14, 100%, $E$14)</f>
        <v>16.195699999999999</v>
      </c>
      <c r="L503" s="59">
        <f>8.8769 * CHOOSE(CONTROL!$C$27, $C$14, 100%, $E$14)</f>
        <v>8.8768999999999991</v>
      </c>
      <c r="M503" s="59">
        <f>8.8838 * CHOOSE(CONTROL!$C$27, $C$14, 100%, $E$14)</f>
        <v>8.8838000000000008</v>
      </c>
      <c r="N503" s="59">
        <f>8.8769 * CHOOSE(CONTROL!$C$27, $C$14, 100%, $E$14)</f>
        <v>8.8768999999999991</v>
      </c>
      <c r="O503" s="59">
        <f>8.8838 * CHOOSE(CONTROL!$C$27, $C$14, 100%, $E$14)</f>
        <v>8.8838000000000008</v>
      </c>
    </row>
    <row r="504" spans="1:15" ht="15">
      <c r="A504" s="11">
        <v>56431</v>
      </c>
      <c r="B504" s="58">
        <f>7.5277 * CHOOSE(CONTROL!$C$27, $C$14, 100%, $E$14)</f>
        <v>7.5277000000000003</v>
      </c>
      <c r="C504" s="58">
        <f>7.5277 * CHOOSE(CONTROL!$C$27, $C$14, 100%, $E$14)</f>
        <v>7.5277000000000003</v>
      </c>
      <c r="D504" s="58">
        <f>7.5334 * CHOOSE(CONTROL!$C$27, $C$14, 100%, $E$14)</f>
        <v>7.5334000000000003</v>
      </c>
      <c r="E504" s="59">
        <f>9.0233 * CHOOSE(CONTROL!$C$27, $C$14, 100%, $E$14)</f>
        <v>9.0233000000000008</v>
      </c>
      <c r="F504" s="59">
        <f>9.0233 * CHOOSE(CONTROL!$C$27, $C$14, 100%, $E$14)</f>
        <v>9.0233000000000008</v>
      </c>
      <c r="G504" s="59">
        <f>9.0302 * CHOOSE(CONTROL!$C$27, $C$14, 100%, $E$14)</f>
        <v>9.0302000000000007</v>
      </c>
      <c r="H504" s="59">
        <f>16.2225* CHOOSE(CONTROL!$C$27, $C$14, 100%, $E$14)</f>
        <v>16.2225</v>
      </c>
      <c r="I504" s="59">
        <f>16.2294 * CHOOSE(CONTROL!$C$27, $C$14, 100%, $E$14)</f>
        <v>16.229399999999998</v>
      </c>
      <c r="J504" s="59">
        <f>16.2225 * CHOOSE(CONTROL!$C$27, $C$14, 100%, $E$14)</f>
        <v>16.2225</v>
      </c>
      <c r="K504" s="59">
        <f>16.2294 * CHOOSE(CONTROL!$C$27, $C$14, 100%, $E$14)</f>
        <v>16.229399999999998</v>
      </c>
      <c r="L504" s="59">
        <f>9.0233 * CHOOSE(CONTROL!$C$27, $C$14, 100%, $E$14)</f>
        <v>9.0233000000000008</v>
      </c>
      <c r="M504" s="59">
        <f>9.0302 * CHOOSE(CONTROL!$C$27, $C$14, 100%, $E$14)</f>
        <v>9.0302000000000007</v>
      </c>
      <c r="N504" s="59">
        <f>9.0233 * CHOOSE(CONTROL!$C$27, $C$14, 100%, $E$14)</f>
        <v>9.0233000000000008</v>
      </c>
      <c r="O504" s="59">
        <f>9.0302 * CHOOSE(CONTROL!$C$27, $C$14, 100%, $E$14)</f>
        <v>9.0302000000000007</v>
      </c>
    </row>
    <row r="505" spans="1:15" ht="15">
      <c r="A505" s="11">
        <v>56462</v>
      </c>
      <c r="B505" s="58">
        <f>7.5344 * CHOOSE(CONTROL!$C$27, $C$14, 100%, $E$14)</f>
        <v>7.5343999999999998</v>
      </c>
      <c r="C505" s="58">
        <f>7.5344 * CHOOSE(CONTROL!$C$27, $C$14, 100%, $E$14)</f>
        <v>7.5343999999999998</v>
      </c>
      <c r="D505" s="58">
        <f>7.5401 * CHOOSE(CONTROL!$C$27, $C$14, 100%, $E$14)</f>
        <v>7.5400999999999998</v>
      </c>
      <c r="E505" s="59">
        <f>8.8899 * CHOOSE(CONTROL!$C$27, $C$14, 100%, $E$14)</f>
        <v>8.8899000000000008</v>
      </c>
      <c r="F505" s="59">
        <f>8.8899 * CHOOSE(CONTROL!$C$27, $C$14, 100%, $E$14)</f>
        <v>8.8899000000000008</v>
      </c>
      <c r="G505" s="59">
        <f>8.8968 * CHOOSE(CONTROL!$C$27, $C$14, 100%, $E$14)</f>
        <v>8.8968000000000007</v>
      </c>
      <c r="H505" s="59">
        <f>16.2563* CHOOSE(CONTROL!$C$27, $C$14, 100%, $E$14)</f>
        <v>16.2563</v>
      </c>
      <c r="I505" s="59">
        <f>16.2632 * CHOOSE(CONTROL!$C$27, $C$14, 100%, $E$14)</f>
        <v>16.263200000000001</v>
      </c>
      <c r="J505" s="59">
        <f>16.2563 * CHOOSE(CONTROL!$C$27, $C$14, 100%, $E$14)</f>
        <v>16.2563</v>
      </c>
      <c r="K505" s="59">
        <f>16.2632 * CHOOSE(CONTROL!$C$27, $C$14, 100%, $E$14)</f>
        <v>16.263200000000001</v>
      </c>
      <c r="L505" s="59">
        <f>8.8899 * CHOOSE(CONTROL!$C$27, $C$14, 100%, $E$14)</f>
        <v>8.8899000000000008</v>
      </c>
      <c r="M505" s="59">
        <f>8.8968 * CHOOSE(CONTROL!$C$27, $C$14, 100%, $E$14)</f>
        <v>8.8968000000000007</v>
      </c>
      <c r="N505" s="59">
        <f>8.8899 * CHOOSE(CONTROL!$C$27, $C$14, 100%, $E$14)</f>
        <v>8.8899000000000008</v>
      </c>
      <c r="O505" s="59">
        <f>8.8968 * CHOOSE(CONTROL!$C$27, $C$14, 100%, $E$14)</f>
        <v>8.8968000000000007</v>
      </c>
    </row>
    <row r="506" spans="1:15" ht="15">
      <c r="A506" s="11">
        <v>56493</v>
      </c>
      <c r="B506" s="58">
        <f>7.5314 * CHOOSE(CONTROL!$C$27, $C$14, 100%, $E$14)</f>
        <v>7.5313999999999997</v>
      </c>
      <c r="C506" s="58">
        <f>7.5314 * CHOOSE(CONTROL!$C$27, $C$14, 100%, $E$14)</f>
        <v>7.5313999999999997</v>
      </c>
      <c r="D506" s="58">
        <f>7.537 * CHOOSE(CONTROL!$C$27, $C$14, 100%, $E$14)</f>
        <v>7.5369999999999999</v>
      </c>
      <c r="E506" s="59">
        <f>8.8725 * CHOOSE(CONTROL!$C$27, $C$14, 100%, $E$14)</f>
        <v>8.8725000000000005</v>
      </c>
      <c r="F506" s="59">
        <f>8.8725 * CHOOSE(CONTROL!$C$27, $C$14, 100%, $E$14)</f>
        <v>8.8725000000000005</v>
      </c>
      <c r="G506" s="59">
        <f>8.8793 * CHOOSE(CONTROL!$C$27, $C$14, 100%, $E$14)</f>
        <v>8.8793000000000006</v>
      </c>
      <c r="H506" s="59">
        <f>16.2902* CHOOSE(CONTROL!$C$27, $C$14, 100%, $E$14)</f>
        <v>16.290199999999999</v>
      </c>
      <c r="I506" s="59">
        <f>16.2971 * CHOOSE(CONTROL!$C$27, $C$14, 100%, $E$14)</f>
        <v>16.2971</v>
      </c>
      <c r="J506" s="59">
        <f>16.2902 * CHOOSE(CONTROL!$C$27, $C$14, 100%, $E$14)</f>
        <v>16.290199999999999</v>
      </c>
      <c r="K506" s="59">
        <f>16.2971 * CHOOSE(CONTROL!$C$27, $C$14, 100%, $E$14)</f>
        <v>16.2971</v>
      </c>
      <c r="L506" s="59">
        <f>8.8725 * CHOOSE(CONTROL!$C$27, $C$14, 100%, $E$14)</f>
        <v>8.8725000000000005</v>
      </c>
      <c r="M506" s="59">
        <f>8.8793 * CHOOSE(CONTROL!$C$27, $C$14, 100%, $E$14)</f>
        <v>8.8793000000000006</v>
      </c>
      <c r="N506" s="59">
        <f>8.8725 * CHOOSE(CONTROL!$C$27, $C$14, 100%, $E$14)</f>
        <v>8.8725000000000005</v>
      </c>
      <c r="O506" s="59">
        <f>8.8793 * CHOOSE(CONTROL!$C$27, $C$14, 100%, $E$14)</f>
        <v>8.8793000000000006</v>
      </c>
    </row>
    <row r="507" spans="1:15" ht="15">
      <c r="A507" s="11">
        <v>56523</v>
      </c>
      <c r="B507" s="58">
        <f>7.5381 * CHOOSE(CONTROL!$C$27, $C$14, 100%, $E$14)</f>
        <v>7.5381</v>
      </c>
      <c r="C507" s="58">
        <f>7.5381 * CHOOSE(CONTROL!$C$27, $C$14, 100%, $E$14)</f>
        <v>7.5381</v>
      </c>
      <c r="D507" s="58">
        <f>7.5421 * CHOOSE(CONTROL!$C$27, $C$14, 100%, $E$14)</f>
        <v>7.5420999999999996</v>
      </c>
      <c r="E507" s="59">
        <f>8.9204 * CHOOSE(CONTROL!$C$27, $C$14, 100%, $E$14)</f>
        <v>8.9204000000000008</v>
      </c>
      <c r="F507" s="59">
        <f>8.9204 * CHOOSE(CONTROL!$C$27, $C$14, 100%, $E$14)</f>
        <v>8.9204000000000008</v>
      </c>
      <c r="G507" s="59">
        <f>8.9253 * CHOOSE(CONTROL!$C$27, $C$14, 100%, $E$14)</f>
        <v>8.9253</v>
      </c>
      <c r="H507" s="59">
        <f>16.3241* CHOOSE(CONTROL!$C$27, $C$14, 100%, $E$14)</f>
        <v>16.324100000000001</v>
      </c>
      <c r="I507" s="59">
        <f>16.329 * CHOOSE(CONTROL!$C$27, $C$14, 100%, $E$14)</f>
        <v>16.329000000000001</v>
      </c>
      <c r="J507" s="59">
        <f>16.3241 * CHOOSE(CONTROL!$C$27, $C$14, 100%, $E$14)</f>
        <v>16.324100000000001</v>
      </c>
      <c r="K507" s="59">
        <f>16.329 * CHOOSE(CONTROL!$C$27, $C$14, 100%, $E$14)</f>
        <v>16.329000000000001</v>
      </c>
      <c r="L507" s="59">
        <f>8.9204 * CHOOSE(CONTROL!$C$27, $C$14, 100%, $E$14)</f>
        <v>8.9204000000000008</v>
      </c>
      <c r="M507" s="59">
        <f>8.9253 * CHOOSE(CONTROL!$C$27, $C$14, 100%, $E$14)</f>
        <v>8.9253</v>
      </c>
      <c r="N507" s="59">
        <f>8.9204 * CHOOSE(CONTROL!$C$27, $C$14, 100%, $E$14)</f>
        <v>8.9204000000000008</v>
      </c>
      <c r="O507" s="59">
        <f>8.9253 * CHOOSE(CONTROL!$C$27, $C$14, 100%, $E$14)</f>
        <v>8.9253</v>
      </c>
    </row>
    <row r="508" spans="1:15" ht="15">
      <c r="A508" s="11">
        <v>56554</v>
      </c>
      <c r="B508" s="58">
        <f>7.5411 * CHOOSE(CONTROL!$C$27, $C$14, 100%, $E$14)</f>
        <v>7.5411000000000001</v>
      </c>
      <c r="C508" s="58">
        <f>7.5411 * CHOOSE(CONTROL!$C$27, $C$14, 100%, $E$14)</f>
        <v>7.5411000000000001</v>
      </c>
      <c r="D508" s="58">
        <f>7.5451 * CHOOSE(CONTROL!$C$27, $C$14, 100%, $E$14)</f>
        <v>7.5450999999999997</v>
      </c>
      <c r="E508" s="59">
        <f>8.9532 * CHOOSE(CONTROL!$C$27, $C$14, 100%, $E$14)</f>
        <v>8.9532000000000007</v>
      </c>
      <c r="F508" s="59">
        <f>8.9532 * CHOOSE(CONTROL!$C$27, $C$14, 100%, $E$14)</f>
        <v>8.9532000000000007</v>
      </c>
      <c r="G508" s="59">
        <f>8.9581 * CHOOSE(CONTROL!$C$27, $C$14, 100%, $E$14)</f>
        <v>8.9581</v>
      </c>
      <c r="H508" s="59">
        <f>16.3581* CHOOSE(CONTROL!$C$27, $C$14, 100%, $E$14)</f>
        <v>16.3581</v>
      </c>
      <c r="I508" s="59">
        <f>16.363 * CHOOSE(CONTROL!$C$27, $C$14, 100%, $E$14)</f>
        <v>16.363</v>
      </c>
      <c r="J508" s="59">
        <f>16.3581 * CHOOSE(CONTROL!$C$27, $C$14, 100%, $E$14)</f>
        <v>16.3581</v>
      </c>
      <c r="K508" s="59">
        <f>16.363 * CHOOSE(CONTROL!$C$27, $C$14, 100%, $E$14)</f>
        <v>16.363</v>
      </c>
      <c r="L508" s="59">
        <f>8.9532 * CHOOSE(CONTROL!$C$27, $C$14, 100%, $E$14)</f>
        <v>8.9532000000000007</v>
      </c>
      <c r="M508" s="59">
        <f>8.9581 * CHOOSE(CONTROL!$C$27, $C$14, 100%, $E$14)</f>
        <v>8.9581</v>
      </c>
      <c r="N508" s="59">
        <f>8.9532 * CHOOSE(CONTROL!$C$27, $C$14, 100%, $E$14)</f>
        <v>8.9532000000000007</v>
      </c>
      <c r="O508" s="59">
        <f>8.9581 * CHOOSE(CONTROL!$C$27, $C$14, 100%, $E$14)</f>
        <v>8.9581</v>
      </c>
    </row>
    <row r="509" spans="1:15" ht="15">
      <c r="A509" s="11">
        <v>56584</v>
      </c>
      <c r="B509" s="58">
        <f>7.5411 * CHOOSE(CONTROL!$C$27, $C$14, 100%, $E$14)</f>
        <v>7.5411000000000001</v>
      </c>
      <c r="C509" s="58">
        <f>7.5411 * CHOOSE(CONTROL!$C$27, $C$14, 100%, $E$14)</f>
        <v>7.5411000000000001</v>
      </c>
      <c r="D509" s="58">
        <f>7.5451 * CHOOSE(CONTROL!$C$27, $C$14, 100%, $E$14)</f>
        <v>7.5450999999999997</v>
      </c>
      <c r="E509" s="59">
        <f>8.8765 * CHOOSE(CONTROL!$C$27, $C$14, 100%, $E$14)</f>
        <v>8.8765000000000001</v>
      </c>
      <c r="F509" s="59">
        <f>8.8765 * CHOOSE(CONTROL!$C$27, $C$14, 100%, $E$14)</f>
        <v>8.8765000000000001</v>
      </c>
      <c r="G509" s="59">
        <f>8.8814 * CHOOSE(CONTROL!$C$27, $C$14, 100%, $E$14)</f>
        <v>8.8813999999999993</v>
      </c>
      <c r="H509" s="59">
        <f>16.3922* CHOOSE(CONTROL!$C$27, $C$14, 100%, $E$14)</f>
        <v>16.392199999999999</v>
      </c>
      <c r="I509" s="59">
        <f>16.3971 * CHOOSE(CONTROL!$C$27, $C$14, 100%, $E$14)</f>
        <v>16.397099999999998</v>
      </c>
      <c r="J509" s="59">
        <f>16.3922 * CHOOSE(CONTROL!$C$27, $C$14, 100%, $E$14)</f>
        <v>16.392199999999999</v>
      </c>
      <c r="K509" s="59">
        <f>16.3971 * CHOOSE(CONTROL!$C$27, $C$14, 100%, $E$14)</f>
        <v>16.397099999999998</v>
      </c>
      <c r="L509" s="59">
        <f>8.8765 * CHOOSE(CONTROL!$C$27, $C$14, 100%, $E$14)</f>
        <v>8.8765000000000001</v>
      </c>
      <c r="M509" s="59">
        <f>8.8814 * CHOOSE(CONTROL!$C$27, $C$14, 100%, $E$14)</f>
        <v>8.8813999999999993</v>
      </c>
      <c r="N509" s="59">
        <f>8.8765 * CHOOSE(CONTROL!$C$27, $C$14, 100%, $E$14)</f>
        <v>8.8765000000000001</v>
      </c>
      <c r="O509" s="59">
        <f>8.8814 * CHOOSE(CONTROL!$C$27, $C$14, 100%, $E$14)</f>
        <v>8.8813999999999993</v>
      </c>
    </row>
    <row r="510" spans="1:15" ht="15">
      <c r="A510" s="11">
        <v>56615</v>
      </c>
      <c r="B510" s="58">
        <f>7.606 * CHOOSE(CONTROL!$C$27, $C$14, 100%, $E$14)</f>
        <v>7.6059999999999999</v>
      </c>
      <c r="C510" s="58">
        <f>7.606 * CHOOSE(CONTROL!$C$27, $C$14, 100%, $E$14)</f>
        <v>7.6059999999999999</v>
      </c>
      <c r="D510" s="58">
        <f>7.61 * CHOOSE(CONTROL!$C$27, $C$14, 100%, $E$14)</f>
        <v>7.61</v>
      </c>
      <c r="E510" s="59">
        <f>9.004 * CHOOSE(CONTROL!$C$27, $C$14, 100%, $E$14)</f>
        <v>9.0039999999999996</v>
      </c>
      <c r="F510" s="59">
        <f>9.004 * CHOOSE(CONTROL!$C$27, $C$14, 100%, $E$14)</f>
        <v>9.0039999999999996</v>
      </c>
      <c r="G510" s="59">
        <f>9.0089 * CHOOSE(CONTROL!$C$27, $C$14, 100%, $E$14)</f>
        <v>9.0089000000000006</v>
      </c>
      <c r="H510" s="59">
        <f>16.4263* CHOOSE(CONTROL!$C$27, $C$14, 100%, $E$14)</f>
        <v>16.426300000000001</v>
      </c>
      <c r="I510" s="59">
        <f>16.4313 * CHOOSE(CONTROL!$C$27, $C$14, 100%, $E$14)</f>
        <v>16.4313</v>
      </c>
      <c r="J510" s="59">
        <f>16.4263 * CHOOSE(CONTROL!$C$27, $C$14, 100%, $E$14)</f>
        <v>16.426300000000001</v>
      </c>
      <c r="K510" s="59">
        <f>16.4313 * CHOOSE(CONTROL!$C$27, $C$14, 100%, $E$14)</f>
        <v>16.4313</v>
      </c>
      <c r="L510" s="59">
        <f>9.004 * CHOOSE(CONTROL!$C$27, $C$14, 100%, $E$14)</f>
        <v>9.0039999999999996</v>
      </c>
      <c r="M510" s="59">
        <f>9.0089 * CHOOSE(CONTROL!$C$27, $C$14, 100%, $E$14)</f>
        <v>9.0089000000000006</v>
      </c>
      <c r="N510" s="59">
        <f>9.004 * CHOOSE(CONTROL!$C$27, $C$14, 100%, $E$14)</f>
        <v>9.0039999999999996</v>
      </c>
      <c r="O510" s="59">
        <f>9.0089 * CHOOSE(CONTROL!$C$27, $C$14, 100%, $E$14)</f>
        <v>9.0089000000000006</v>
      </c>
    </row>
    <row r="511" spans="1:15" ht="15">
      <c r="A511" s="11">
        <v>56646</v>
      </c>
      <c r="B511" s="58">
        <f>7.603 * CHOOSE(CONTROL!$C$27, $C$14, 100%, $E$14)</f>
        <v>7.6029999999999998</v>
      </c>
      <c r="C511" s="58">
        <f>7.603 * CHOOSE(CONTROL!$C$27, $C$14, 100%, $E$14)</f>
        <v>7.6029999999999998</v>
      </c>
      <c r="D511" s="58">
        <f>7.607 * CHOOSE(CONTROL!$C$27, $C$14, 100%, $E$14)</f>
        <v>7.6070000000000002</v>
      </c>
      <c r="E511" s="59">
        <f>8.8528 * CHOOSE(CONTROL!$C$27, $C$14, 100%, $E$14)</f>
        <v>8.8528000000000002</v>
      </c>
      <c r="F511" s="59">
        <f>8.8528 * CHOOSE(CONTROL!$C$27, $C$14, 100%, $E$14)</f>
        <v>8.8528000000000002</v>
      </c>
      <c r="G511" s="59">
        <f>8.8578 * CHOOSE(CONTROL!$C$27, $C$14, 100%, $E$14)</f>
        <v>8.8577999999999992</v>
      </c>
      <c r="H511" s="59">
        <f>16.4606* CHOOSE(CONTROL!$C$27, $C$14, 100%, $E$14)</f>
        <v>16.460599999999999</v>
      </c>
      <c r="I511" s="59">
        <f>16.4655 * CHOOSE(CONTROL!$C$27, $C$14, 100%, $E$14)</f>
        <v>16.465499999999999</v>
      </c>
      <c r="J511" s="59">
        <f>16.4606 * CHOOSE(CONTROL!$C$27, $C$14, 100%, $E$14)</f>
        <v>16.460599999999999</v>
      </c>
      <c r="K511" s="59">
        <f>16.4655 * CHOOSE(CONTROL!$C$27, $C$14, 100%, $E$14)</f>
        <v>16.465499999999999</v>
      </c>
      <c r="L511" s="59">
        <f>8.8528 * CHOOSE(CONTROL!$C$27, $C$14, 100%, $E$14)</f>
        <v>8.8528000000000002</v>
      </c>
      <c r="M511" s="59">
        <f>8.8578 * CHOOSE(CONTROL!$C$27, $C$14, 100%, $E$14)</f>
        <v>8.8577999999999992</v>
      </c>
      <c r="N511" s="59">
        <f>8.8528 * CHOOSE(CONTROL!$C$27, $C$14, 100%, $E$14)</f>
        <v>8.8528000000000002</v>
      </c>
      <c r="O511" s="59">
        <f>8.8578 * CHOOSE(CONTROL!$C$27, $C$14, 100%, $E$14)</f>
        <v>8.8577999999999992</v>
      </c>
    </row>
    <row r="512" spans="1:15" ht="15">
      <c r="A512" s="11">
        <v>56674</v>
      </c>
      <c r="B512" s="58">
        <f>7.6 * CHOOSE(CONTROL!$C$27, $C$14, 100%, $E$14)</f>
        <v>7.6</v>
      </c>
      <c r="C512" s="58">
        <f>7.6 * CHOOSE(CONTROL!$C$27, $C$14, 100%, $E$14)</f>
        <v>7.6</v>
      </c>
      <c r="D512" s="58">
        <f>7.6039 * CHOOSE(CONTROL!$C$27, $C$14, 100%, $E$14)</f>
        <v>7.6039000000000003</v>
      </c>
      <c r="E512" s="59">
        <f>8.9682 * CHOOSE(CONTROL!$C$27, $C$14, 100%, $E$14)</f>
        <v>8.9681999999999995</v>
      </c>
      <c r="F512" s="59">
        <f>8.9682 * CHOOSE(CONTROL!$C$27, $C$14, 100%, $E$14)</f>
        <v>8.9681999999999995</v>
      </c>
      <c r="G512" s="59">
        <f>8.9731 * CHOOSE(CONTROL!$C$27, $C$14, 100%, $E$14)</f>
        <v>8.9731000000000005</v>
      </c>
      <c r="H512" s="59">
        <f>16.4949* CHOOSE(CONTROL!$C$27, $C$14, 100%, $E$14)</f>
        <v>16.494900000000001</v>
      </c>
      <c r="I512" s="59">
        <f>16.4998 * CHOOSE(CONTROL!$C$27, $C$14, 100%, $E$14)</f>
        <v>16.4998</v>
      </c>
      <c r="J512" s="59">
        <f>16.4949 * CHOOSE(CONTROL!$C$27, $C$14, 100%, $E$14)</f>
        <v>16.494900000000001</v>
      </c>
      <c r="K512" s="59">
        <f>16.4998 * CHOOSE(CONTROL!$C$27, $C$14, 100%, $E$14)</f>
        <v>16.4998</v>
      </c>
      <c r="L512" s="59">
        <f>8.9682 * CHOOSE(CONTROL!$C$27, $C$14, 100%, $E$14)</f>
        <v>8.9681999999999995</v>
      </c>
      <c r="M512" s="59">
        <f>8.9731 * CHOOSE(CONTROL!$C$27, $C$14, 100%, $E$14)</f>
        <v>8.9731000000000005</v>
      </c>
      <c r="N512" s="59">
        <f>8.9682 * CHOOSE(CONTROL!$C$27, $C$14, 100%, $E$14)</f>
        <v>8.9681999999999995</v>
      </c>
      <c r="O512" s="59">
        <f>8.9731 * CHOOSE(CONTROL!$C$27, $C$14, 100%, $E$14)</f>
        <v>8.9731000000000005</v>
      </c>
    </row>
    <row r="513" spans="1:15" ht="15">
      <c r="A513" s="11">
        <v>56705</v>
      </c>
      <c r="B513" s="58">
        <f>7.6007 * CHOOSE(CONTROL!$C$27, $C$14, 100%, $E$14)</f>
        <v>7.6006999999999998</v>
      </c>
      <c r="C513" s="58">
        <f>7.6007 * CHOOSE(CONTROL!$C$27, $C$14, 100%, $E$14)</f>
        <v>7.6006999999999998</v>
      </c>
      <c r="D513" s="58">
        <f>7.6047 * CHOOSE(CONTROL!$C$27, $C$14, 100%, $E$14)</f>
        <v>7.6047000000000002</v>
      </c>
      <c r="E513" s="59">
        <f>9.0901 * CHOOSE(CONTROL!$C$27, $C$14, 100%, $E$14)</f>
        <v>9.0900999999999996</v>
      </c>
      <c r="F513" s="59">
        <f>9.0901 * CHOOSE(CONTROL!$C$27, $C$14, 100%, $E$14)</f>
        <v>9.0900999999999996</v>
      </c>
      <c r="G513" s="59">
        <f>9.0951 * CHOOSE(CONTROL!$C$27, $C$14, 100%, $E$14)</f>
        <v>9.0951000000000004</v>
      </c>
      <c r="H513" s="59">
        <f>16.5292* CHOOSE(CONTROL!$C$27, $C$14, 100%, $E$14)</f>
        <v>16.529199999999999</v>
      </c>
      <c r="I513" s="59">
        <f>16.5341 * CHOOSE(CONTROL!$C$27, $C$14, 100%, $E$14)</f>
        <v>16.534099999999999</v>
      </c>
      <c r="J513" s="59">
        <f>16.5292 * CHOOSE(CONTROL!$C$27, $C$14, 100%, $E$14)</f>
        <v>16.529199999999999</v>
      </c>
      <c r="K513" s="59">
        <f>16.5341 * CHOOSE(CONTROL!$C$27, $C$14, 100%, $E$14)</f>
        <v>16.534099999999999</v>
      </c>
      <c r="L513" s="59">
        <f>9.0901 * CHOOSE(CONTROL!$C$27, $C$14, 100%, $E$14)</f>
        <v>9.0900999999999996</v>
      </c>
      <c r="M513" s="59">
        <f>9.0951 * CHOOSE(CONTROL!$C$27, $C$14, 100%, $E$14)</f>
        <v>9.0951000000000004</v>
      </c>
      <c r="N513" s="59">
        <f>9.0901 * CHOOSE(CONTROL!$C$27, $C$14, 100%, $E$14)</f>
        <v>9.0900999999999996</v>
      </c>
      <c r="O513" s="59">
        <f>9.0951 * CHOOSE(CONTROL!$C$27, $C$14, 100%, $E$14)</f>
        <v>9.0951000000000004</v>
      </c>
    </row>
    <row r="514" spans="1:15" ht="15">
      <c r="A514" s="11">
        <v>56735</v>
      </c>
      <c r="B514" s="58">
        <f>7.6007 * CHOOSE(CONTROL!$C$27, $C$14, 100%, $E$14)</f>
        <v>7.6006999999999998</v>
      </c>
      <c r="C514" s="58">
        <f>7.6007 * CHOOSE(CONTROL!$C$27, $C$14, 100%, $E$14)</f>
        <v>7.6006999999999998</v>
      </c>
      <c r="D514" s="58">
        <f>7.6063 * CHOOSE(CONTROL!$C$27, $C$14, 100%, $E$14)</f>
        <v>7.6063000000000001</v>
      </c>
      <c r="E514" s="59">
        <f>9.1375 * CHOOSE(CONTROL!$C$27, $C$14, 100%, $E$14)</f>
        <v>9.1374999999999993</v>
      </c>
      <c r="F514" s="59">
        <f>9.1375 * CHOOSE(CONTROL!$C$27, $C$14, 100%, $E$14)</f>
        <v>9.1374999999999993</v>
      </c>
      <c r="G514" s="59">
        <f>9.1444 * CHOOSE(CONTROL!$C$27, $C$14, 100%, $E$14)</f>
        <v>9.1443999999999992</v>
      </c>
      <c r="H514" s="59">
        <f>16.5637* CHOOSE(CONTROL!$C$27, $C$14, 100%, $E$14)</f>
        <v>16.563700000000001</v>
      </c>
      <c r="I514" s="59">
        <f>16.5705 * CHOOSE(CONTROL!$C$27, $C$14, 100%, $E$14)</f>
        <v>16.570499999999999</v>
      </c>
      <c r="J514" s="59">
        <f>16.5637 * CHOOSE(CONTROL!$C$27, $C$14, 100%, $E$14)</f>
        <v>16.563700000000001</v>
      </c>
      <c r="K514" s="59">
        <f>16.5705 * CHOOSE(CONTROL!$C$27, $C$14, 100%, $E$14)</f>
        <v>16.570499999999999</v>
      </c>
      <c r="L514" s="59">
        <f>9.1375 * CHOOSE(CONTROL!$C$27, $C$14, 100%, $E$14)</f>
        <v>9.1374999999999993</v>
      </c>
      <c r="M514" s="59">
        <f>9.1444 * CHOOSE(CONTROL!$C$27, $C$14, 100%, $E$14)</f>
        <v>9.1443999999999992</v>
      </c>
      <c r="N514" s="59">
        <f>9.1375 * CHOOSE(CONTROL!$C$27, $C$14, 100%, $E$14)</f>
        <v>9.1374999999999993</v>
      </c>
      <c r="O514" s="59">
        <f>9.1444 * CHOOSE(CONTROL!$C$27, $C$14, 100%, $E$14)</f>
        <v>9.1443999999999992</v>
      </c>
    </row>
    <row r="515" spans="1:15" ht="15">
      <c r="A515" s="11">
        <v>56766</v>
      </c>
      <c r="B515" s="58">
        <f>7.6068 * CHOOSE(CONTROL!$C$27, $C$14, 100%, $E$14)</f>
        <v>7.6067999999999998</v>
      </c>
      <c r="C515" s="58">
        <f>7.6068 * CHOOSE(CONTROL!$C$27, $C$14, 100%, $E$14)</f>
        <v>7.6067999999999998</v>
      </c>
      <c r="D515" s="58">
        <f>7.6124 * CHOOSE(CONTROL!$C$27, $C$14, 100%, $E$14)</f>
        <v>7.6124000000000001</v>
      </c>
      <c r="E515" s="59">
        <f>9.0944 * CHOOSE(CONTROL!$C$27, $C$14, 100%, $E$14)</f>
        <v>9.0944000000000003</v>
      </c>
      <c r="F515" s="59">
        <f>9.0944 * CHOOSE(CONTROL!$C$27, $C$14, 100%, $E$14)</f>
        <v>9.0944000000000003</v>
      </c>
      <c r="G515" s="59">
        <f>9.1013 * CHOOSE(CONTROL!$C$27, $C$14, 100%, $E$14)</f>
        <v>9.1013000000000002</v>
      </c>
      <c r="H515" s="59">
        <f>16.5982* CHOOSE(CONTROL!$C$27, $C$14, 100%, $E$14)</f>
        <v>16.598199999999999</v>
      </c>
      <c r="I515" s="59">
        <f>16.6051 * CHOOSE(CONTROL!$C$27, $C$14, 100%, $E$14)</f>
        <v>16.6051</v>
      </c>
      <c r="J515" s="59">
        <f>16.5982 * CHOOSE(CONTROL!$C$27, $C$14, 100%, $E$14)</f>
        <v>16.598199999999999</v>
      </c>
      <c r="K515" s="59">
        <f>16.6051 * CHOOSE(CONTROL!$C$27, $C$14, 100%, $E$14)</f>
        <v>16.6051</v>
      </c>
      <c r="L515" s="59">
        <f>9.0944 * CHOOSE(CONTROL!$C$27, $C$14, 100%, $E$14)</f>
        <v>9.0944000000000003</v>
      </c>
      <c r="M515" s="59">
        <f>9.1013 * CHOOSE(CONTROL!$C$27, $C$14, 100%, $E$14)</f>
        <v>9.1013000000000002</v>
      </c>
      <c r="N515" s="59">
        <f>9.0944 * CHOOSE(CONTROL!$C$27, $C$14, 100%, $E$14)</f>
        <v>9.0944000000000003</v>
      </c>
      <c r="O515" s="59">
        <f>9.1013 * CHOOSE(CONTROL!$C$27, $C$14, 100%, $E$14)</f>
        <v>9.1013000000000002</v>
      </c>
    </row>
    <row r="516" spans="1:15" ht="15">
      <c r="A516" s="11">
        <v>56796</v>
      </c>
      <c r="B516" s="58">
        <f>7.7266 * CHOOSE(CONTROL!$C$27, $C$14, 100%, $E$14)</f>
        <v>7.7266000000000004</v>
      </c>
      <c r="C516" s="58">
        <f>7.7266 * CHOOSE(CONTROL!$C$27, $C$14, 100%, $E$14)</f>
        <v>7.7266000000000004</v>
      </c>
      <c r="D516" s="58">
        <f>7.7322 * CHOOSE(CONTROL!$C$27, $C$14, 100%, $E$14)</f>
        <v>7.7321999999999997</v>
      </c>
      <c r="E516" s="59">
        <f>9.2441 * CHOOSE(CONTROL!$C$27, $C$14, 100%, $E$14)</f>
        <v>9.2440999999999995</v>
      </c>
      <c r="F516" s="59">
        <f>9.2441 * CHOOSE(CONTROL!$C$27, $C$14, 100%, $E$14)</f>
        <v>9.2440999999999995</v>
      </c>
      <c r="G516" s="59">
        <f>9.251 * CHOOSE(CONTROL!$C$27, $C$14, 100%, $E$14)</f>
        <v>9.2509999999999994</v>
      </c>
      <c r="H516" s="59">
        <f>16.6327* CHOOSE(CONTROL!$C$27, $C$14, 100%, $E$14)</f>
        <v>16.6327</v>
      </c>
      <c r="I516" s="59">
        <f>16.6396 * CHOOSE(CONTROL!$C$27, $C$14, 100%, $E$14)</f>
        <v>16.639600000000002</v>
      </c>
      <c r="J516" s="59">
        <f>16.6327 * CHOOSE(CONTROL!$C$27, $C$14, 100%, $E$14)</f>
        <v>16.6327</v>
      </c>
      <c r="K516" s="59">
        <f>16.6396 * CHOOSE(CONTROL!$C$27, $C$14, 100%, $E$14)</f>
        <v>16.639600000000002</v>
      </c>
      <c r="L516" s="59">
        <f>9.2441 * CHOOSE(CONTROL!$C$27, $C$14, 100%, $E$14)</f>
        <v>9.2440999999999995</v>
      </c>
      <c r="M516" s="59">
        <f>9.251 * CHOOSE(CONTROL!$C$27, $C$14, 100%, $E$14)</f>
        <v>9.2509999999999994</v>
      </c>
      <c r="N516" s="59">
        <f>9.2441 * CHOOSE(CONTROL!$C$27, $C$14, 100%, $E$14)</f>
        <v>9.2440999999999995</v>
      </c>
      <c r="O516" s="59">
        <f>9.251 * CHOOSE(CONTROL!$C$27, $C$14, 100%, $E$14)</f>
        <v>9.2509999999999994</v>
      </c>
    </row>
    <row r="517" spans="1:15" ht="15">
      <c r="A517" s="11">
        <v>56827</v>
      </c>
      <c r="B517" s="58">
        <f>7.7333 * CHOOSE(CONTROL!$C$27, $C$14, 100%, $E$14)</f>
        <v>7.7332999999999998</v>
      </c>
      <c r="C517" s="58">
        <f>7.7333 * CHOOSE(CONTROL!$C$27, $C$14, 100%, $E$14)</f>
        <v>7.7332999999999998</v>
      </c>
      <c r="D517" s="58">
        <f>7.7389 * CHOOSE(CONTROL!$C$27, $C$14, 100%, $E$14)</f>
        <v>7.7389000000000001</v>
      </c>
      <c r="E517" s="59">
        <f>9.1068 * CHOOSE(CONTROL!$C$27, $C$14, 100%, $E$14)</f>
        <v>9.1067999999999998</v>
      </c>
      <c r="F517" s="59">
        <f>9.1068 * CHOOSE(CONTROL!$C$27, $C$14, 100%, $E$14)</f>
        <v>9.1067999999999998</v>
      </c>
      <c r="G517" s="59">
        <f>9.1137 * CHOOSE(CONTROL!$C$27, $C$14, 100%, $E$14)</f>
        <v>9.1136999999999997</v>
      </c>
      <c r="H517" s="59">
        <f>16.6674* CHOOSE(CONTROL!$C$27, $C$14, 100%, $E$14)</f>
        <v>16.667400000000001</v>
      </c>
      <c r="I517" s="59">
        <f>16.6743 * CHOOSE(CONTROL!$C$27, $C$14, 100%, $E$14)</f>
        <v>16.674299999999999</v>
      </c>
      <c r="J517" s="59">
        <f>16.6674 * CHOOSE(CONTROL!$C$27, $C$14, 100%, $E$14)</f>
        <v>16.667400000000001</v>
      </c>
      <c r="K517" s="59">
        <f>16.6743 * CHOOSE(CONTROL!$C$27, $C$14, 100%, $E$14)</f>
        <v>16.674299999999999</v>
      </c>
      <c r="L517" s="59">
        <f>9.1068 * CHOOSE(CONTROL!$C$27, $C$14, 100%, $E$14)</f>
        <v>9.1067999999999998</v>
      </c>
      <c r="M517" s="59">
        <f>9.1137 * CHOOSE(CONTROL!$C$27, $C$14, 100%, $E$14)</f>
        <v>9.1136999999999997</v>
      </c>
      <c r="N517" s="59">
        <f>9.1068 * CHOOSE(CONTROL!$C$27, $C$14, 100%, $E$14)</f>
        <v>9.1067999999999998</v>
      </c>
      <c r="O517" s="59">
        <f>9.1137 * CHOOSE(CONTROL!$C$27, $C$14, 100%, $E$14)</f>
        <v>9.1136999999999997</v>
      </c>
    </row>
    <row r="518" spans="1:15" ht="15">
      <c r="A518" s="11">
        <v>56858</v>
      </c>
      <c r="B518" s="58">
        <f>7.7303 * CHOOSE(CONTROL!$C$27, $C$14, 100%, $E$14)</f>
        <v>7.7302999999999997</v>
      </c>
      <c r="C518" s="58">
        <f>7.7303 * CHOOSE(CONTROL!$C$27, $C$14, 100%, $E$14)</f>
        <v>7.7302999999999997</v>
      </c>
      <c r="D518" s="58">
        <f>7.7359 * CHOOSE(CONTROL!$C$27, $C$14, 100%, $E$14)</f>
        <v>7.7359</v>
      </c>
      <c r="E518" s="59">
        <f>9.089 * CHOOSE(CONTROL!$C$27, $C$14, 100%, $E$14)</f>
        <v>9.0890000000000004</v>
      </c>
      <c r="F518" s="59">
        <f>9.089 * CHOOSE(CONTROL!$C$27, $C$14, 100%, $E$14)</f>
        <v>9.0890000000000004</v>
      </c>
      <c r="G518" s="59">
        <f>9.0958 * CHOOSE(CONTROL!$C$27, $C$14, 100%, $E$14)</f>
        <v>9.0958000000000006</v>
      </c>
      <c r="H518" s="59">
        <f>16.7021* CHOOSE(CONTROL!$C$27, $C$14, 100%, $E$14)</f>
        <v>16.702100000000002</v>
      </c>
      <c r="I518" s="59">
        <f>16.709 * CHOOSE(CONTROL!$C$27, $C$14, 100%, $E$14)</f>
        <v>16.709</v>
      </c>
      <c r="J518" s="59">
        <f>16.7021 * CHOOSE(CONTROL!$C$27, $C$14, 100%, $E$14)</f>
        <v>16.702100000000002</v>
      </c>
      <c r="K518" s="59">
        <f>16.709 * CHOOSE(CONTROL!$C$27, $C$14, 100%, $E$14)</f>
        <v>16.709</v>
      </c>
      <c r="L518" s="59">
        <f>9.089 * CHOOSE(CONTROL!$C$27, $C$14, 100%, $E$14)</f>
        <v>9.0890000000000004</v>
      </c>
      <c r="M518" s="59">
        <f>9.0958 * CHOOSE(CONTROL!$C$27, $C$14, 100%, $E$14)</f>
        <v>9.0958000000000006</v>
      </c>
      <c r="N518" s="59">
        <f>9.089 * CHOOSE(CONTROL!$C$27, $C$14, 100%, $E$14)</f>
        <v>9.0890000000000004</v>
      </c>
      <c r="O518" s="59">
        <f>9.0958 * CHOOSE(CONTROL!$C$27, $C$14, 100%, $E$14)</f>
        <v>9.0958000000000006</v>
      </c>
    </row>
    <row r="519" spans="1:15" ht="15">
      <c r="A519" s="11">
        <v>56888</v>
      </c>
      <c r="B519" s="58">
        <f>7.7376 * CHOOSE(CONTROL!$C$27, $C$14, 100%, $E$14)</f>
        <v>7.7375999999999996</v>
      </c>
      <c r="C519" s="58">
        <f>7.7376 * CHOOSE(CONTROL!$C$27, $C$14, 100%, $E$14)</f>
        <v>7.7375999999999996</v>
      </c>
      <c r="D519" s="58">
        <f>7.7416 * CHOOSE(CONTROL!$C$27, $C$14, 100%, $E$14)</f>
        <v>7.7416</v>
      </c>
      <c r="E519" s="59">
        <f>9.1386 * CHOOSE(CONTROL!$C$27, $C$14, 100%, $E$14)</f>
        <v>9.1386000000000003</v>
      </c>
      <c r="F519" s="59">
        <f>9.1386 * CHOOSE(CONTROL!$C$27, $C$14, 100%, $E$14)</f>
        <v>9.1386000000000003</v>
      </c>
      <c r="G519" s="59">
        <f>9.1435 * CHOOSE(CONTROL!$C$27, $C$14, 100%, $E$14)</f>
        <v>9.1434999999999995</v>
      </c>
      <c r="H519" s="59">
        <f>16.7369* CHOOSE(CONTROL!$C$27, $C$14, 100%, $E$14)</f>
        <v>16.736899999999999</v>
      </c>
      <c r="I519" s="59">
        <f>16.7418 * CHOOSE(CONTROL!$C$27, $C$14, 100%, $E$14)</f>
        <v>16.741800000000001</v>
      </c>
      <c r="J519" s="59">
        <f>16.7369 * CHOOSE(CONTROL!$C$27, $C$14, 100%, $E$14)</f>
        <v>16.736899999999999</v>
      </c>
      <c r="K519" s="59">
        <f>16.7418 * CHOOSE(CONTROL!$C$27, $C$14, 100%, $E$14)</f>
        <v>16.741800000000001</v>
      </c>
      <c r="L519" s="59">
        <f>9.1386 * CHOOSE(CONTROL!$C$27, $C$14, 100%, $E$14)</f>
        <v>9.1386000000000003</v>
      </c>
      <c r="M519" s="59">
        <f>9.1435 * CHOOSE(CONTROL!$C$27, $C$14, 100%, $E$14)</f>
        <v>9.1434999999999995</v>
      </c>
      <c r="N519" s="59">
        <f>9.1386 * CHOOSE(CONTROL!$C$27, $C$14, 100%, $E$14)</f>
        <v>9.1386000000000003</v>
      </c>
      <c r="O519" s="59">
        <f>9.1435 * CHOOSE(CONTROL!$C$27, $C$14, 100%, $E$14)</f>
        <v>9.1434999999999995</v>
      </c>
    </row>
    <row r="520" spans="1:15" ht="15">
      <c r="A520" s="11">
        <v>56919</v>
      </c>
      <c r="B520" s="58">
        <f>7.7406 * CHOOSE(CONTROL!$C$27, $C$14, 100%, $E$14)</f>
        <v>7.7405999999999997</v>
      </c>
      <c r="C520" s="58">
        <f>7.7406 * CHOOSE(CONTROL!$C$27, $C$14, 100%, $E$14)</f>
        <v>7.7405999999999997</v>
      </c>
      <c r="D520" s="58">
        <f>7.7446 * CHOOSE(CONTROL!$C$27, $C$14, 100%, $E$14)</f>
        <v>7.7446000000000002</v>
      </c>
      <c r="E520" s="59">
        <f>9.1723 * CHOOSE(CONTROL!$C$27, $C$14, 100%, $E$14)</f>
        <v>9.1722999999999999</v>
      </c>
      <c r="F520" s="59">
        <f>9.1723 * CHOOSE(CONTROL!$C$27, $C$14, 100%, $E$14)</f>
        <v>9.1722999999999999</v>
      </c>
      <c r="G520" s="59">
        <f>9.1772 * CHOOSE(CONTROL!$C$27, $C$14, 100%, $E$14)</f>
        <v>9.1771999999999991</v>
      </c>
      <c r="H520" s="59">
        <f>16.7718* CHOOSE(CONTROL!$C$27, $C$14, 100%, $E$14)</f>
        <v>16.771799999999999</v>
      </c>
      <c r="I520" s="59">
        <f>16.7767 * CHOOSE(CONTROL!$C$27, $C$14, 100%, $E$14)</f>
        <v>16.776700000000002</v>
      </c>
      <c r="J520" s="59">
        <f>16.7718 * CHOOSE(CONTROL!$C$27, $C$14, 100%, $E$14)</f>
        <v>16.771799999999999</v>
      </c>
      <c r="K520" s="59">
        <f>16.7767 * CHOOSE(CONTROL!$C$27, $C$14, 100%, $E$14)</f>
        <v>16.776700000000002</v>
      </c>
      <c r="L520" s="59">
        <f>9.1723 * CHOOSE(CONTROL!$C$27, $C$14, 100%, $E$14)</f>
        <v>9.1722999999999999</v>
      </c>
      <c r="M520" s="59">
        <f>9.1772 * CHOOSE(CONTROL!$C$27, $C$14, 100%, $E$14)</f>
        <v>9.1771999999999991</v>
      </c>
      <c r="N520" s="59">
        <f>9.1723 * CHOOSE(CONTROL!$C$27, $C$14, 100%, $E$14)</f>
        <v>9.1722999999999999</v>
      </c>
      <c r="O520" s="59">
        <f>9.1772 * CHOOSE(CONTROL!$C$27, $C$14, 100%, $E$14)</f>
        <v>9.1771999999999991</v>
      </c>
    </row>
    <row r="521" spans="1:15" ht="15">
      <c r="A521" s="11">
        <v>56949</v>
      </c>
      <c r="B521" s="58">
        <f>7.7406 * CHOOSE(CONTROL!$C$27, $C$14, 100%, $E$14)</f>
        <v>7.7405999999999997</v>
      </c>
      <c r="C521" s="58">
        <f>7.7406 * CHOOSE(CONTROL!$C$27, $C$14, 100%, $E$14)</f>
        <v>7.7405999999999997</v>
      </c>
      <c r="D521" s="58">
        <f>7.7446 * CHOOSE(CONTROL!$C$27, $C$14, 100%, $E$14)</f>
        <v>7.7446000000000002</v>
      </c>
      <c r="E521" s="59">
        <f>9.0934 * CHOOSE(CONTROL!$C$27, $C$14, 100%, $E$14)</f>
        <v>9.0934000000000008</v>
      </c>
      <c r="F521" s="59">
        <f>9.0934 * CHOOSE(CONTROL!$C$27, $C$14, 100%, $E$14)</f>
        <v>9.0934000000000008</v>
      </c>
      <c r="G521" s="59">
        <f>9.0983 * CHOOSE(CONTROL!$C$27, $C$14, 100%, $E$14)</f>
        <v>9.0983000000000001</v>
      </c>
      <c r="H521" s="59">
        <f>16.8067* CHOOSE(CONTROL!$C$27, $C$14, 100%, $E$14)</f>
        <v>16.806699999999999</v>
      </c>
      <c r="I521" s="59">
        <f>16.8116 * CHOOSE(CONTROL!$C$27, $C$14, 100%, $E$14)</f>
        <v>16.811599999999999</v>
      </c>
      <c r="J521" s="59">
        <f>16.8067 * CHOOSE(CONTROL!$C$27, $C$14, 100%, $E$14)</f>
        <v>16.806699999999999</v>
      </c>
      <c r="K521" s="59">
        <f>16.8116 * CHOOSE(CONTROL!$C$27, $C$14, 100%, $E$14)</f>
        <v>16.811599999999999</v>
      </c>
      <c r="L521" s="59">
        <f>9.0934 * CHOOSE(CONTROL!$C$27, $C$14, 100%, $E$14)</f>
        <v>9.0934000000000008</v>
      </c>
      <c r="M521" s="59">
        <f>9.0983 * CHOOSE(CONTROL!$C$27, $C$14, 100%, $E$14)</f>
        <v>9.0983000000000001</v>
      </c>
      <c r="N521" s="59">
        <f>9.0934 * CHOOSE(CONTROL!$C$27, $C$14, 100%, $E$14)</f>
        <v>9.0934000000000008</v>
      </c>
      <c r="O521" s="59">
        <f>9.0983 * CHOOSE(CONTROL!$C$27, $C$14, 100%, $E$14)</f>
        <v>9.0983000000000001</v>
      </c>
    </row>
    <row r="522" spans="1:15" ht="15">
      <c r="A522" s="11">
        <v>56980</v>
      </c>
      <c r="B522" s="58">
        <f>7.8071 * CHOOSE(CONTROL!$C$27, $C$14, 100%, $E$14)</f>
        <v>7.8071000000000002</v>
      </c>
      <c r="C522" s="58">
        <f>7.8071 * CHOOSE(CONTROL!$C$27, $C$14, 100%, $E$14)</f>
        <v>7.8071000000000002</v>
      </c>
      <c r="D522" s="58">
        <f>7.8111 * CHOOSE(CONTROL!$C$27, $C$14, 100%, $E$14)</f>
        <v>7.8110999999999997</v>
      </c>
      <c r="E522" s="59">
        <f>9.2242 * CHOOSE(CONTROL!$C$27, $C$14, 100%, $E$14)</f>
        <v>9.2241999999999997</v>
      </c>
      <c r="F522" s="59">
        <f>9.2242 * CHOOSE(CONTROL!$C$27, $C$14, 100%, $E$14)</f>
        <v>9.2241999999999997</v>
      </c>
      <c r="G522" s="59">
        <f>9.2291 * CHOOSE(CONTROL!$C$27, $C$14, 100%, $E$14)</f>
        <v>9.2291000000000007</v>
      </c>
      <c r="H522" s="59">
        <f>16.8417* CHOOSE(CONTROL!$C$27, $C$14, 100%, $E$14)</f>
        <v>16.841699999999999</v>
      </c>
      <c r="I522" s="59">
        <f>16.8467 * CHOOSE(CONTROL!$C$27, $C$14, 100%, $E$14)</f>
        <v>16.846699999999998</v>
      </c>
      <c r="J522" s="59">
        <f>16.8417 * CHOOSE(CONTROL!$C$27, $C$14, 100%, $E$14)</f>
        <v>16.841699999999999</v>
      </c>
      <c r="K522" s="59">
        <f>16.8467 * CHOOSE(CONTROL!$C$27, $C$14, 100%, $E$14)</f>
        <v>16.846699999999998</v>
      </c>
      <c r="L522" s="59">
        <f>9.2242 * CHOOSE(CONTROL!$C$27, $C$14, 100%, $E$14)</f>
        <v>9.2241999999999997</v>
      </c>
      <c r="M522" s="59">
        <f>9.2291 * CHOOSE(CONTROL!$C$27, $C$14, 100%, $E$14)</f>
        <v>9.2291000000000007</v>
      </c>
      <c r="N522" s="59">
        <f>9.2242 * CHOOSE(CONTROL!$C$27, $C$14, 100%, $E$14)</f>
        <v>9.2241999999999997</v>
      </c>
      <c r="O522" s="59">
        <f>9.2291 * CHOOSE(CONTROL!$C$27, $C$14, 100%, $E$14)</f>
        <v>9.2291000000000007</v>
      </c>
    </row>
    <row r="523" spans="1:15" ht="15">
      <c r="A523" s="11">
        <v>57011</v>
      </c>
      <c r="B523" s="58">
        <f>7.8041 * CHOOSE(CONTROL!$C$27, $C$14, 100%, $E$14)</f>
        <v>7.8041</v>
      </c>
      <c r="C523" s="58">
        <f>7.8041 * CHOOSE(CONTROL!$C$27, $C$14, 100%, $E$14)</f>
        <v>7.8041</v>
      </c>
      <c r="D523" s="58">
        <f>7.8081 * CHOOSE(CONTROL!$C$27, $C$14, 100%, $E$14)</f>
        <v>7.8080999999999996</v>
      </c>
      <c r="E523" s="59">
        <f>9.0688 * CHOOSE(CONTROL!$C$27, $C$14, 100%, $E$14)</f>
        <v>9.0687999999999995</v>
      </c>
      <c r="F523" s="59">
        <f>9.0688 * CHOOSE(CONTROL!$C$27, $C$14, 100%, $E$14)</f>
        <v>9.0687999999999995</v>
      </c>
      <c r="G523" s="59">
        <f>9.0738 * CHOOSE(CONTROL!$C$27, $C$14, 100%, $E$14)</f>
        <v>9.0738000000000003</v>
      </c>
      <c r="H523" s="59">
        <f>16.8768* CHOOSE(CONTROL!$C$27, $C$14, 100%, $E$14)</f>
        <v>16.876799999999999</v>
      </c>
      <c r="I523" s="59">
        <f>16.8817 * CHOOSE(CONTROL!$C$27, $C$14, 100%, $E$14)</f>
        <v>16.881699999999999</v>
      </c>
      <c r="J523" s="59">
        <f>16.8768 * CHOOSE(CONTROL!$C$27, $C$14, 100%, $E$14)</f>
        <v>16.876799999999999</v>
      </c>
      <c r="K523" s="59">
        <f>16.8817 * CHOOSE(CONTROL!$C$27, $C$14, 100%, $E$14)</f>
        <v>16.881699999999999</v>
      </c>
      <c r="L523" s="59">
        <f>9.0688 * CHOOSE(CONTROL!$C$27, $C$14, 100%, $E$14)</f>
        <v>9.0687999999999995</v>
      </c>
      <c r="M523" s="59">
        <f>9.0738 * CHOOSE(CONTROL!$C$27, $C$14, 100%, $E$14)</f>
        <v>9.0738000000000003</v>
      </c>
      <c r="N523" s="59">
        <f>9.0688 * CHOOSE(CONTROL!$C$27, $C$14, 100%, $E$14)</f>
        <v>9.0687999999999995</v>
      </c>
      <c r="O523" s="59">
        <f>9.0738 * CHOOSE(CONTROL!$C$27, $C$14, 100%, $E$14)</f>
        <v>9.0738000000000003</v>
      </c>
    </row>
    <row r="524" spans="1:15" ht="15">
      <c r="A524" s="11">
        <v>57040</v>
      </c>
      <c r="B524" s="58">
        <f>7.8011 * CHOOSE(CONTROL!$C$27, $C$14, 100%, $E$14)</f>
        <v>7.8010999999999999</v>
      </c>
      <c r="C524" s="58">
        <f>7.8011 * CHOOSE(CONTROL!$C$27, $C$14, 100%, $E$14)</f>
        <v>7.8010999999999999</v>
      </c>
      <c r="D524" s="58">
        <f>7.8051 * CHOOSE(CONTROL!$C$27, $C$14, 100%, $E$14)</f>
        <v>7.8051000000000004</v>
      </c>
      <c r="E524" s="59">
        <f>9.1875 * CHOOSE(CONTROL!$C$27, $C$14, 100%, $E$14)</f>
        <v>9.1875</v>
      </c>
      <c r="F524" s="59">
        <f>9.1875 * CHOOSE(CONTROL!$C$27, $C$14, 100%, $E$14)</f>
        <v>9.1875</v>
      </c>
      <c r="G524" s="59">
        <f>9.1924 * CHOOSE(CONTROL!$C$27, $C$14, 100%, $E$14)</f>
        <v>9.1923999999999992</v>
      </c>
      <c r="H524" s="59">
        <f>16.912* CHOOSE(CONTROL!$C$27, $C$14, 100%, $E$14)</f>
        <v>16.911999999999999</v>
      </c>
      <c r="I524" s="59">
        <f>16.9169 * CHOOSE(CONTROL!$C$27, $C$14, 100%, $E$14)</f>
        <v>16.916899999999998</v>
      </c>
      <c r="J524" s="59">
        <f>16.912 * CHOOSE(CONTROL!$C$27, $C$14, 100%, $E$14)</f>
        <v>16.911999999999999</v>
      </c>
      <c r="K524" s="59">
        <f>16.9169 * CHOOSE(CONTROL!$C$27, $C$14, 100%, $E$14)</f>
        <v>16.916899999999998</v>
      </c>
      <c r="L524" s="59">
        <f>9.1875 * CHOOSE(CONTROL!$C$27, $C$14, 100%, $E$14)</f>
        <v>9.1875</v>
      </c>
      <c r="M524" s="59">
        <f>9.1924 * CHOOSE(CONTROL!$C$27, $C$14, 100%, $E$14)</f>
        <v>9.1923999999999992</v>
      </c>
      <c r="N524" s="59">
        <f>9.1875 * CHOOSE(CONTROL!$C$27, $C$14, 100%, $E$14)</f>
        <v>9.1875</v>
      </c>
      <c r="O524" s="59">
        <f>9.1924 * CHOOSE(CONTROL!$C$27, $C$14, 100%, $E$14)</f>
        <v>9.1923999999999992</v>
      </c>
    </row>
    <row r="525" spans="1:15" ht="15">
      <c r="A525" s="11">
        <v>57071</v>
      </c>
      <c r="B525" s="58">
        <f>7.802 * CHOOSE(CONTROL!$C$27, $C$14, 100%, $E$14)</f>
        <v>7.8019999999999996</v>
      </c>
      <c r="C525" s="58">
        <f>7.802 * CHOOSE(CONTROL!$C$27, $C$14, 100%, $E$14)</f>
        <v>7.8019999999999996</v>
      </c>
      <c r="D525" s="58">
        <f>7.806 * CHOOSE(CONTROL!$C$27, $C$14, 100%, $E$14)</f>
        <v>7.806</v>
      </c>
      <c r="E525" s="59">
        <f>9.313 * CHOOSE(CONTROL!$C$27, $C$14, 100%, $E$14)</f>
        <v>9.3130000000000006</v>
      </c>
      <c r="F525" s="59">
        <f>9.313 * CHOOSE(CONTROL!$C$27, $C$14, 100%, $E$14)</f>
        <v>9.3130000000000006</v>
      </c>
      <c r="G525" s="59">
        <f>9.3179 * CHOOSE(CONTROL!$C$27, $C$14, 100%, $E$14)</f>
        <v>9.3178999999999998</v>
      </c>
      <c r="H525" s="59">
        <f>16.9472* CHOOSE(CONTROL!$C$27, $C$14, 100%, $E$14)</f>
        <v>16.947199999999999</v>
      </c>
      <c r="I525" s="59">
        <f>16.9521 * CHOOSE(CONTROL!$C$27, $C$14, 100%, $E$14)</f>
        <v>16.952100000000002</v>
      </c>
      <c r="J525" s="59">
        <f>16.9472 * CHOOSE(CONTROL!$C$27, $C$14, 100%, $E$14)</f>
        <v>16.947199999999999</v>
      </c>
      <c r="K525" s="59">
        <f>16.9521 * CHOOSE(CONTROL!$C$27, $C$14, 100%, $E$14)</f>
        <v>16.952100000000002</v>
      </c>
      <c r="L525" s="59">
        <f>9.313 * CHOOSE(CONTROL!$C$27, $C$14, 100%, $E$14)</f>
        <v>9.3130000000000006</v>
      </c>
      <c r="M525" s="59">
        <f>9.3179 * CHOOSE(CONTROL!$C$27, $C$14, 100%, $E$14)</f>
        <v>9.3178999999999998</v>
      </c>
      <c r="N525" s="59">
        <f>9.313 * CHOOSE(CONTROL!$C$27, $C$14, 100%, $E$14)</f>
        <v>9.3130000000000006</v>
      </c>
      <c r="O525" s="59">
        <f>9.3179 * CHOOSE(CONTROL!$C$27, $C$14, 100%, $E$14)</f>
        <v>9.3178999999999998</v>
      </c>
    </row>
    <row r="526" spans="1:15" ht="15">
      <c r="A526" s="11">
        <v>57101</v>
      </c>
      <c r="B526" s="58">
        <f>7.802 * CHOOSE(CONTROL!$C$27, $C$14, 100%, $E$14)</f>
        <v>7.8019999999999996</v>
      </c>
      <c r="C526" s="58">
        <f>7.802 * CHOOSE(CONTROL!$C$27, $C$14, 100%, $E$14)</f>
        <v>7.8019999999999996</v>
      </c>
      <c r="D526" s="58">
        <f>7.8076 * CHOOSE(CONTROL!$C$27, $C$14, 100%, $E$14)</f>
        <v>7.8075999999999999</v>
      </c>
      <c r="E526" s="59">
        <f>9.3616 * CHOOSE(CONTROL!$C$27, $C$14, 100%, $E$14)</f>
        <v>9.3615999999999993</v>
      </c>
      <c r="F526" s="59">
        <f>9.3616 * CHOOSE(CONTROL!$C$27, $C$14, 100%, $E$14)</f>
        <v>9.3615999999999993</v>
      </c>
      <c r="G526" s="59">
        <f>9.3685 * CHOOSE(CONTROL!$C$27, $C$14, 100%, $E$14)</f>
        <v>9.3684999999999992</v>
      </c>
      <c r="H526" s="59">
        <f>16.9825* CHOOSE(CONTROL!$C$27, $C$14, 100%, $E$14)</f>
        <v>16.982500000000002</v>
      </c>
      <c r="I526" s="59">
        <f>16.9894 * CHOOSE(CONTROL!$C$27, $C$14, 100%, $E$14)</f>
        <v>16.9894</v>
      </c>
      <c r="J526" s="59">
        <f>16.9825 * CHOOSE(CONTROL!$C$27, $C$14, 100%, $E$14)</f>
        <v>16.982500000000002</v>
      </c>
      <c r="K526" s="59">
        <f>16.9894 * CHOOSE(CONTROL!$C$27, $C$14, 100%, $E$14)</f>
        <v>16.9894</v>
      </c>
      <c r="L526" s="59">
        <f>9.3616 * CHOOSE(CONTROL!$C$27, $C$14, 100%, $E$14)</f>
        <v>9.3615999999999993</v>
      </c>
      <c r="M526" s="59">
        <f>9.3685 * CHOOSE(CONTROL!$C$27, $C$14, 100%, $E$14)</f>
        <v>9.3684999999999992</v>
      </c>
      <c r="N526" s="59">
        <f>9.3616 * CHOOSE(CONTROL!$C$27, $C$14, 100%, $E$14)</f>
        <v>9.3615999999999993</v>
      </c>
      <c r="O526" s="59">
        <f>9.3685 * CHOOSE(CONTROL!$C$27, $C$14, 100%, $E$14)</f>
        <v>9.3684999999999992</v>
      </c>
    </row>
    <row r="527" spans="1:15" ht="15">
      <c r="A527" s="11">
        <v>57132</v>
      </c>
      <c r="B527" s="58">
        <f>7.808 * CHOOSE(CONTROL!$C$27, $C$14, 100%, $E$14)</f>
        <v>7.8079999999999998</v>
      </c>
      <c r="C527" s="58">
        <f>7.808 * CHOOSE(CONTROL!$C$27, $C$14, 100%, $E$14)</f>
        <v>7.8079999999999998</v>
      </c>
      <c r="D527" s="58">
        <f>7.8137 * CHOOSE(CONTROL!$C$27, $C$14, 100%, $E$14)</f>
        <v>7.8136999999999999</v>
      </c>
      <c r="E527" s="59">
        <f>9.3172 * CHOOSE(CONTROL!$C$27, $C$14, 100%, $E$14)</f>
        <v>9.3171999999999997</v>
      </c>
      <c r="F527" s="59">
        <f>9.3172 * CHOOSE(CONTROL!$C$27, $C$14, 100%, $E$14)</f>
        <v>9.3171999999999997</v>
      </c>
      <c r="G527" s="59">
        <f>9.3241 * CHOOSE(CONTROL!$C$27, $C$14, 100%, $E$14)</f>
        <v>9.3240999999999996</v>
      </c>
      <c r="H527" s="59">
        <f>17.0179* CHOOSE(CONTROL!$C$27, $C$14, 100%, $E$14)</f>
        <v>17.017900000000001</v>
      </c>
      <c r="I527" s="59">
        <f>17.0248 * CHOOSE(CONTROL!$C$27, $C$14, 100%, $E$14)</f>
        <v>17.024799999999999</v>
      </c>
      <c r="J527" s="59">
        <f>17.0179 * CHOOSE(CONTROL!$C$27, $C$14, 100%, $E$14)</f>
        <v>17.017900000000001</v>
      </c>
      <c r="K527" s="59">
        <f>17.0248 * CHOOSE(CONTROL!$C$27, $C$14, 100%, $E$14)</f>
        <v>17.024799999999999</v>
      </c>
      <c r="L527" s="59">
        <f>9.3172 * CHOOSE(CONTROL!$C$27, $C$14, 100%, $E$14)</f>
        <v>9.3171999999999997</v>
      </c>
      <c r="M527" s="59">
        <f>9.3241 * CHOOSE(CONTROL!$C$27, $C$14, 100%, $E$14)</f>
        <v>9.3240999999999996</v>
      </c>
      <c r="N527" s="59">
        <f>9.3172 * CHOOSE(CONTROL!$C$27, $C$14, 100%, $E$14)</f>
        <v>9.3171999999999997</v>
      </c>
      <c r="O527" s="59">
        <f>9.3241 * CHOOSE(CONTROL!$C$27, $C$14, 100%, $E$14)</f>
        <v>9.3240999999999996</v>
      </c>
    </row>
    <row r="528" spans="1:15" ht="15">
      <c r="A528" s="11">
        <v>57162</v>
      </c>
      <c r="B528" s="58">
        <f>7.9308 * CHOOSE(CONTROL!$C$27, $C$14, 100%, $E$14)</f>
        <v>7.9307999999999996</v>
      </c>
      <c r="C528" s="58">
        <f>7.9308 * CHOOSE(CONTROL!$C$27, $C$14, 100%, $E$14)</f>
        <v>7.9307999999999996</v>
      </c>
      <c r="D528" s="58">
        <f>7.9364 * CHOOSE(CONTROL!$C$27, $C$14, 100%, $E$14)</f>
        <v>7.9363999999999999</v>
      </c>
      <c r="E528" s="59">
        <f>9.4704 * CHOOSE(CONTROL!$C$27, $C$14, 100%, $E$14)</f>
        <v>9.4703999999999997</v>
      </c>
      <c r="F528" s="59">
        <f>9.4704 * CHOOSE(CONTROL!$C$27, $C$14, 100%, $E$14)</f>
        <v>9.4703999999999997</v>
      </c>
      <c r="G528" s="59">
        <f>9.4773 * CHOOSE(CONTROL!$C$27, $C$14, 100%, $E$14)</f>
        <v>9.4772999999999996</v>
      </c>
      <c r="H528" s="59">
        <f>17.0534* CHOOSE(CONTROL!$C$27, $C$14, 100%, $E$14)</f>
        <v>17.0534</v>
      </c>
      <c r="I528" s="59">
        <f>17.0602 * CHOOSE(CONTROL!$C$27, $C$14, 100%, $E$14)</f>
        <v>17.060199999999998</v>
      </c>
      <c r="J528" s="59">
        <f>17.0534 * CHOOSE(CONTROL!$C$27, $C$14, 100%, $E$14)</f>
        <v>17.0534</v>
      </c>
      <c r="K528" s="59">
        <f>17.0602 * CHOOSE(CONTROL!$C$27, $C$14, 100%, $E$14)</f>
        <v>17.060199999999998</v>
      </c>
      <c r="L528" s="59">
        <f>9.4704 * CHOOSE(CONTROL!$C$27, $C$14, 100%, $E$14)</f>
        <v>9.4703999999999997</v>
      </c>
      <c r="M528" s="59">
        <f>9.4773 * CHOOSE(CONTROL!$C$27, $C$14, 100%, $E$14)</f>
        <v>9.4772999999999996</v>
      </c>
      <c r="N528" s="59">
        <f>9.4704 * CHOOSE(CONTROL!$C$27, $C$14, 100%, $E$14)</f>
        <v>9.4703999999999997</v>
      </c>
      <c r="O528" s="59">
        <f>9.4773 * CHOOSE(CONTROL!$C$27, $C$14, 100%, $E$14)</f>
        <v>9.4772999999999996</v>
      </c>
    </row>
    <row r="529" spans="1:15" ht="15">
      <c r="A529" s="11">
        <v>57193</v>
      </c>
      <c r="B529" s="58">
        <f>7.9375 * CHOOSE(CONTROL!$C$27, $C$14, 100%, $E$14)</f>
        <v>7.9375</v>
      </c>
      <c r="C529" s="58">
        <f>7.9375 * CHOOSE(CONTROL!$C$27, $C$14, 100%, $E$14)</f>
        <v>7.9375</v>
      </c>
      <c r="D529" s="58">
        <f>7.9431 * CHOOSE(CONTROL!$C$27, $C$14, 100%, $E$14)</f>
        <v>7.9431000000000003</v>
      </c>
      <c r="E529" s="59">
        <f>9.3291 * CHOOSE(CONTROL!$C$27, $C$14, 100%, $E$14)</f>
        <v>9.3291000000000004</v>
      </c>
      <c r="F529" s="59">
        <f>9.3291 * CHOOSE(CONTROL!$C$27, $C$14, 100%, $E$14)</f>
        <v>9.3291000000000004</v>
      </c>
      <c r="G529" s="59">
        <f>9.336 * CHOOSE(CONTROL!$C$27, $C$14, 100%, $E$14)</f>
        <v>9.3360000000000003</v>
      </c>
      <c r="H529" s="59">
        <f>17.0889* CHOOSE(CONTROL!$C$27, $C$14, 100%, $E$14)</f>
        <v>17.088899999999999</v>
      </c>
      <c r="I529" s="59">
        <f>17.0958 * CHOOSE(CONTROL!$C$27, $C$14, 100%, $E$14)</f>
        <v>17.095800000000001</v>
      </c>
      <c r="J529" s="59">
        <f>17.0889 * CHOOSE(CONTROL!$C$27, $C$14, 100%, $E$14)</f>
        <v>17.088899999999999</v>
      </c>
      <c r="K529" s="59">
        <f>17.0958 * CHOOSE(CONTROL!$C$27, $C$14, 100%, $E$14)</f>
        <v>17.095800000000001</v>
      </c>
      <c r="L529" s="59">
        <f>9.3291 * CHOOSE(CONTROL!$C$27, $C$14, 100%, $E$14)</f>
        <v>9.3291000000000004</v>
      </c>
      <c r="M529" s="59">
        <f>9.336 * CHOOSE(CONTROL!$C$27, $C$14, 100%, $E$14)</f>
        <v>9.3360000000000003</v>
      </c>
      <c r="N529" s="59">
        <f>9.3291 * CHOOSE(CONTROL!$C$27, $C$14, 100%, $E$14)</f>
        <v>9.3291000000000004</v>
      </c>
      <c r="O529" s="59">
        <f>9.336 * CHOOSE(CONTROL!$C$27, $C$14, 100%, $E$14)</f>
        <v>9.3360000000000003</v>
      </c>
    </row>
    <row r="530" spans="1:15" ht="15">
      <c r="A530" s="11">
        <v>57224</v>
      </c>
      <c r="B530" s="58">
        <f>7.9344 * CHOOSE(CONTROL!$C$27, $C$14, 100%, $E$14)</f>
        <v>7.9344000000000001</v>
      </c>
      <c r="C530" s="58">
        <f>7.9344 * CHOOSE(CONTROL!$C$27, $C$14, 100%, $E$14)</f>
        <v>7.9344000000000001</v>
      </c>
      <c r="D530" s="58">
        <f>7.9401 * CHOOSE(CONTROL!$C$27, $C$14, 100%, $E$14)</f>
        <v>7.9401000000000002</v>
      </c>
      <c r="E530" s="59">
        <f>9.3108 * CHOOSE(CONTROL!$C$27, $C$14, 100%, $E$14)</f>
        <v>9.3108000000000004</v>
      </c>
      <c r="F530" s="59">
        <f>9.3108 * CHOOSE(CONTROL!$C$27, $C$14, 100%, $E$14)</f>
        <v>9.3108000000000004</v>
      </c>
      <c r="G530" s="59">
        <f>9.3177 * CHOOSE(CONTROL!$C$27, $C$14, 100%, $E$14)</f>
        <v>9.3177000000000003</v>
      </c>
      <c r="H530" s="59">
        <f>17.1245* CHOOSE(CONTROL!$C$27, $C$14, 100%, $E$14)</f>
        <v>17.124500000000001</v>
      </c>
      <c r="I530" s="59">
        <f>17.1314 * CHOOSE(CONTROL!$C$27, $C$14, 100%, $E$14)</f>
        <v>17.131399999999999</v>
      </c>
      <c r="J530" s="59">
        <f>17.1245 * CHOOSE(CONTROL!$C$27, $C$14, 100%, $E$14)</f>
        <v>17.124500000000001</v>
      </c>
      <c r="K530" s="59">
        <f>17.1314 * CHOOSE(CONTROL!$C$27, $C$14, 100%, $E$14)</f>
        <v>17.131399999999999</v>
      </c>
      <c r="L530" s="59">
        <f>9.3108 * CHOOSE(CONTROL!$C$27, $C$14, 100%, $E$14)</f>
        <v>9.3108000000000004</v>
      </c>
      <c r="M530" s="59">
        <f>9.3177 * CHOOSE(CONTROL!$C$27, $C$14, 100%, $E$14)</f>
        <v>9.3177000000000003</v>
      </c>
      <c r="N530" s="59">
        <f>9.3108 * CHOOSE(CONTROL!$C$27, $C$14, 100%, $E$14)</f>
        <v>9.3108000000000004</v>
      </c>
      <c r="O530" s="59">
        <f>9.3177 * CHOOSE(CONTROL!$C$27, $C$14, 100%, $E$14)</f>
        <v>9.3177000000000003</v>
      </c>
    </row>
    <row r="531" spans="1:15" ht="15">
      <c r="A531" s="11">
        <v>57254</v>
      </c>
      <c r="B531" s="58">
        <f>7.9424 * CHOOSE(CONTROL!$C$27, $C$14, 100%, $E$14)</f>
        <v>7.9424000000000001</v>
      </c>
      <c r="C531" s="58">
        <f>7.9424 * CHOOSE(CONTROL!$C$27, $C$14, 100%, $E$14)</f>
        <v>7.9424000000000001</v>
      </c>
      <c r="D531" s="58">
        <f>7.9464 * CHOOSE(CONTROL!$C$27, $C$14, 100%, $E$14)</f>
        <v>7.9463999999999997</v>
      </c>
      <c r="E531" s="59">
        <f>9.3622 * CHOOSE(CONTROL!$C$27, $C$14, 100%, $E$14)</f>
        <v>9.3621999999999996</v>
      </c>
      <c r="F531" s="59">
        <f>9.3622 * CHOOSE(CONTROL!$C$27, $C$14, 100%, $E$14)</f>
        <v>9.3621999999999996</v>
      </c>
      <c r="G531" s="59">
        <f>9.3671 * CHOOSE(CONTROL!$C$27, $C$14, 100%, $E$14)</f>
        <v>9.3671000000000006</v>
      </c>
      <c r="H531" s="59">
        <f>17.1602* CHOOSE(CONTROL!$C$27, $C$14, 100%, $E$14)</f>
        <v>17.1602</v>
      </c>
      <c r="I531" s="59">
        <f>17.1651 * CHOOSE(CONTROL!$C$27, $C$14, 100%, $E$14)</f>
        <v>17.165099999999999</v>
      </c>
      <c r="J531" s="59">
        <f>17.1602 * CHOOSE(CONTROL!$C$27, $C$14, 100%, $E$14)</f>
        <v>17.1602</v>
      </c>
      <c r="K531" s="59">
        <f>17.1651 * CHOOSE(CONTROL!$C$27, $C$14, 100%, $E$14)</f>
        <v>17.165099999999999</v>
      </c>
      <c r="L531" s="59">
        <f>9.3622 * CHOOSE(CONTROL!$C$27, $C$14, 100%, $E$14)</f>
        <v>9.3621999999999996</v>
      </c>
      <c r="M531" s="59">
        <f>9.3671 * CHOOSE(CONTROL!$C$27, $C$14, 100%, $E$14)</f>
        <v>9.3671000000000006</v>
      </c>
      <c r="N531" s="59">
        <f>9.3622 * CHOOSE(CONTROL!$C$27, $C$14, 100%, $E$14)</f>
        <v>9.3621999999999996</v>
      </c>
      <c r="O531" s="59">
        <f>9.3671 * CHOOSE(CONTROL!$C$27, $C$14, 100%, $E$14)</f>
        <v>9.3671000000000006</v>
      </c>
    </row>
    <row r="532" spans="1:15" ht="15">
      <c r="A532" s="11">
        <v>57285</v>
      </c>
      <c r="B532" s="58">
        <f>7.9454 * CHOOSE(CONTROL!$C$27, $C$14, 100%, $E$14)</f>
        <v>7.9454000000000002</v>
      </c>
      <c r="C532" s="58">
        <f>7.9454 * CHOOSE(CONTROL!$C$27, $C$14, 100%, $E$14)</f>
        <v>7.9454000000000002</v>
      </c>
      <c r="D532" s="58">
        <f>7.9494 * CHOOSE(CONTROL!$C$27, $C$14, 100%, $E$14)</f>
        <v>7.9493999999999998</v>
      </c>
      <c r="E532" s="59">
        <f>9.3968 * CHOOSE(CONTROL!$C$27, $C$14, 100%, $E$14)</f>
        <v>9.3968000000000007</v>
      </c>
      <c r="F532" s="59">
        <f>9.3968 * CHOOSE(CONTROL!$C$27, $C$14, 100%, $E$14)</f>
        <v>9.3968000000000007</v>
      </c>
      <c r="G532" s="59">
        <f>9.4017 * CHOOSE(CONTROL!$C$27, $C$14, 100%, $E$14)</f>
        <v>9.4016999999999999</v>
      </c>
      <c r="H532" s="59">
        <f>17.1959* CHOOSE(CONTROL!$C$27, $C$14, 100%, $E$14)</f>
        <v>17.195900000000002</v>
      </c>
      <c r="I532" s="59">
        <f>17.2008 * CHOOSE(CONTROL!$C$27, $C$14, 100%, $E$14)</f>
        <v>17.200800000000001</v>
      </c>
      <c r="J532" s="59">
        <f>17.1959 * CHOOSE(CONTROL!$C$27, $C$14, 100%, $E$14)</f>
        <v>17.195900000000002</v>
      </c>
      <c r="K532" s="59">
        <f>17.2008 * CHOOSE(CONTROL!$C$27, $C$14, 100%, $E$14)</f>
        <v>17.200800000000001</v>
      </c>
      <c r="L532" s="59">
        <f>9.3968 * CHOOSE(CONTROL!$C$27, $C$14, 100%, $E$14)</f>
        <v>9.3968000000000007</v>
      </c>
      <c r="M532" s="59">
        <f>9.4017 * CHOOSE(CONTROL!$C$27, $C$14, 100%, $E$14)</f>
        <v>9.4016999999999999</v>
      </c>
      <c r="N532" s="59">
        <f>9.3968 * CHOOSE(CONTROL!$C$27, $C$14, 100%, $E$14)</f>
        <v>9.3968000000000007</v>
      </c>
      <c r="O532" s="59">
        <f>9.4017 * CHOOSE(CONTROL!$C$27, $C$14, 100%, $E$14)</f>
        <v>9.4016999999999999</v>
      </c>
    </row>
    <row r="533" spans="1:15" ht="15">
      <c r="A533" s="11">
        <v>57315</v>
      </c>
      <c r="B533" s="58">
        <f>7.9454 * CHOOSE(CONTROL!$C$27, $C$14, 100%, $E$14)</f>
        <v>7.9454000000000002</v>
      </c>
      <c r="C533" s="58">
        <f>7.9454 * CHOOSE(CONTROL!$C$27, $C$14, 100%, $E$14)</f>
        <v>7.9454000000000002</v>
      </c>
      <c r="D533" s="58">
        <f>7.9494 * CHOOSE(CONTROL!$C$27, $C$14, 100%, $E$14)</f>
        <v>7.9493999999999998</v>
      </c>
      <c r="E533" s="59">
        <f>9.3157 * CHOOSE(CONTROL!$C$27, $C$14, 100%, $E$14)</f>
        <v>9.3156999999999996</v>
      </c>
      <c r="F533" s="59">
        <f>9.3157 * CHOOSE(CONTROL!$C$27, $C$14, 100%, $E$14)</f>
        <v>9.3156999999999996</v>
      </c>
      <c r="G533" s="59">
        <f>9.3206 * CHOOSE(CONTROL!$C$27, $C$14, 100%, $E$14)</f>
        <v>9.3206000000000007</v>
      </c>
      <c r="H533" s="59">
        <f>17.2317* CHOOSE(CONTROL!$C$27, $C$14, 100%, $E$14)</f>
        <v>17.2317</v>
      </c>
      <c r="I533" s="59">
        <f>17.2367 * CHOOSE(CONTROL!$C$27, $C$14, 100%, $E$14)</f>
        <v>17.236699999999999</v>
      </c>
      <c r="J533" s="59">
        <f>17.2317 * CHOOSE(CONTROL!$C$27, $C$14, 100%, $E$14)</f>
        <v>17.2317</v>
      </c>
      <c r="K533" s="59">
        <f>17.2367 * CHOOSE(CONTROL!$C$27, $C$14, 100%, $E$14)</f>
        <v>17.236699999999999</v>
      </c>
      <c r="L533" s="59">
        <f>9.3157 * CHOOSE(CONTROL!$C$27, $C$14, 100%, $E$14)</f>
        <v>9.3156999999999996</v>
      </c>
      <c r="M533" s="59">
        <f>9.3206 * CHOOSE(CONTROL!$C$27, $C$14, 100%, $E$14)</f>
        <v>9.3206000000000007</v>
      </c>
      <c r="N533" s="59">
        <f>9.3157 * CHOOSE(CONTROL!$C$27, $C$14, 100%, $E$14)</f>
        <v>9.3156999999999996</v>
      </c>
      <c r="O533" s="59">
        <f>9.3206 * CHOOSE(CONTROL!$C$27, $C$14, 100%, $E$14)</f>
        <v>9.3206000000000007</v>
      </c>
    </row>
    <row r="534" spans="1:15" ht="15">
      <c r="A534" s="11">
        <v>57346</v>
      </c>
      <c r="B534" s="58">
        <f>8.0136 * CHOOSE(CONTROL!$C$27, $C$14, 100%, $E$14)</f>
        <v>8.0136000000000003</v>
      </c>
      <c r="C534" s="58">
        <f>8.0136 * CHOOSE(CONTROL!$C$27, $C$14, 100%, $E$14)</f>
        <v>8.0136000000000003</v>
      </c>
      <c r="D534" s="58">
        <f>8.0176 * CHOOSE(CONTROL!$C$27, $C$14, 100%, $E$14)</f>
        <v>8.0175999999999998</v>
      </c>
      <c r="E534" s="59">
        <f>9.4498 * CHOOSE(CONTROL!$C$27, $C$14, 100%, $E$14)</f>
        <v>9.4497999999999998</v>
      </c>
      <c r="F534" s="59">
        <f>9.4498 * CHOOSE(CONTROL!$C$27, $C$14, 100%, $E$14)</f>
        <v>9.4497999999999998</v>
      </c>
      <c r="G534" s="59">
        <f>9.4547 * CHOOSE(CONTROL!$C$27, $C$14, 100%, $E$14)</f>
        <v>9.4547000000000008</v>
      </c>
      <c r="H534" s="59">
        <f>17.2676* CHOOSE(CONTROL!$C$27, $C$14, 100%, $E$14)</f>
        <v>17.267600000000002</v>
      </c>
      <c r="I534" s="59">
        <f>17.2726 * CHOOSE(CONTROL!$C$27, $C$14, 100%, $E$14)</f>
        <v>17.272600000000001</v>
      </c>
      <c r="J534" s="59">
        <f>17.2676 * CHOOSE(CONTROL!$C$27, $C$14, 100%, $E$14)</f>
        <v>17.267600000000002</v>
      </c>
      <c r="K534" s="59">
        <f>17.2726 * CHOOSE(CONTROL!$C$27, $C$14, 100%, $E$14)</f>
        <v>17.272600000000001</v>
      </c>
      <c r="L534" s="59">
        <f>9.4498 * CHOOSE(CONTROL!$C$27, $C$14, 100%, $E$14)</f>
        <v>9.4497999999999998</v>
      </c>
      <c r="M534" s="59">
        <f>9.4547 * CHOOSE(CONTROL!$C$27, $C$14, 100%, $E$14)</f>
        <v>9.4547000000000008</v>
      </c>
      <c r="N534" s="59">
        <f>9.4498 * CHOOSE(CONTROL!$C$27, $C$14, 100%, $E$14)</f>
        <v>9.4497999999999998</v>
      </c>
      <c r="O534" s="59">
        <f>9.4547 * CHOOSE(CONTROL!$C$27, $C$14, 100%, $E$14)</f>
        <v>9.4547000000000008</v>
      </c>
    </row>
    <row r="535" spans="1:15" ht="15">
      <c r="A535" s="11">
        <v>57377</v>
      </c>
      <c r="B535" s="58">
        <f>8.0106 * CHOOSE(CONTROL!$C$27, $C$14, 100%, $E$14)</f>
        <v>8.0106000000000002</v>
      </c>
      <c r="C535" s="58">
        <f>8.0106 * CHOOSE(CONTROL!$C$27, $C$14, 100%, $E$14)</f>
        <v>8.0106000000000002</v>
      </c>
      <c r="D535" s="58">
        <f>8.0146 * CHOOSE(CONTROL!$C$27, $C$14, 100%, $E$14)</f>
        <v>8.0145999999999997</v>
      </c>
      <c r="E535" s="59">
        <f>9.2901 * CHOOSE(CONTROL!$C$27, $C$14, 100%, $E$14)</f>
        <v>9.2901000000000007</v>
      </c>
      <c r="F535" s="59">
        <f>9.2901 * CHOOSE(CONTROL!$C$27, $C$14, 100%, $E$14)</f>
        <v>9.2901000000000007</v>
      </c>
      <c r="G535" s="59">
        <f>9.2951 * CHOOSE(CONTROL!$C$27, $C$14, 100%, $E$14)</f>
        <v>9.2950999999999997</v>
      </c>
      <c r="H535" s="59">
        <f>17.3036* CHOOSE(CONTROL!$C$27, $C$14, 100%, $E$14)</f>
        <v>17.303599999999999</v>
      </c>
      <c r="I535" s="59">
        <f>17.3085 * CHOOSE(CONTROL!$C$27, $C$14, 100%, $E$14)</f>
        <v>17.308499999999999</v>
      </c>
      <c r="J535" s="59">
        <f>17.3036 * CHOOSE(CONTROL!$C$27, $C$14, 100%, $E$14)</f>
        <v>17.303599999999999</v>
      </c>
      <c r="K535" s="59">
        <f>17.3085 * CHOOSE(CONTROL!$C$27, $C$14, 100%, $E$14)</f>
        <v>17.308499999999999</v>
      </c>
      <c r="L535" s="59">
        <f>9.2901 * CHOOSE(CONTROL!$C$27, $C$14, 100%, $E$14)</f>
        <v>9.2901000000000007</v>
      </c>
      <c r="M535" s="59">
        <f>9.2951 * CHOOSE(CONTROL!$C$27, $C$14, 100%, $E$14)</f>
        <v>9.2950999999999997</v>
      </c>
      <c r="N535" s="59">
        <f>9.2901 * CHOOSE(CONTROL!$C$27, $C$14, 100%, $E$14)</f>
        <v>9.2901000000000007</v>
      </c>
      <c r="O535" s="59">
        <f>9.2951 * CHOOSE(CONTROL!$C$27, $C$14, 100%, $E$14)</f>
        <v>9.2950999999999997</v>
      </c>
    </row>
    <row r="536" spans="1:15" ht="15">
      <c r="A536" s="11">
        <v>57405</v>
      </c>
      <c r="B536" s="58">
        <f>8.0075 * CHOOSE(CONTROL!$C$27, $C$14, 100%, $E$14)</f>
        <v>8.0075000000000003</v>
      </c>
      <c r="C536" s="58">
        <f>8.0075 * CHOOSE(CONTROL!$C$27, $C$14, 100%, $E$14)</f>
        <v>8.0075000000000003</v>
      </c>
      <c r="D536" s="58">
        <f>8.0115 * CHOOSE(CONTROL!$C$27, $C$14, 100%, $E$14)</f>
        <v>8.0114999999999998</v>
      </c>
      <c r="E536" s="59">
        <f>9.4122 * CHOOSE(CONTROL!$C$27, $C$14, 100%, $E$14)</f>
        <v>9.4122000000000003</v>
      </c>
      <c r="F536" s="59">
        <f>9.4122 * CHOOSE(CONTROL!$C$27, $C$14, 100%, $E$14)</f>
        <v>9.4122000000000003</v>
      </c>
      <c r="G536" s="59">
        <f>9.4171 * CHOOSE(CONTROL!$C$27, $C$14, 100%, $E$14)</f>
        <v>9.4170999999999996</v>
      </c>
      <c r="H536" s="59">
        <f>17.3397* CHOOSE(CONTROL!$C$27, $C$14, 100%, $E$14)</f>
        <v>17.339700000000001</v>
      </c>
      <c r="I536" s="59">
        <f>17.3446 * CHOOSE(CONTROL!$C$27, $C$14, 100%, $E$14)</f>
        <v>17.3446</v>
      </c>
      <c r="J536" s="59">
        <f>17.3397 * CHOOSE(CONTROL!$C$27, $C$14, 100%, $E$14)</f>
        <v>17.339700000000001</v>
      </c>
      <c r="K536" s="59">
        <f>17.3446 * CHOOSE(CONTROL!$C$27, $C$14, 100%, $E$14)</f>
        <v>17.3446</v>
      </c>
      <c r="L536" s="59">
        <f>9.4122 * CHOOSE(CONTROL!$C$27, $C$14, 100%, $E$14)</f>
        <v>9.4122000000000003</v>
      </c>
      <c r="M536" s="59">
        <f>9.4171 * CHOOSE(CONTROL!$C$27, $C$14, 100%, $E$14)</f>
        <v>9.4170999999999996</v>
      </c>
      <c r="N536" s="59">
        <f>9.4122 * CHOOSE(CONTROL!$C$27, $C$14, 100%, $E$14)</f>
        <v>9.4122000000000003</v>
      </c>
      <c r="O536" s="59">
        <f>9.4171 * CHOOSE(CONTROL!$C$27, $C$14, 100%, $E$14)</f>
        <v>9.4170999999999996</v>
      </c>
    </row>
    <row r="537" spans="1:15" ht="15">
      <c r="A537" s="11">
        <v>57436</v>
      </c>
      <c r="B537" s="58">
        <f>8.0086 * CHOOSE(CONTROL!$C$27, $C$14, 100%, $E$14)</f>
        <v>8.0085999999999995</v>
      </c>
      <c r="C537" s="58">
        <f>8.0086 * CHOOSE(CONTROL!$C$27, $C$14, 100%, $E$14)</f>
        <v>8.0085999999999995</v>
      </c>
      <c r="D537" s="58">
        <f>8.0126 * CHOOSE(CONTROL!$C$27, $C$14, 100%, $E$14)</f>
        <v>8.0126000000000008</v>
      </c>
      <c r="E537" s="59">
        <f>9.5413 * CHOOSE(CONTROL!$C$27, $C$14, 100%, $E$14)</f>
        <v>9.5412999999999997</v>
      </c>
      <c r="F537" s="59">
        <f>9.5413 * CHOOSE(CONTROL!$C$27, $C$14, 100%, $E$14)</f>
        <v>9.5412999999999997</v>
      </c>
      <c r="G537" s="59">
        <f>9.5463 * CHOOSE(CONTROL!$C$27, $C$14, 100%, $E$14)</f>
        <v>9.5463000000000005</v>
      </c>
      <c r="H537" s="59">
        <f>17.3758* CHOOSE(CONTROL!$C$27, $C$14, 100%, $E$14)</f>
        <v>17.375800000000002</v>
      </c>
      <c r="I537" s="59">
        <f>17.3807 * CHOOSE(CONTROL!$C$27, $C$14, 100%, $E$14)</f>
        <v>17.380700000000001</v>
      </c>
      <c r="J537" s="59">
        <f>17.3758 * CHOOSE(CONTROL!$C$27, $C$14, 100%, $E$14)</f>
        <v>17.375800000000002</v>
      </c>
      <c r="K537" s="59">
        <f>17.3807 * CHOOSE(CONTROL!$C$27, $C$14, 100%, $E$14)</f>
        <v>17.380700000000001</v>
      </c>
      <c r="L537" s="59">
        <f>9.5413 * CHOOSE(CONTROL!$C$27, $C$14, 100%, $E$14)</f>
        <v>9.5412999999999997</v>
      </c>
      <c r="M537" s="59">
        <f>9.5463 * CHOOSE(CONTROL!$C$27, $C$14, 100%, $E$14)</f>
        <v>9.5463000000000005</v>
      </c>
      <c r="N537" s="59">
        <f>9.5413 * CHOOSE(CONTROL!$C$27, $C$14, 100%, $E$14)</f>
        <v>9.5412999999999997</v>
      </c>
      <c r="O537" s="59">
        <f>9.5463 * CHOOSE(CONTROL!$C$27, $C$14, 100%, $E$14)</f>
        <v>9.5463000000000005</v>
      </c>
    </row>
    <row r="538" spans="1:15" ht="15">
      <c r="A538" s="11">
        <v>57466</v>
      </c>
      <c r="B538" s="58">
        <f>8.0086 * CHOOSE(CONTROL!$C$27, $C$14, 100%, $E$14)</f>
        <v>8.0085999999999995</v>
      </c>
      <c r="C538" s="58">
        <f>8.0086 * CHOOSE(CONTROL!$C$27, $C$14, 100%, $E$14)</f>
        <v>8.0085999999999995</v>
      </c>
      <c r="D538" s="58">
        <f>8.0142 * CHOOSE(CONTROL!$C$27, $C$14, 100%, $E$14)</f>
        <v>8.0142000000000007</v>
      </c>
      <c r="E538" s="59">
        <f>9.5913 * CHOOSE(CONTROL!$C$27, $C$14, 100%, $E$14)</f>
        <v>9.5913000000000004</v>
      </c>
      <c r="F538" s="59">
        <f>9.5913 * CHOOSE(CONTROL!$C$27, $C$14, 100%, $E$14)</f>
        <v>9.5913000000000004</v>
      </c>
      <c r="G538" s="59">
        <f>9.5982 * CHOOSE(CONTROL!$C$27, $C$14, 100%, $E$14)</f>
        <v>9.5982000000000003</v>
      </c>
      <c r="H538" s="59">
        <f>17.412* CHOOSE(CONTROL!$C$27, $C$14, 100%, $E$14)</f>
        <v>17.411999999999999</v>
      </c>
      <c r="I538" s="59">
        <f>17.4189 * CHOOSE(CONTROL!$C$27, $C$14, 100%, $E$14)</f>
        <v>17.418900000000001</v>
      </c>
      <c r="J538" s="59">
        <f>17.412 * CHOOSE(CONTROL!$C$27, $C$14, 100%, $E$14)</f>
        <v>17.411999999999999</v>
      </c>
      <c r="K538" s="59">
        <f>17.4189 * CHOOSE(CONTROL!$C$27, $C$14, 100%, $E$14)</f>
        <v>17.418900000000001</v>
      </c>
      <c r="L538" s="59">
        <f>9.5913 * CHOOSE(CONTROL!$C$27, $C$14, 100%, $E$14)</f>
        <v>9.5913000000000004</v>
      </c>
      <c r="M538" s="59">
        <f>9.5982 * CHOOSE(CONTROL!$C$27, $C$14, 100%, $E$14)</f>
        <v>9.5982000000000003</v>
      </c>
      <c r="N538" s="59">
        <f>9.5913 * CHOOSE(CONTROL!$C$27, $C$14, 100%, $E$14)</f>
        <v>9.5913000000000004</v>
      </c>
      <c r="O538" s="59">
        <f>9.5982 * CHOOSE(CONTROL!$C$27, $C$14, 100%, $E$14)</f>
        <v>9.5982000000000003</v>
      </c>
    </row>
    <row r="539" spans="1:15" ht="15">
      <c r="A539" s="11">
        <v>57497</v>
      </c>
      <c r="B539" s="58">
        <f>8.0147 * CHOOSE(CONTROL!$C$27, $C$14, 100%, $E$14)</f>
        <v>8.0146999999999995</v>
      </c>
      <c r="C539" s="58">
        <f>8.0147 * CHOOSE(CONTROL!$C$27, $C$14, 100%, $E$14)</f>
        <v>8.0146999999999995</v>
      </c>
      <c r="D539" s="58">
        <f>8.0203 * CHOOSE(CONTROL!$C$27, $C$14, 100%, $E$14)</f>
        <v>8.0203000000000007</v>
      </c>
      <c r="E539" s="59">
        <f>9.5456 * CHOOSE(CONTROL!$C$27, $C$14, 100%, $E$14)</f>
        <v>9.5456000000000003</v>
      </c>
      <c r="F539" s="59">
        <f>9.5456 * CHOOSE(CONTROL!$C$27, $C$14, 100%, $E$14)</f>
        <v>9.5456000000000003</v>
      </c>
      <c r="G539" s="59">
        <f>9.5525 * CHOOSE(CONTROL!$C$27, $C$14, 100%, $E$14)</f>
        <v>9.5525000000000002</v>
      </c>
      <c r="H539" s="59">
        <f>17.4483* CHOOSE(CONTROL!$C$27, $C$14, 100%, $E$14)</f>
        <v>17.4483</v>
      </c>
      <c r="I539" s="59">
        <f>17.4552 * CHOOSE(CONTROL!$C$27, $C$14, 100%, $E$14)</f>
        <v>17.455200000000001</v>
      </c>
      <c r="J539" s="59">
        <f>17.4483 * CHOOSE(CONTROL!$C$27, $C$14, 100%, $E$14)</f>
        <v>17.4483</v>
      </c>
      <c r="K539" s="59">
        <f>17.4552 * CHOOSE(CONTROL!$C$27, $C$14, 100%, $E$14)</f>
        <v>17.455200000000001</v>
      </c>
      <c r="L539" s="59">
        <f>9.5456 * CHOOSE(CONTROL!$C$27, $C$14, 100%, $E$14)</f>
        <v>9.5456000000000003</v>
      </c>
      <c r="M539" s="59">
        <f>9.5525 * CHOOSE(CONTROL!$C$27, $C$14, 100%, $E$14)</f>
        <v>9.5525000000000002</v>
      </c>
      <c r="N539" s="59">
        <f>9.5456 * CHOOSE(CONTROL!$C$27, $C$14, 100%, $E$14)</f>
        <v>9.5456000000000003</v>
      </c>
      <c r="O539" s="59">
        <f>9.5525 * CHOOSE(CONTROL!$C$27, $C$14, 100%, $E$14)</f>
        <v>9.5525000000000002</v>
      </c>
    </row>
    <row r="540" spans="1:15" ht="15">
      <c r="A540" s="11">
        <v>57527</v>
      </c>
      <c r="B540" s="58">
        <f>8.1404 * CHOOSE(CONTROL!$C$27, $C$14, 100%, $E$14)</f>
        <v>8.1403999999999996</v>
      </c>
      <c r="C540" s="58">
        <f>8.1404 * CHOOSE(CONTROL!$C$27, $C$14, 100%, $E$14)</f>
        <v>8.1403999999999996</v>
      </c>
      <c r="D540" s="58">
        <f>8.1461 * CHOOSE(CONTROL!$C$27, $C$14, 100%, $E$14)</f>
        <v>8.1461000000000006</v>
      </c>
      <c r="E540" s="59">
        <f>9.7022 * CHOOSE(CONTROL!$C$27, $C$14, 100%, $E$14)</f>
        <v>9.7021999999999995</v>
      </c>
      <c r="F540" s="59">
        <f>9.7022 * CHOOSE(CONTROL!$C$27, $C$14, 100%, $E$14)</f>
        <v>9.7021999999999995</v>
      </c>
      <c r="G540" s="59">
        <f>9.7091 * CHOOSE(CONTROL!$C$27, $C$14, 100%, $E$14)</f>
        <v>9.7090999999999994</v>
      </c>
      <c r="H540" s="59">
        <f>17.4846* CHOOSE(CONTROL!$C$27, $C$14, 100%, $E$14)</f>
        <v>17.4846</v>
      </c>
      <c r="I540" s="59">
        <f>17.4915 * CHOOSE(CONTROL!$C$27, $C$14, 100%, $E$14)</f>
        <v>17.491499999999998</v>
      </c>
      <c r="J540" s="59">
        <f>17.4846 * CHOOSE(CONTROL!$C$27, $C$14, 100%, $E$14)</f>
        <v>17.4846</v>
      </c>
      <c r="K540" s="59">
        <f>17.4915 * CHOOSE(CONTROL!$C$27, $C$14, 100%, $E$14)</f>
        <v>17.491499999999998</v>
      </c>
      <c r="L540" s="59">
        <f>9.7022 * CHOOSE(CONTROL!$C$27, $C$14, 100%, $E$14)</f>
        <v>9.7021999999999995</v>
      </c>
      <c r="M540" s="59">
        <f>9.7091 * CHOOSE(CONTROL!$C$27, $C$14, 100%, $E$14)</f>
        <v>9.7090999999999994</v>
      </c>
      <c r="N540" s="59">
        <f>9.7022 * CHOOSE(CONTROL!$C$27, $C$14, 100%, $E$14)</f>
        <v>9.7021999999999995</v>
      </c>
      <c r="O540" s="59">
        <f>9.7091 * CHOOSE(CONTROL!$C$27, $C$14, 100%, $E$14)</f>
        <v>9.7090999999999994</v>
      </c>
    </row>
    <row r="541" spans="1:15" ht="15">
      <c r="A541" s="11">
        <v>57558</v>
      </c>
      <c r="B541" s="58">
        <f>8.1471 * CHOOSE(CONTROL!$C$27, $C$14, 100%, $E$14)</f>
        <v>8.1471</v>
      </c>
      <c r="C541" s="58">
        <f>8.1471 * CHOOSE(CONTROL!$C$27, $C$14, 100%, $E$14)</f>
        <v>8.1471</v>
      </c>
      <c r="D541" s="58">
        <f>8.1527 * CHOOSE(CONTROL!$C$27, $C$14, 100%, $E$14)</f>
        <v>8.1526999999999994</v>
      </c>
      <c r="E541" s="59">
        <f>9.5568 * CHOOSE(CONTROL!$C$27, $C$14, 100%, $E$14)</f>
        <v>9.5568000000000008</v>
      </c>
      <c r="F541" s="59">
        <f>9.5568 * CHOOSE(CONTROL!$C$27, $C$14, 100%, $E$14)</f>
        <v>9.5568000000000008</v>
      </c>
      <c r="G541" s="59">
        <f>9.5637 * CHOOSE(CONTROL!$C$27, $C$14, 100%, $E$14)</f>
        <v>9.5637000000000008</v>
      </c>
      <c r="H541" s="59">
        <f>17.521* CHOOSE(CONTROL!$C$27, $C$14, 100%, $E$14)</f>
        <v>17.521000000000001</v>
      </c>
      <c r="I541" s="59">
        <f>17.5279 * CHOOSE(CONTROL!$C$27, $C$14, 100%, $E$14)</f>
        <v>17.527899999999999</v>
      </c>
      <c r="J541" s="59">
        <f>17.521 * CHOOSE(CONTROL!$C$27, $C$14, 100%, $E$14)</f>
        <v>17.521000000000001</v>
      </c>
      <c r="K541" s="59">
        <f>17.5279 * CHOOSE(CONTROL!$C$27, $C$14, 100%, $E$14)</f>
        <v>17.527899999999999</v>
      </c>
      <c r="L541" s="59">
        <f>9.5568 * CHOOSE(CONTROL!$C$27, $C$14, 100%, $E$14)</f>
        <v>9.5568000000000008</v>
      </c>
      <c r="M541" s="59">
        <f>9.5637 * CHOOSE(CONTROL!$C$27, $C$14, 100%, $E$14)</f>
        <v>9.5637000000000008</v>
      </c>
      <c r="N541" s="59">
        <f>9.5568 * CHOOSE(CONTROL!$C$27, $C$14, 100%, $E$14)</f>
        <v>9.5568000000000008</v>
      </c>
      <c r="O541" s="59">
        <f>9.5637 * CHOOSE(CONTROL!$C$27, $C$14, 100%, $E$14)</f>
        <v>9.5637000000000008</v>
      </c>
    </row>
    <row r="542" spans="1:15" ht="15">
      <c r="A542" s="11">
        <v>57589</v>
      </c>
      <c r="B542" s="58">
        <f>8.1441 * CHOOSE(CONTROL!$C$27, $C$14, 100%, $E$14)</f>
        <v>8.1440999999999999</v>
      </c>
      <c r="C542" s="58">
        <f>8.1441 * CHOOSE(CONTROL!$C$27, $C$14, 100%, $E$14)</f>
        <v>8.1440999999999999</v>
      </c>
      <c r="D542" s="58">
        <f>8.1497 * CHOOSE(CONTROL!$C$27, $C$14, 100%, $E$14)</f>
        <v>8.1496999999999993</v>
      </c>
      <c r="E542" s="59">
        <f>9.538 * CHOOSE(CONTROL!$C$27, $C$14, 100%, $E$14)</f>
        <v>9.5380000000000003</v>
      </c>
      <c r="F542" s="59">
        <f>9.538 * CHOOSE(CONTROL!$C$27, $C$14, 100%, $E$14)</f>
        <v>9.5380000000000003</v>
      </c>
      <c r="G542" s="59">
        <f>9.5449 * CHOOSE(CONTROL!$C$27, $C$14, 100%, $E$14)</f>
        <v>9.5449000000000002</v>
      </c>
      <c r="H542" s="59">
        <f>17.5575* CHOOSE(CONTROL!$C$27, $C$14, 100%, $E$14)</f>
        <v>17.557500000000001</v>
      </c>
      <c r="I542" s="59">
        <f>17.5644 * CHOOSE(CONTROL!$C$27, $C$14, 100%, $E$14)</f>
        <v>17.564399999999999</v>
      </c>
      <c r="J542" s="59">
        <f>17.5575 * CHOOSE(CONTROL!$C$27, $C$14, 100%, $E$14)</f>
        <v>17.557500000000001</v>
      </c>
      <c r="K542" s="59">
        <f>17.5644 * CHOOSE(CONTROL!$C$27, $C$14, 100%, $E$14)</f>
        <v>17.564399999999999</v>
      </c>
      <c r="L542" s="59">
        <f>9.538 * CHOOSE(CONTROL!$C$27, $C$14, 100%, $E$14)</f>
        <v>9.5380000000000003</v>
      </c>
      <c r="M542" s="59">
        <f>9.5449 * CHOOSE(CONTROL!$C$27, $C$14, 100%, $E$14)</f>
        <v>9.5449000000000002</v>
      </c>
      <c r="N542" s="59">
        <f>9.538 * CHOOSE(CONTROL!$C$27, $C$14, 100%, $E$14)</f>
        <v>9.5380000000000003</v>
      </c>
      <c r="O542" s="59">
        <f>9.5449 * CHOOSE(CONTROL!$C$27, $C$14, 100%, $E$14)</f>
        <v>9.5449000000000002</v>
      </c>
    </row>
    <row r="543" spans="1:15" ht="15">
      <c r="A543" s="11">
        <v>57619</v>
      </c>
      <c r="B543" s="58">
        <f>8.1527 * CHOOSE(CONTROL!$C$27, $C$14, 100%, $E$14)</f>
        <v>8.1526999999999994</v>
      </c>
      <c r="C543" s="58">
        <f>8.1527 * CHOOSE(CONTROL!$C$27, $C$14, 100%, $E$14)</f>
        <v>8.1526999999999994</v>
      </c>
      <c r="D543" s="58">
        <f>8.1567 * CHOOSE(CONTROL!$C$27, $C$14, 100%, $E$14)</f>
        <v>8.1567000000000007</v>
      </c>
      <c r="E543" s="59">
        <f>9.5913 * CHOOSE(CONTROL!$C$27, $C$14, 100%, $E$14)</f>
        <v>9.5913000000000004</v>
      </c>
      <c r="F543" s="59">
        <f>9.5913 * CHOOSE(CONTROL!$C$27, $C$14, 100%, $E$14)</f>
        <v>9.5913000000000004</v>
      </c>
      <c r="G543" s="59">
        <f>9.5962 * CHOOSE(CONTROL!$C$27, $C$14, 100%, $E$14)</f>
        <v>9.5961999999999996</v>
      </c>
      <c r="H543" s="59">
        <f>17.5941* CHOOSE(CONTROL!$C$27, $C$14, 100%, $E$14)</f>
        <v>17.594100000000001</v>
      </c>
      <c r="I543" s="59">
        <f>17.599 * CHOOSE(CONTROL!$C$27, $C$14, 100%, $E$14)</f>
        <v>17.599</v>
      </c>
      <c r="J543" s="59">
        <f>17.5941 * CHOOSE(CONTROL!$C$27, $C$14, 100%, $E$14)</f>
        <v>17.594100000000001</v>
      </c>
      <c r="K543" s="59">
        <f>17.599 * CHOOSE(CONTROL!$C$27, $C$14, 100%, $E$14)</f>
        <v>17.599</v>
      </c>
      <c r="L543" s="59">
        <f>9.5913 * CHOOSE(CONTROL!$C$27, $C$14, 100%, $E$14)</f>
        <v>9.5913000000000004</v>
      </c>
      <c r="M543" s="59">
        <f>9.5962 * CHOOSE(CONTROL!$C$27, $C$14, 100%, $E$14)</f>
        <v>9.5961999999999996</v>
      </c>
      <c r="N543" s="59">
        <f>9.5913 * CHOOSE(CONTROL!$C$27, $C$14, 100%, $E$14)</f>
        <v>9.5913000000000004</v>
      </c>
      <c r="O543" s="59">
        <f>9.5962 * CHOOSE(CONTROL!$C$27, $C$14, 100%, $E$14)</f>
        <v>9.5961999999999996</v>
      </c>
    </row>
    <row r="544" spans="1:15" ht="15">
      <c r="A544" s="11">
        <v>57650</v>
      </c>
      <c r="B544" s="58">
        <f>8.1558 * CHOOSE(CONTROL!$C$27, $C$14, 100%, $E$14)</f>
        <v>8.1557999999999993</v>
      </c>
      <c r="C544" s="58">
        <f>8.1558 * CHOOSE(CONTROL!$C$27, $C$14, 100%, $E$14)</f>
        <v>8.1557999999999993</v>
      </c>
      <c r="D544" s="58">
        <f>8.1597 * CHOOSE(CONTROL!$C$27, $C$14, 100%, $E$14)</f>
        <v>8.1597000000000008</v>
      </c>
      <c r="E544" s="59">
        <f>9.6267 * CHOOSE(CONTROL!$C$27, $C$14, 100%, $E$14)</f>
        <v>9.6266999999999996</v>
      </c>
      <c r="F544" s="59">
        <f>9.6267 * CHOOSE(CONTROL!$C$27, $C$14, 100%, $E$14)</f>
        <v>9.6266999999999996</v>
      </c>
      <c r="G544" s="59">
        <f>9.6317 * CHOOSE(CONTROL!$C$27, $C$14, 100%, $E$14)</f>
        <v>9.6317000000000004</v>
      </c>
      <c r="H544" s="59">
        <f>17.6308* CHOOSE(CONTROL!$C$27, $C$14, 100%, $E$14)</f>
        <v>17.630800000000001</v>
      </c>
      <c r="I544" s="59">
        <f>17.6357 * CHOOSE(CONTROL!$C$27, $C$14, 100%, $E$14)</f>
        <v>17.6357</v>
      </c>
      <c r="J544" s="59">
        <f>17.6308 * CHOOSE(CONTROL!$C$27, $C$14, 100%, $E$14)</f>
        <v>17.630800000000001</v>
      </c>
      <c r="K544" s="59">
        <f>17.6357 * CHOOSE(CONTROL!$C$27, $C$14, 100%, $E$14)</f>
        <v>17.6357</v>
      </c>
      <c r="L544" s="59">
        <f>9.6267 * CHOOSE(CONTROL!$C$27, $C$14, 100%, $E$14)</f>
        <v>9.6266999999999996</v>
      </c>
      <c r="M544" s="59">
        <f>9.6317 * CHOOSE(CONTROL!$C$27, $C$14, 100%, $E$14)</f>
        <v>9.6317000000000004</v>
      </c>
      <c r="N544" s="59">
        <f>9.6267 * CHOOSE(CONTROL!$C$27, $C$14, 100%, $E$14)</f>
        <v>9.6266999999999996</v>
      </c>
      <c r="O544" s="59">
        <f>9.6317 * CHOOSE(CONTROL!$C$27, $C$14, 100%, $E$14)</f>
        <v>9.6317000000000004</v>
      </c>
    </row>
    <row r="545" spans="1:15" ht="15">
      <c r="A545" s="11">
        <v>57680</v>
      </c>
      <c r="B545" s="58">
        <f>8.1558 * CHOOSE(CONTROL!$C$27, $C$14, 100%, $E$14)</f>
        <v>8.1557999999999993</v>
      </c>
      <c r="C545" s="58">
        <f>8.1558 * CHOOSE(CONTROL!$C$27, $C$14, 100%, $E$14)</f>
        <v>8.1557999999999993</v>
      </c>
      <c r="D545" s="58">
        <f>8.1597 * CHOOSE(CONTROL!$C$27, $C$14, 100%, $E$14)</f>
        <v>8.1597000000000008</v>
      </c>
      <c r="E545" s="59">
        <f>9.5434 * CHOOSE(CONTROL!$C$27, $C$14, 100%, $E$14)</f>
        <v>9.5434000000000001</v>
      </c>
      <c r="F545" s="59">
        <f>9.5434 * CHOOSE(CONTROL!$C$27, $C$14, 100%, $E$14)</f>
        <v>9.5434000000000001</v>
      </c>
      <c r="G545" s="59">
        <f>9.5483 * CHOOSE(CONTROL!$C$27, $C$14, 100%, $E$14)</f>
        <v>9.5482999999999993</v>
      </c>
      <c r="H545" s="59">
        <f>17.6675* CHOOSE(CONTROL!$C$27, $C$14, 100%, $E$14)</f>
        <v>17.6675</v>
      </c>
      <c r="I545" s="59">
        <f>17.6724 * CHOOSE(CONTROL!$C$27, $C$14, 100%, $E$14)</f>
        <v>17.6724</v>
      </c>
      <c r="J545" s="59">
        <f>17.6675 * CHOOSE(CONTROL!$C$27, $C$14, 100%, $E$14)</f>
        <v>17.6675</v>
      </c>
      <c r="K545" s="59">
        <f>17.6724 * CHOOSE(CONTROL!$C$27, $C$14, 100%, $E$14)</f>
        <v>17.6724</v>
      </c>
      <c r="L545" s="59">
        <f>9.5434 * CHOOSE(CONTROL!$C$27, $C$14, 100%, $E$14)</f>
        <v>9.5434000000000001</v>
      </c>
      <c r="M545" s="59">
        <f>9.5483 * CHOOSE(CONTROL!$C$27, $C$14, 100%, $E$14)</f>
        <v>9.5482999999999993</v>
      </c>
      <c r="N545" s="59">
        <f>9.5434 * CHOOSE(CONTROL!$C$27, $C$14, 100%, $E$14)</f>
        <v>9.5434000000000001</v>
      </c>
      <c r="O545" s="59">
        <f>9.5483 * CHOOSE(CONTROL!$C$27, $C$14, 100%, $E$14)</f>
        <v>9.5482999999999993</v>
      </c>
    </row>
    <row r="546" spans="1:15" ht="15">
      <c r="A546" s="11">
        <v>57711</v>
      </c>
      <c r="B546" s="58">
        <f>8.2256 * CHOOSE(CONTROL!$C$27, $C$14, 100%, $E$14)</f>
        <v>8.2256</v>
      </c>
      <c r="C546" s="58">
        <f>8.2256 * CHOOSE(CONTROL!$C$27, $C$14, 100%, $E$14)</f>
        <v>8.2256</v>
      </c>
      <c r="D546" s="58">
        <f>8.2296 * CHOOSE(CONTROL!$C$27, $C$14, 100%, $E$14)</f>
        <v>8.2295999999999996</v>
      </c>
      <c r="E546" s="59">
        <f>9.6809 * CHOOSE(CONTROL!$C$27, $C$14, 100%, $E$14)</f>
        <v>9.6808999999999994</v>
      </c>
      <c r="F546" s="59">
        <f>9.6809 * CHOOSE(CONTROL!$C$27, $C$14, 100%, $E$14)</f>
        <v>9.6808999999999994</v>
      </c>
      <c r="G546" s="59">
        <f>9.6859 * CHOOSE(CONTROL!$C$27, $C$14, 100%, $E$14)</f>
        <v>9.6859000000000002</v>
      </c>
      <c r="H546" s="59">
        <f>17.7043* CHOOSE(CONTROL!$C$27, $C$14, 100%, $E$14)</f>
        <v>17.7043</v>
      </c>
      <c r="I546" s="59">
        <f>17.7092 * CHOOSE(CONTROL!$C$27, $C$14, 100%, $E$14)</f>
        <v>17.709199999999999</v>
      </c>
      <c r="J546" s="59">
        <f>17.7043 * CHOOSE(CONTROL!$C$27, $C$14, 100%, $E$14)</f>
        <v>17.7043</v>
      </c>
      <c r="K546" s="59">
        <f>17.7092 * CHOOSE(CONTROL!$C$27, $C$14, 100%, $E$14)</f>
        <v>17.709199999999999</v>
      </c>
      <c r="L546" s="59">
        <f>9.6809 * CHOOSE(CONTROL!$C$27, $C$14, 100%, $E$14)</f>
        <v>9.6808999999999994</v>
      </c>
      <c r="M546" s="59">
        <f>9.6859 * CHOOSE(CONTROL!$C$27, $C$14, 100%, $E$14)</f>
        <v>9.6859000000000002</v>
      </c>
      <c r="N546" s="59">
        <f>9.6809 * CHOOSE(CONTROL!$C$27, $C$14, 100%, $E$14)</f>
        <v>9.6808999999999994</v>
      </c>
      <c r="O546" s="59">
        <f>9.6859 * CHOOSE(CONTROL!$C$27, $C$14, 100%, $E$14)</f>
        <v>9.6859000000000002</v>
      </c>
    </row>
    <row r="547" spans="1:15" ht="15">
      <c r="A547" s="11">
        <v>57742</v>
      </c>
      <c r="B547" s="58">
        <f>8.2226 * CHOOSE(CONTROL!$C$27, $C$14, 100%, $E$14)</f>
        <v>8.2225999999999999</v>
      </c>
      <c r="C547" s="58">
        <f>8.2226 * CHOOSE(CONTROL!$C$27, $C$14, 100%, $E$14)</f>
        <v>8.2225999999999999</v>
      </c>
      <c r="D547" s="58">
        <f>8.2266 * CHOOSE(CONTROL!$C$27, $C$14, 100%, $E$14)</f>
        <v>8.2265999999999995</v>
      </c>
      <c r="E547" s="59">
        <f>9.5169 * CHOOSE(CONTROL!$C$27, $C$14, 100%, $E$14)</f>
        <v>9.5168999999999997</v>
      </c>
      <c r="F547" s="59">
        <f>9.5169 * CHOOSE(CONTROL!$C$27, $C$14, 100%, $E$14)</f>
        <v>9.5168999999999997</v>
      </c>
      <c r="G547" s="59">
        <f>9.5218 * CHOOSE(CONTROL!$C$27, $C$14, 100%, $E$14)</f>
        <v>9.5218000000000007</v>
      </c>
      <c r="H547" s="59">
        <f>17.7412* CHOOSE(CONTROL!$C$27, $C$14, 100%, $E$14)</f>
        <v>17.741199999999999</v>
      </c>
      <c r="I547" s="59">
        <f>17.7461 * CHOOSE(CONTROL!$C$27, $C$14, 100%, $E$14)</f>
        <v>17.746099999999998</v>
      </c>
      <c r="J547" s="59">
        <f>17.7412 * CHOOSE(CONTROL!$C$27, $C$14, 100%, $E$14)</f>
        <v>17.741199999999999</v>
      </c>
      <c r="K547" s="59">
        <f>17.7461 * CHOOSE(CONTROL!$C$27, $C$14, 100%, $E$14)</f>
        <v>17.746099999999998</v>
      </c>
      <c r="L547" s="59">
        <f>9.5169 * CHOOSE(CONTROL!$C$27, $C$14, 100%, $E$14)</f>
        <v>9.5168999999999997</v>
      </c>
      <c r="M547" s="59">
        <f>9.5218 * CHOOSE(CONTROL!$C$27, $C$14, 100%, $E$14)</f>
        <v>9.5218000000000007</v>
      </c>
      <c r="N547" s="59">
        <f>9.5169 * CHOOSE(CONTROL!$C$27, $C$14, 100%, $E$14)</f>
        <v>9.5168999999999997</v>
      </c>
      <c r="O547" s="59">
        <f>9.5218 * CHOOSE(CONTROL!$C$27, $C$14, 100%, $E$14)</f>
        <v>9.5218000000000007</v>
      </c>
    </row>
    <row r="548" spans="1:15" ht="15">
      <c r="A548" s="11">
        <v>57770</v>
      </c>
      <c r="B548" s="58">
        <f>8.2195 * CHOOSE(CONTROL!$C$27, $C$14, 100%, $E$14)</f>
        <v>8.2195</v>
      </c>
      <c r="C548" s="58">
        <f>8.2195 * CHOOSE(CONTROL!$C$27, $C$14, 100%, $E$14)</f>
        <v>8.2195</v>
      </c>
      <c r="D548" s="58">
        <f>8.2235 * CHOOSE(CONTROL!$C$27, $C$14, 100%, $E$14)</f>
        <v>8.2234999999999996</v>
      </c>
      <c r="E548" s="59">
        <f>9.6424 * CHOOSE(CONTROL!$C$27, $C$14, 100%, $E$14)</f>
        <v>9.6424000000000003</v>
      </c>
      <c r="F548" s="59">
        <f>9.6424 * CHOOSE(CONTROL!$C$27, $C$14, 100%, $E$14)</f>
        <v>9.6424000000000003</v>
      </c>
      <c r="G548" s="59">
        <f>9.6473 * CHOOSE(CONTROL!$C$27, $C$14, 100%, $E$14)</f>
        <v>9.6472999999999995</v>
      </c>
      <c r="H548" s="59">
        <f>17.7782* CHOOSE(CONTROL!$C$27, $C$14, 100%, $E$14)</f>
        <v>17.778199999999998</v>
      </c>
      <c r="I548" s="59">
        <f>17.7831 * CHOOSE(CONTROL!$C$27, $C$14, 100%, $E$14)</f>
        <v>17.783100000000001</v>
      </c>
      <c r="J548" s="59">
        <f>17.7782 * CHOOSE(CONTROL!$C$27, $C$14, 100%, $E$14)</f>
        <v>17.778199999999998</v>
      </c>
      <c r="K548" s="59">
        <f>17.7831 * CHOOSE(CONTROL!$C$27, $C$14, 100%, $E$14)</f>
        <v>17.783100000000001</v>
      </c>
      <c r="L548" s="59">
        <f>9.6424 * CHOOSE(CONTROL!$C$27, $C$14, 100%, $E$14)</f>
        <v>9.6424000000000003</v>
      </c>
      <c r="M548" s="59">
        <f>9.6473 * CHOOSE(CONTROL!$C$27, $C$14, 100%, $E$14)</f>
        <v>9.6472999999999995</v>
      </c>
      <c r="N548" s="59">
        <f>9.6424 * CHOOSE(CONTROL!$C$27, $C$14, 100%, $E$14)</f>
        <v>9.6424000000000003</v>
      </c>
      <c r="O548" s="59">
        <f>9.6473 * CHOOSE(CONTROL!$C$27, $C$14, 100%, $E$14)</f>
        <v>9.6472999999999995</v>
      </c>
    </row>
    <row r="549" spans="1:15" ht="15">
      <c r="A549" s="11">
        <v>57801</v>
      </c>
      <c r="B549" s="58">
        <f>8.2208 * CHOOSE(CONTROL!$C$27, $C$14, 100%, $E$14)</f>
        <v>8.2208000000000006</v>
      </c>
      <c r="C549" s="58">
        <f>8.2208 * CHOOSE(CONTROL!$C$27, $C$14, 100%, $E$14)</f>
        <v>8.2208000000000006</v>
      </c>
      <c r="D549" s="58">
        <f>8.2248 * CHOOSE(CONTROL!$C$27, $C$14, 100%, $E$14)</f>
        <v>8.2248000000000001</v>
      </c>
      <c r="E549" s="59">
        <f>9.7753 * CHOOSE(CONTROL!$C$27, $C$14, 100%, $E$14)</f>
        <v>9.7752999999999997</v>
      </c>
      <c r="F549" s="59">
        <f>9.7753 * CHOOSE(CONTROL!$C$27, $C$14, 100%, $E$14)</f>
        <v>9.7752999999999997</v>
      </c>
      <c r="G549" s="59">
        <f>9.7802 * CHOOSE(CONTROL!$C$27, $C$14, 100%, $E$14)</f>
        <v>9.7802000000000007</v>
      </c>
      <c r="H549" s="59">
        <f>17.8152* CHOOSE(CONTROL!$C$27, $C$14, 100%, $E$14)</f>
        <v>17.815200000000001</v>
      </c>
      <c r="I549" s="59">
        <f>17.8201 * CHOOSE(CONTROL!$C$27, $C$14, 100%, $E$14)</f>
        <v>17.8201</v>
      </c>
      <c r="J549" s="59">
        <f>17.8152 * CHOOSE(CONTROL!$C$27, $C$14, 100%, $E$14)</f>
        <v>17.815200000000001</v>
      </c>
      <c r="K549" s="59">
        <f>17.8201 * CHOOSE(CONTROL!$C$27, $C$14, 100%, $E$14)</f>
        <v>17.8201</v>
      </c>
      <c r="L549" s="59">
        <f>9.7753 * CHOOSE(CONTROL!$C$27, $C$14, 100%, $E$14)</f>
        <v>9.7752999999999997</v>
      </c>
      <c r="M549" s="59">
        <f>9.7802 * CHOOSE(CONTROL!$C$27, $C$14, 100%, $E$14)</f>
        <v>9.7802000000000007</v>
      </c>
      <c r="N549" s="59">
        <f>9.7753 * CHOOSE(CONTROL!$C$27, $C$14, 100%, $E$14)</f>
        <v>9.7752999999999997</v>
      </c>
      <c r="O549" s="59">
        <f>9.7802 * CHOOSE(CONTROL!$C$27, $C$14, 100%, $E$14)</f>
        <v>9.7802000000000007</v>
      </c>
    </row>
    <row r="550" spans="1:15" ht="15">
      <c r="A550" s="11">
        <v>57831</v>
      </c>
      <c r="B550" s="58">
        <f>8.2208 * CHOOSE(CONTROL!$C$27, $C$14, 100%, $E$14)</f>
        <v>8.2208000000000006</v>
      </c>
      <c r="C550" s="58">
        <f>8.2208 * CHOOSE(CONTROL!$C$27, $C$14, 100%, $E$14)</f>
        <v>8.2208000000000006</v>
      </c>
      <c r="D550" s="58">
        <f>8.2264 * CHOOSE(CONTROL!$C$27, $C$14, 100%, $E$14)</f>
        <v>8.2263999999999999</v>
      </c>
      <c r="E550" s="59">
        <f>9.8267 * CHOOSE(CONTROL!$C$27, $C$14, 100%, $E$14)</f>
        <v>9.8267000000000007</v>
      </c>
      <c r="F550" s="59">
        <f>9.8267 * CHOOSE(CONTROL!$C$27, $C$14, 100%, $E$14)</f>
        <v>9.8267000000000007</v>
      </c>
      <c r="G550" s="59">
        <f>9.8336 * CHOOSE(CONTROL!$C$27, $C$14, 100%, $E$14)</f>
        <v>9.8336000000000006</v>
      </c>
      <c r="H550" s="59">
        <f>17.8523* CHOOSE(CONTROL!$C$27, $C$14, 100%, $E$14)</f>
        <v>17.8523</v>
      </c>
      <c r="I550" s="59">
        <f>17.8592 * CHOOSE(CONTROL!$C$27, $C$14, 100%, $E$14)</f>
        <v>17.859200000000001</v>
      </c>
      <c r="J550" s="59">
        <f>17.8523 * CHOOSE(CONTROL!$C$27, $C$14, 100%, $E$14)</f>
        <v>17.8523</v>
      </c>
      <c r="K550" s="59">
        <f>17.8592 * CHOOSE(CONTROL!$C$27, $C$14, 100%, $E$14)</f>
        <v>17.859200000000001</v>
      </c>
      <c r="L550" s="59">
        <f>9.8267 * CHOOSE(CONTROL!$C$27, $C$14, 100%, $E$14)</f>
        <v>9.8267000000000007</v>
      </c>
      <c r="M550" s="59">
        <f>9.8336 * CHOOSE(CONTROL!$C$27, $C$14, 100%, $E$14)</f>
        <v>9.8336000000000006</v>
      </c>
      <c r="N550" s="59">
        <f>9.8267 * CHOOSE(CONTROL!$C$27, $C$14, 100%, $E$14)</f>
        <v>9.8267000000000007</v>
      </c>
      <c r="O550" s="59">
        <f>9.8336 * CHOOSE(CONTROL!$C$27, $C$14, 100%, $E$14)</f>
        <v>9.8336000000000006</v>
      </c>
    </row>
    <row r="551" spans="1:15" ht="15">
      <c r="A551" s="11">
        <v>57862</v>
      </c>
      <c r="B551" s="58">
        <f>8.2269 * CHOOSE(CONTROL!$C$27, $C$14, 100%, $E$14)</f>
        <v>8.2269000000000005</v>
      </c>
      <c r="C551" s="58">
        <f>8.2269 * CHOOSE(CONTROL!$C$27, $C$14, 100%, $E$14)</f>
        <v>8.2269000000000005</v>
      </c>
      <c r="D551" s="58">
        <f>8.2325 * CHOOSE(CONTROL!$C$27, $C$14, 100%, $E$14)</f>
        <v>8.2324999999999999</v>
      </c>
      <c r="E551" s="59">
        <f>9.7795 * CHOOSE(CONTROL!$C$27, $C$14, 100%, $E$14)</f>
        <v>9.7795000000000005</v>
      </c>
      <c r="F551" s="59">
        <f>9.7795 * CHOOSE(CONTROL!$C$27, $C$14, 100%, $E$14)</f>
        <v>9.7795000000000005</v>
      </c>
      <c r="G551" s="59">
        <f>9.7864 * CHOOSE(CONTROL!$C$27, $C$14, 100%, $E$14)</f>
        <v>9.7864000000000004</v>
      </c>
      <c r="H551" s="59">
        <f>17.8895* CHOOSE(CONTROL!$C$27, $C$14, 100%, $E$14)</f>
        <v>17.889500000000002</v>
      </c>
      <c r="I551" s="59">
        <f>17.8964 * CHOOSE(CONTROL!$C$27, $C$14, 100%, $E$14)</f>
        <v>17.8964</v>
      </c>
      <c r="J551" s="59">
        <f>17.8895 * CHOOSE(CONTROL!$C$27, $C$14, 100%, $E$14)</f>
        <v>17.889500000000002</v>
      </c>
      <c r="K551" s="59">
        <f>17.8964 * CHOOSE(CONTROL!$C$27, $C$14, 100%, $E$14)</f>
        <v>17.8964</v>
      </c>
      <c r="L551" s="59">
        <f>9.7795 * CHOOSE(CONTROL!$C$27, $C$14, 100%, $E$14)</f>
        <v>9.7795000000000005</v>
      </c>
      <c r="M551" s="59">
        <f>9.7864 * CHOOSE(CONTROL!$C$27, $C$14, 100%, $E$14)</f>
        <v>9.7864000000000004</v>
      </c>
      <c r="N551" s="59">
        <f>9.7795 * CHOOSE(CONTROL!$C$27, $C$14, 100%, $E$14)</f>
        <v>9.7795000000000005</v>
      </c>
      <c r="O551" s="59">
        <f>9.7864 * CHOOSE(CONTROL!$C$27, $C$14, 100%, $E$14)</f>
        <v>9.7864000000000004</v>
      </c>
    </row>
    <row r="552" spans="1:15" ht="15">
      <c r="A552" s="11">
        <v>57892</v>
      </c>
      <c r="B552" s="58">
        <f>8.3557 * CHOOSE(CONTROL!$C$27, $C$14, 100%, $E$14)</f>
        <v>8.3557000000000006</v>
      </c>
      <c r="C552" s="58">
        <f>8.3557 * CHOOSE(CONTROL!$C$27, $C$14, 100%, $E$14)</f>
        <v>8.3557000000000006</v>
      </c>
      <c r="D552" s="58">
        <f>8.3613 * CHOOSE(CONTROL!$C$27, $C$14, 100%, $E$14)</f>
        <v>8.3613</v>
      </c>
      <c r="E552" s="59">
        <f>9.9397 * CHOOSE(CONTROL!$C$27, $C$14, 100%, $E$14)</f>
        <v>9.9397000000000002</v>
      </c>
      <c r="F552" s="59">
        <f>9.9397 * CHOOSE(CONTROL!$C$27, $C$14, 100%, $E$14)</f>
        <v>9.9397000000000002</v>
      </c>
      <c r="G552" s="59">
        <f>9.9466 * CHOOSE(CONTROL!$C$27, $C$14, 100%, $E$14)</f>
        <v>9.9466000000000001</v>
      </c>
      <c r="H552" s="59">
        <f>17.9268* CHOOSE(CONTROL!$C$27, $C$14, 100%, $E$14)</f>
        <v>17.9268</v>
      </c>
      <c r="I552" s="59">
        <f>17.9337 * CHOOSE(CONTROL!$C$27, $C$14, 100%, $E$14)</f>
        <v>17.933700000000002</v>
      </c>
      <c r="J552" s="59">
        <f>17.9268 * CHOOSE(CONTROL!$C$27, $C$14, 100%, $E$14)</f>
        <v>17.9268</v>
      </c>
      <c r="K552" s="59">
        <f>17.9337 * CHOOSE(CONTROL!$C$27, $C$14, 100%, $E$14)</f>
        <v>17.933700000000002</v>
      </c>
      <c r="L552" s="59">
        <f>9.9397 * CHOOSE(CONTROL!$C$27, $C$14, 100%, $E$14)</f>
        <v>9.9397000000000002</v>
      </c>
      <c r="M552" s="59">
        <f>9.9466 * CHOOSE(CONTROL!$C$27, $C$14, 100%, $E$14)</f>
        <v>9.9466000000000001</v>
      </c>
      <c r="N552" s="59">
        <f>9.9397 * CHOOSE(CONTROL!$C$27, $C$14, 100%, $E$14)</f>
        <v>9.9397000000000002</v>
      </c>
      <c r="O552" s="59">
        <f>9.9466 * CHOOSE(CONTROL!$C$27, $C$14, 100%, $E$14)</f>
        <v>9.9466000000000001</v>
      </c>
    </row>
    <row r="553" spans="1:15" ht="15">
      <c r="A553" s="11">
        <v>57923</v>
      </c>
      <c r="B553" s="58">
        <f>8.3623 * CHOOSE(CONTROL!$C$27, $C$14, 100%, $E$14)</f>
        <v>8.3622999999999994</v>
      </c>
      <c r="C553" s="58">
        <f>8.3623 * CHOOSE(CONTROL!$C$27, $C$14, 100%, $E$14)</f>
        <v>8.3622999999999994</v>
      </c>
      <c r="D553" s="58">
        <f>8.368 * CHOOSE(CONTROL!$C$27, $C$14, 100%, $E$14)</f>
        <v>8.3680000000000003</v>
      </c>
      <c r="E553" s="59">
        <f>9.7901 * CHOOSE(CONTROL!$C$27, $C$14, 100%, $E$14)</f>
        <v>9.7901000000000007</v>
      </c>
      <c r="F553" s="59">
        <f>9.7901 * CHOOSE(CONTROL!$C$27, $C$14, 100%, $E$14)</f>
        <v>9.7901000000000007</v>
      </c>
      <c r="G553" s="59">
        <f>9.797 * CHOOSE(CONTROL!$C$27, $C$14, 100%, $E$14)</f>
        <v>9.7970000000000006</v>
      </c>
      <c r="H553" s="59">
        <f>17.9641* CHOOSE(CONTROL!$C$27, $C$14, 100%, $E$14)</f>
        <v>17.964099999999998</v>
      </c>
      <c r="I553" s="59">
        <f>17.971 * CHOOSE(CONTROL!$C$27, $C$14, 100%, $E$14)</f>
        <v>17.971</v>
      </c>
      <c r="J553" s="59">
        <f>17.9641 * CHOOSE(CONTROL!$C$27, $C$14, 100%, $E$14)</f>
        <v>17.964099999999998</v>
      </c>
      <c r="K553" s="59">
        <f>17.971 * CHOOSE(CONTROL!$C$27, $C$14, 100%, $E$14)</f>
        <v>17.971</v>
      </c>
      <c r="L553" s="59">
        <f>9.7901 * CHOOSE(CONTROL!$C$27, $C$14, 100%, $E$14)</f>
        <v>9.7901000000000007</v>
      </c>
      <c r="M553" s="59">
        <f>9.797 * CHOOSE(CONTROL!$C$27, $C$14, 100%, $E$14)</f>
        <v>9.7970000000000006</v>
      </c>
      <c r="N553" s="59">
        <f>9.7901 * CHOOSE(CONTROL!$C$27, $C$14, 100%, $E$14)</f>
        <v>9.7901000000000007</v>
      </c>
      <c r="O553" s="59">
        <f>9.797 * CHOOSE(CONTROL!$C$27, $C$14, 100%, $E$14)</f>
        <v>9.7970000000000006</v>
      </c>
    </row>
    <row r="554" spans="1:15" ht="15">
      <c r="A554" s="11">
        <v>57954</v>
      </c>
      <c r="B554" s="58">
        <f>8.3593 * CHOOSE(CONTROL!$C$27, $C$14, 100%, $E$14)</f>
        <v>8.3592999999999993</v>
      </c>
      <c r="C554" s="58">
        <f>8.3593 * CHOOSE(CONTROL!$C$27, $C$14, 100%, $E$14)</f>
        <v>8.3592999999999993</v>
      </c>
      <c r="D554" s="58">
        <f>8.3649 * CHOOSE(CONTROL!$C$27, $C$14, 100%, $E$14)</f>
        <v>8.3649000000000004</v>
      </c>
      <c r="E554" s="59">
        <f>9.7709 * CHOOSE(CONTROL!$C$27, $C$14, 100%, $E$14)</f>
        <v>9.7708999999999993</v>
      </c>
      <c r="F554" s="59">
        <f>9.7709 * CHOOSE(CONTROL!$C$27, $C$14, 100%, $E$14)</f>
        <v>9.7708999999999993</v>
      </c>
      <c r="G554" s="59">
        <f>9.7777 * CHOOSE(CONTROL!$C$27, $C$14, 100%, $E$14)</f>
        <v>9.7776999999999994</v>
      </c>
      <c r="H554" s="59">
        <f>18.0015* CHOOSE(CONTROL!$C$27, $C$14, 100%, $E$14)</f>
        <v>18.0015</v>
      </c>
      <c r="I554" s="59">
        <f>18.0084 * CHOOSE(CONTROL!$C$27, $C$14, 100%, $E$14)</f>
        <v>18.008400000000002</v>
      </c>
      <c r="J554" s="59">
        <f>18.0015 * CHOOSE(CONTROL!$C$27, $C$14, 100%, $E$14)</f>
        <v>18.0015</v>
      </c>
      <c r="K554" s="59">
        <f>18.0084 * CHOOSE(CONTROL!$C$27, $C$14, 100%, $E$14)</f>
        <v>18.008400000000002</v>
      </c>
      <c r="L554" s="59">
        <f>9.7709 * CHOOSE(CONTROL!$C$27, $C$14, 100%, $E$14)</f>
        <v>9.7708999999999993</v>
      </c>
      <c r="M554" s="59">
        <f>9.7777 * CHOOSE(CONTROL!$C$27, $C$14, 100%, $E$14)</f>
        <v>9.7776999999999994</v>
      </c>
      <c r="N554" s="59">
        <f>9.7709 * CHOOSE(CONTROL!$C$27, $C$14, 100%, $E$14)</f>
        <v>9.7708999999999993</v>
      </c>
      <c r="O554" s="59">
        <f>9.7777 * CHOOSE(CONTROL!$C$27, $C$14, 100%, $E$14)</f>
        <v>9.7776999999999994</v>
      </c>
    </row>
    <row r="555" spans="1:15" ht="15">
      <c r="A555" s="11">
        <v>57984</v>
      </c>
      <c r="B555" s="58">
        <f>8.3686 * CHOOSE(CONTROL!$C$27, $C$14, 100%, $E$14)</f>
        <v>8.3686000000000007</v>
      </c>
      <c r="C555" s="58">
        <f>8.3686 * CHOOSE(CONTROL!$C$27, $C$14, 100%, $E$14)</f>
        <v>8.3686000000000007</v>
      </c>
      <c r="D555" s="58">
        <f>8.3726 * CHOOSE(CONTROL!$C$27, $C$14, 100%, $E$14)</f>
        <v>8.3726000000000003</v>
      </c>
      <c r="E555" s="59">
        <f>9.826 * CHOOSE(CONTROL!$C$27, $C$14, 100%, $E$14)</f>
        <v>9.8260000000000005</v>
      </c>
      <c r="F555" s="59">
        <f>9.826 * CHOOSE(CONTROL!$C$27, $C$14, 100%, $E$14)</f>
        <v>9.8260000000000005</v>
      </c>
      <c r="G555" s="59">
        <f>9.8309 * CHOOSE(CONTROL!$C$27, $C$14, 100%, $E$14)</f>
        <v>9.8308999999999997</v>
      </c>
      <c r="H555" s="59">
        <f>18.039* CHOOSE(CONTROL!$C$27, $C$14, 100%, $E$14)</f>
        <v>18.039000000000001</v>
      </c>
      <c r="I555" s="59">
        <f>18.044 * CHOOSE(CONTROL!$C$27, $C$14, 100%, $E$14)</f>
        <v>18.044</v>
      </c>
      <c r="J555" s="59">
        <f>18.039 * CHOOSE(CONTROL!$C$27, $C$14, 100%, $E$14)</f>
        <v>18.039000000000001</v>
      </c>
      <c r="K555" s="59">
        <f>18.044 * CHOOSE(CONTROL!$C$27, $C$14, 100%, $E$14)</f>
        <v>18.044</v>
      </c>
      <c r="L555" s="59">
        <f>9.826 * CHOOSE(CONTROL!$C$27, $C$14, 100%, $E$14)</f>
        <v>9.8260000000000005</v>
      </c>
      <c r="M555" s="59">
        <f>9.8309 * CHOOSE(CONTROL!$C$27, $C$14, 100%, $E$14)</f>
        <v>9.8308999999999997</v>
      </c>
      <c r="N555" s="59">
        <f>9.826 * CHOOSE(CONTROL!$C$27, $C$14, 100%, $E$14)</f>
        <v>9.8260000000000005</v>
      </c>
      <c r="O555" s="59">
        <f>9.8309 * CHOOSE(CONTROL!$C$27, $C$14, 100%, $E$14)</f>
        <v>9.8308999999999997</v>
      </c>
    </row>
    <row r="556" spans="1:15" ht="15">
      <c r="A556" s="11">
        <v>58015</v>
      </c>
      <c r="B556" s="58">
        <f>8.3717 * CHOOSE(CONTROL!$C$27, $C$14, 100%, $E$14)</f>
        <v>8.3717000000000006</v>
      </c>
      <c r="C556" s="58">
        <f>8.3717 * CHOOSE(CONTROL!$C$27, $C$14, 100%, $E$14)</f>
        <v>8.3717000000000006</v>
      </c>
      <c r="D556" s="58">
        <f>8.3757 * CHOOSE(CONTROL!$C$27, $C$14, 100%, $E$14)</f>
        <v>8.3757000000000001</v>
      </c>
      <c r="E556" s="59">
        <f>9.8624 * CHOOSE(CONTROL!$C$27, $C$14, 100%, $E$14)</f>
        <v>9.8623999999999992</v>
      </c>
      <c r="F556" s="59">
        <f>9.8624 * CHOOSE(CONTROL!$C$27, $C$14, 100%, $E$14)</f>
        <v>9.8623999999999992</v>
      </c>
      <c r="G556" s="59">
        <f>9.8673 * CHOOSE(CONTROL!$C$27, $C$14, 100%, $E$14)</f>
        <v>9.8673000000000002</v>
      </c>
      <c r="H556" s="59">
        <f>18.0766* CHOOSE(CONTROL!$C$27, $C$14, 100%, $E$14)</f>
        <v>18.076599999999999</v>
      </c>
      <c r="I556" s="59">
        <f>18.0815 * CHOOSE(CONTROL!$C$27, $C$14, 100%, $E$14)</f>
        <v>18.081499999999998</v>
      </c>
      <c r="J556" s="59">
        <f>18.0766 * CHOOSE(CONTROL!$C$27, $C$14, 100%, $E$14)</f>
        <v>18.076599999999999</v>
      </c>
      <c r="K556" s="59">
        <f>18.0815 * CHOOSE(CONTROL!$C$27, $C$14, 100%, $E$14)</f>
        <v>18.081499999999998</v>
      </c>
      <c r="L556" s="59">
        <f>9.8624 * CHOOSE(CONTROL!$C$27, $C$14, 100%, $E$14)</f>
        <v>9.8623999999999992</v>
      </c>
      <c r="M556" s="59">
        <f>9.8673 * CHOOSE(CONTROL!$C$27, $C$14, 100%, $E$14)</f>
        <v>9.8673000000000002</v>
      </c>
      <c r="N556" s="59">
        <f>9.8624 * CHOOSE(CONTROL!$C$27, $C$14, 100%, $E$14)</f>
        <v>9.8623999999999992</v>
      </c>
      <c r="O556" s="59">
        <f>9.8673 * CHOOSE(CONTROL!$C$27, $C$14, 100%, $E$14)</f>
        <v>9.8673000000000002</v>
      </c>
    </row>
    <row r="557" spans="1:15" ht="15">
      <c r="A557" s="11">
        <v>58045</v>
      </c>
      <c r="B557" s="58">
        <f>8.3717 * CHOOSE(CONTROL!$C$27, $C$14, 100%, $E$14)</f>
        <v>8.3717000000000006</v>
      </c>
      <c r="C557" s="58">
        <f>8.3717 * CHOOSE(CONTROL!$C$27, $C$14, 100%, $E$14)</f>
        <v>8.3717000000000006</v>
      </c>
      <c r="D557" s="58">
        <f>8.3757 * CHOOSE(CONTROL!$C$27, $C$14, 100%, $E$14)</f>
        <v>8.3757000000000001</v>
      </c>
      <c r="E557" s="59">
        <f>9.7767 * CHOOSE(CONTROL!$C$27, $C$14, 100%, $E$14)</f>
        <v>9.7766999999999999</v>
      </c>
      <c r="F557" s="59">
        <f>9.7767 * CHOOSE(CONTROL!$C$27, $C$14, 100%, $E$14)</f>
        <v>9.7766999999999999</v>
      </c>
      <c r="G557" s="59">
        <f>9.7816 * CHOOSE(CONTROL!$C$27, $C$14, 100%, $E$14)</f>
        <v>9.7815999999999992</v>
      </c>
      <c r="H557" s="59">
        <f>18.1143* CHOOSE(CONTROL!$C$27, $C$14, 100%, $E$14)</f>
        <v>18.1143</v>
      </c>
      <c r="I557" s="59">
        <f>18.1192 * CHOOSE(CONTROL!$C$27, $C$14, 100%, $E$14)</f>
        <v>18.119199999999999</v>
      </c>
      <c r="J557" s="59">
        <f>18.1143 * CHOOSE(CONTROL!$C$27, $C$14, 100%, $E$14)</f>
        <v>18.1143</v>
      </c>
      <c r="K557" s="59">
        <f>18.1192 * CHOOSE(CONTROL!$C$27, $C$14, 100%, $E$14)</f>
        <v>18.119199999999999</v>
      </c>
      <c r="L557" s="59">
        <f>9.7767 * CHOOSE(CONTROL!$C$27, $C$14, 100%, $E$14)</f>
        <v>9.7766999999999999</v>
      </c>
      <c r="M557" s="59">
        <f>9.7816 * CHOOSE(CONTROL!$C$27, $C$14, 100%, $E$14)</f>
        <v>9.7815999999999992</v>
      </c>
      <c r="N557" s="59">
        <f>9.7767 * CHOOSE(CONTROL!$C$27, $C$14, 100%, $E$14)</f>
        <v>9.7766999999999999</v>
      </c>
      <c r="O557" s="59">
        <f>9.7816 * CHOOSE(CONTROL!$C$27, $C$14, 100%, $E$14)</f>
        <v>9.7815999999999992</v>
      </c>
    </row>
    <row r="558" spans="1:15" ht="15">
      <c r="A558" s="11">
        <v>58076</v>
      </c>
      <c r="B558" s="58">
        <f>8.4433 * CHOOSE(CONTROL!$C$27, $C$14, 100%, $E$14)</f>
        <v>8.4433000000000007</v>
      </c>
      <c r="C558" s="58">
        <f>8.4433 * CHOOSE(CONTROL!$C$27, $C$14, 100%, $E$14)</f>
        <v>8.4433000000000007</v>
      </c>
      <c r="D558" s="58">
        <f>8.4473 * CHOOSE(CONTROL!$C$27, $C$14, 100%, $E$14)</f>
        <v>8.4473000000000003</v>
      </c>
      <c r="E558" s="59">
        <f>9.9178 * CHOOSE(CONTROL!$C$27, $C$14, 100%, $E$14)</f>
        <v>9.9177999999999997</v>
      </c>
      <c r="F558" s="59">
        <f>9.9178 * CHOOSE(CONTROL!$C$27, $C$14, 100%, $E$14)</f>
        <v>9.9177999999999997</v>
      </c>
      <c r="G558" s="59">
        <f>9.9227 * CHOOSE(CONTROL!$C$27, $C$14, 100%, $E$14)</f>
        <v>9.9227000000000007</v>
      </c>
      <c r="H558" s="59">
        <f>18.152* CHOOSE(CONTROL!$C$27, $C$14, 100%, $E$14)</f>
        <v>18.152000000000001</v>
      </c>
      <c r="I558" s="59">
        <f>18.1569 * CHOOSE(CONTROL!$C$27, $C$14, 100%, $E$14)</f>
        <v>18.1569</v>
      </c>
      <c r="J558" s="59">
        <f>18.152 * CHOOSE(CONTROL!$C$27, $C$14, 100%, $E$14)</f>
        <v>18.152000000000001</v>
      </c>
      <c r="K558" s="59">
        <f>18.1569 * CHOOSE(CONTROL!$C$27, $C$14, 100%, $E$14)</f>
        <v>18.1569</v>
      </c>
      <c r="L558" s="59">
        <f>9.9178 * CHOOSE(CONTROL!$C$27, $C$14, 100%, $E$14)</f>
        <v>9.9177999999999997</v>
      </c>
      <c r="M558" s="59">
        <f>9.9227 * CHOOSE(CONTROL!$C$27, $C$14, 100%, $E$14)</f>
        <v>9.9227000000000007</v>
      </c>
      <c r="N558" s="59">
        <f>9.9178 * CHOOSE(CONTROL!$C$27, $C$14, 100%, $E$14)</f>
        <v>9.9177999999999997</v>
      </c>
      <c r="O558" s="59">
        <f>9.9227 * CHOOSE(CONTROL!$C$27, $C$14, 100%, $E$14)</f>
        <v>9.9227000000000007</v>
      </c>
    </row>
    <row r="559" spans="1:15" ht="15">
      <c r="A559" s="11">
        <v>58107</v>
      </c>
      <c r="B559" s="58">
        <f>8.4402 * CHOOSE(CONTROL!$C$27, $C$14, 100%, $E$14)</f>
        <v>8.4402000000000008</v>
      </c>
      <c r="C559" s="58">
        <f>8.4402 * CHOOSE(CONTROL!$C$27, $C$14, 100%, $E$14)</f>
        <v>8.4402000000000008</v>
      </c>
      <c r="D559" s="58">
        <f>8.4442 * CHOOSE(CONTROL!$C$27, $C$14, 100%, $E$14)</f>
        <v>8.4442000000000004</v>
      </c>
      <c r="E559" s="59">
        <f>9.7492 * CHOOSE(CONTROL!$C$27, $C$14, 100%, $E$14)</f>
        <v>9.7492000000000001</v>
      </c>
      <c r="F559" s="59">
        <f>9.7492 * CHOOSE(CONTROL!$C$27, $C$14, 100%, $E$14)</f>
        <v>9.7492000000000001</v>
      </c>
      <c r="G559" s="59">
        <f>9.7541 * CHOOSE(CONTROL!$C$27, $C$14, 100%, $E$14)</f>
        <v>9.7540999999999993</v>
      </c>
      <c r="H559" s="59">
        <f>18.1898* CHOOSE(CONTROL!$C$27, $C$14, 100%, $E$14)</f>
        <v>18.189800000000002</v>
      </c>
      <c r="I559" s="59">
        <f>18.1948 * CHOOSE(CONTROL!$C$27, $C$14, 100%, $E$14)</f>
        <v>18.194800000000001</v>
      </c>
      <c r="J559" s="59">
        <f>18.1898 * CHOOSE(CONTROL!$C$27, $C$14, 100%, $E$14)</f>
        <v>18.189800000000002</v>
      </c>
      <c r="K559" s="59">
        <f>18.1948 * CHOOSE(CONTROL!$C$27, $C$14, 100%, $E$14)</f>
        <v>18.194800000000001</v>
      </c>
      <c r="L559" s="59">
        <f>9.7492 * CHOOSE(CONTROL!$C$27, $C$14, 100%, $E$14)</f>
        <v>9.7492000000000001</v>
      </c>
      <c r="M559" s="59">
        <f>9.7541 * CHOOSE(CONTROL!$C$27, $C$14, 100%, $E$14)</f>
        <v>9.7540999999999993</v>
      </c>
      <c r="N559" s="59">
        <f>9.7492 * CHOOSE(CONTROL!$C$27, $C$14, 100%, $E$14)</f>
        <v>9.7492000000000001</v>
      </c>
      <c r="O559" s="59">
        <f>9.7541 * CHOOSE(CONTROL!$C$27, $C$14, 100%, $E$14)</f>
        <v>9.7540999999999993</v>
      </c>
    </row>
    <row r="560" spans="1:15" ht="15">
      <c r="A560" s="11">
        <v>58135</v>
      </c>
      <c r="B560" s="58">
        <f>8.4372 * CHOOSE(CONTROL!$C$27, $C$14, 100%, $E$14)</f>
        <v>8.4372000000000007</v>
      </c>
      <c r="C560" s="58">
        <f>8.4372 * CHOOSE(CONTROL!$C$27, $C$14, 100%, $E$14)</f>
        <v>8.4372000000000007</v>
      </c>
      <c r="D560" s="58">
        <f>8.4412 * CHOOSE(CONTROL!$C$27, $C$14, 100%, $E$14)</f>
        <v>8.4412000000000003</v>
      </c>
      <c r="E560" s="59">
        <f>9.8783 * CHOOSE(CONTROL!$C$27, $C$14, 100%, $E$14)</f>
        <v>9.8782999999999994</v>
      </c>
      <c r="F560" s="59">
        <f>9.8783 * CHOOSE(CONTROL!$C$27, $C$14, 100%, $E$14)</f>
        <v>9.8782999999999994</v>
      </c>
      <c r="G560" s="59">
        <f>9.8832 * CHOOSE(CONTROL!$C$27, $C$14, 100%, $E$14)</f>
        <v>9.8832000000000004</v>
      </c>
      <c r="H560" s="59">
        <f>18.2277* CHOOSE(CONTROL!$C$27, $C$14, 100%, $E$14)</f>
        <v>18.227699999999999</v>
      </c>
      <c r="I560" s="59">
        <f>18.2327 * CHOOSE(CONTROL!$C$27, $C$14, 100%, $E$14)</f>
        <v>18.232700000000001</v>
      </c>
      <c r="J560" s="59">
        <f>18.2277 * CHOOSE(CONTROL!$C$27, $C$14, 100%, $E$14)</f>
        <v>18.227699999999999</v>
      </c>
      <c r="K560" s="59">
        <f>18.2327 * CHOOSE(CONTROL!$C$27, $C$14, 100%, $E$14)</f>
        <v>18.232700000000001</v>
      </c>
      <c r="L560" s="59">
        <f>9.8783 * CHOOSE(CONTROL!$C$27, $C$14, 100%, $E$14)</f>
        <v>9.8782999999999994</v>
      </c>
      <c r="M560" s="59">
        <f>9.8832 * CHOOSE(CONTROL!$C$27, $C$14, 100%, $E$14)</f>
        <v>9.8832000000000004</v>
      </c>
      <c r="N560" s="59">
        <f>9.8783 * CHOOSE(CONTROL!$C$27, $C$14, 100%, $E$14)</f>
        <v>9.8782999999999994</v>
      </c>
      <c r="O560" s="59">
        <f>9.8832 * CHOOSE(CONTROL!$C$27, $C$14, 100%, $E$14)</f>
        <v>9.8832000000000004</v>
      </c>
    </row>
    <row r="561" spans="1:15" ht="15">
      <c r="A561" s="11">
        <v>58166</v>
      </c>
      <c r="B561" s="58">
        <f>8.4386 * CHOOSE(CONTROL!$C$27, $C$14, 100%, $E$14)</f>
        <v>8.4385999999999992</v>
      </c>
      <c r="C561" s="58">
        <f>8.4386 * CHOOSE(CONTROL!$C$27, $C$14, 100%, $E$14)</f>
        <v>8.4385999999999992</v>
      </c>
      <c r="D561" s="58">
        <f>8.4426 * CHOOSE(CONTROL!$C$27, $C$14, 100%, $E$14)</f>
        <v>8.4426000000000005</v>
      </c>
      <c r="E561" s="59">
        <f>10.015 * CHOOSE(CONTROL!$C$27, $C$14, 100%, $E$14)</f>
        <v>10.015000000000001</v>
      </c>
      <c r="F561" s="59">
        <f>10.015 * CHOOSE(CONTROL!$C$27, $C$14, 100%, $E$14)</f>
        <v>10.015000000000001</v>
      </c>
      <c r="G561" s="59">
        <f>10.0199 * CHOOSE(CONTROL!$C$27, $C$14, 100%, $E$14)</f>
        <v>10.0199</v>
      </c>
      <c r="H561" s="59">
        <f>18.2657* CHOOSE(CONTROL!$C$27, $C$14, 100%, $E$14)</f>
        <v>18.265699999999999</v>
      </c>
      <c r="I561" s="59">
        <f>18.2706 * CHOOSE(CONTROL!$C$27, $C$14, 100%, $E$14)</f>
        <v>18.270600000000002</v>
      </c>
      <c r="J561" s="59">
        <f>18.2657 * CHOOSE(CONTROL!$C$27, $C$14, 100%, $E$14)</f>
        <v>18.265699999999999</v>
      </c>
      <c r="K561" s="59">
        <f>18.2706 * CHOOSE(CONTROL!$C$27, $C$14, 100%, $E$14)</f>
        <v>18.270600000000002</v>
      </c>
      <c r="L561" s="59">
        <f>10.015 * CHOOSE(CONTROL!$C$27, $C$14, 100%, $E$14)</f>
        <v>10.015000000000001</v>
      </c>
      <c r="M561" s="59">
        <f>10.0199 * CHOOSE(CONTROL!$C$27, $C$14, 100%, $E$14)</f>
        <v>10.0199</v>
      </c>
      <c r="N561" s="59">
        <f>10.015 * CHOOSE(CONTROL!$C$27, $C$14, 100%, $E$14)</f>
        <v>10.015000000000001</v>
      </c>
      <c r="O561" s="59">
        <f>10.0199 * CHOOSE(CONTROL!$C$27, $C$14, 100%, $E$14)</f>
        <v>10.0199</v>
      </c>
    </row>
    <row r="562" spans="1:15" ht="15">
      <c r="A562" s="11">
        <v>58196</v>
      </c>
      <c r="B562" s="58">
        <f>8.4386 * CHOOSE(CONTROL!$C$27, $C$14, 100%, $E$14)</f>
        <v>8.4385999999999992</v>
      </c>
      <c r="C562" s="58">
        <f>8.4386 * CHOOSE(CONTROL!$C$27, $C$14, 100%, $E$14)</f>
        <v>8.4385999999999992</v>
      </c>
      <c r="D562" s="58">
        <f>8.4443 * CHOOSE(CONTROL!$C$27, $C$14, 100%, $E$14)</f>
        <v>8.4443000000000001</v>
      </c>
      <c r="E562" s="59">
        <f>10.0679 * CHOOSE(CONTROL!$C$27, $C$14, 100%, $E$14)</f>
        <v>10.0679</v>
      </c>
      <c r="F562" s="59">
        <f>10.0679 * CHOOSE(CONTROL!$C$27, $C$14, 100%, $E$14)</f>
        <v>10.0679</v>
      </c>
      <c r="G562" s="59">
        <f>10.0747 * CHOOSE(CONTROL!$C$27, $C$14, 100%, $E$14)</f>
        <v>10.0747</v>
      </c>
      <c r="H562" s="59">
        <f>18.3038* CHOOSE(CONTROL!$C$27, $C$14, 100%, $E$14)</f>
        <v>18.303799999999999</v>
      </c>
      <c r="I562" s="59">
        <f>18.3107 * CHOOSE(CONTROL!$C$27, $C$14, 100%, $E$14)</f>
        <v>18.310700000000001</v>
      </c>
      <c r="J562" s="59">
        <f>18.3038 * CHOOSE(CONTROL!$C$27, $C$14, 100%, $E$14)</f>
        <v>18.303799999999999</v>
      </c>
      <c r="K562" s="59">
        <f>18.3107 * CHOOSE(CONTROL!$C$27, $C$14, 100%, $E$14)</f>
        <v>18.310700000000001</v>
      </c>
      <c r="L562" s="59">
        <f>10.0679 * CHOOSE(CONTROL!$C$27, $C$14, 100%, $E$14)</f>
        <v>10.0679</v>
      </c>
      <c r="M562" s="59">
        <f>10.0747 * CHOOSE(CONTROL!$C$27, $C$14, 100%, $E$14)</f>
        <v>10.0747</v>
      </c>
      <c r="N562" s="59">
        <f>10.0679 * CHOOSE(CONTROL!$C$27, $C$14, 100%, $E$14)</f>
        <v>10.0679</v>
      </c>
      <c r="O562" s="59">
        <f>10.0747 * CHOOSE(CONTROL!$C$27, $C$14, 100%, $E$14)</f>
        <v>10.0747</v>
      </c>
    </row>
    <row r="563" spans="1:15" ht="15">
      <c r="A563" s="11">
        <v>58227</v>
      </c>
      <c r="B563" s="58">
        <f>8.4447 * CHOOSE(CONTROL!$C$27, $C$14, 100%, $E$14)</f>
        <v>8.4446999999999992</v>
      </c>
      <c r="C563" s="58">
        <f>8.4447 * CHOOSE(CONTROL!$C$27, $C$14, 100%, $E$14)</f>
        <v>8.4446999999999992</v>
      </c>
      <c r="D563" s="58">
        <f>8.4503 * CHOOSE(CONTROL!$C$27, $C$14, 100%, $E$14)</f>
        <v>8.4503000000000004</v>
      </c>
      <c r="E563" s="59">
        <f>10.0192 * CHOOSE(CONTROL!$C$27, $C$14, 100%, $E$14)</f>
        <v>10.0192</v>
      </c>
      <c r="F563" s="59">
        <f>10.0192 * CHOOSE(CONTROL!$C$27, $C$14, 100%, $E$14)</f>
        <v>10.0192</v>
      </c>
      <c r="G563" s="59">
        <f>10.0261 * CHOOSE(CONTROL!$C$27, $C$14, 100%, $E$14)</f>
        <v>10.0261</v>
      </c>
      <c r="H563" s="59">
        <f>18.3419* CHOOSE(CONTROL!$C$27, $C$14, 100%, $E$14)</f>
        <v>18.341899999999999</v>
      </c>
      <c r="I563" s="59">
        <f>18.3488 * CHOOSE(CONTROL!$C$27, $C$14, 100%, $E$14)</f>
        <v>18.348800000000001</v>
      </c>
      <c r="J563" s="59">
        <f>18.3419 * CHOOSE(CONTROL!$C$27, $C$14, 100%, $E$14)</f>
        <v>18.341899999999999</v>
      </c>
      <c r="K563" s="59">
        <f>18.3488 * CHOOSE(CONTROL!$C$27, $C$14, 100%, $E$14)</f>
        <v>18.348800000000001</v>
      </c>
      <c r="L563" s="59">
        <f>10.0192 * CHOOSE(CONTROL!$C$27, $C$14, 100%, $E$14)</f>
        <v>10.0192</v>
      </c>
      <c r="M563" s="59">
        <f>10.0261 * CHOOSE(CONTROL!$C$27, $C$14, 100%, $E$14)</f>
        <v>10.0261</v>
      </c>
      <c r="N563" s="59">
        <f>10.0192 * CHOOSE(CONTROL!$C$27, $C$14, 100%, $E$14)</f>
        <v>10.0192</v>
      </c>
      <c r="O563" s="59">
        <f>10.0261 * CHOOSE(CONTROL!$C$27, $C$14, 100%, $E$14)</f>
        <v>10.0261</v>
      </c>
    </row>
    <row r="564" spans="1:15" ht="15">
      <c r="A564" s="11">
        <v>58257</v>
      </c>
      <c r="B564" s="58">
        <f>8.5766 * CHOOSE(CONTROL!$C$27, $C$14, 100%, $E$14)</f>
        <v>8.5765999999999991</v>
      </c>
      <c r="C564" s="58">
        <f>8.5766 * CHOOSE(CONTROL!$C$27, $C$14, 100%, $E$14)</f>
        <v>8.5765999999999991</v>
      </c>
      <c r="D564" s="58">
        <f>8.5823 * CHOOSE(CONTROL!$C$27, $C$14, 100%, $E$14)</f>
        <v>8.5823</v>
      </c>
      <c r="E564" s="59">
        <f>10.183 * CHOOSE(CONTROL!$C$27, $C$14, 100%, $E$14)</f>
        <v>10.183</v>
      </c>
      <c r="F564" s="59">
        <f>10.183 * CHOOSE(CONTROL!$C$27, $C$14, 100%, $E$14)</f>
        <v>10.183</v>
      </c>
      <c r="G564" s="59">
        <f>10.1899 * CHOOSE(CONTROL!$C$27, $C$14, 100%, $E$14)</f>
        <v>10.1899</v>
      </c>
      <c r="H564" s="59">
        <f>18.3801* CHOOSE(CONTROL!$C$27, $C$14, 100%, $E$14)</f>
        <v>18.380099999999999</v>
      </c>
      <c r="I564" s="59">
        <f>18.387 * CHOOSE(CONTROL!$C$27, $C$14, 100%, $E$14)</f>
        <v>18.387</v>
      </c>
      <c r="J564" s="59">
        <f>18.3801 * CHOOSE(CONTROL!$C$27, $C$14, 100%, $E$14)</f>
        <v>18.380099999999999</v>
      </c>
      <c r="K564" s="59">
        <f>18.387 * CHOOSE(CONTROL!$C$27, $C$14, 100%, $E$14)</f>
        <v>18.387</v>
      </c>
      <c r="L564" s="59">
        <f>10.183 * CHOOSE(CONTROL!$C$27, $C$14, 100%, $E$14)</f>
        <v>10.183</v>
      </c>
      <c r="M564" s="59">
        <f>10.1899 * CHOOSE(CONTROL!$C$27, $C$14, 100%, $E$14)</f>
        <v>10.1899</v>
      </c>
      <c r="N564" s="59">
        <f>10.183 * CHOOSE(CONTROL!$C$27, $C$14, 100%, $E$14)</f>
        <v>10.183</v>
      </c>
      <c r="O564" s="59">
        <f>10.1899 * CHOOSE(CONTROL!$C$27, $C$14, 100%, $E$14)</f>
        <v>10.1899</v>
      </c>
    </row>
    <row r="565" spans="1:15" ht="15">
      <c r="A565" s="11">
        <v>58288</v>
      </c>
      <c r="B565" s="58">
        <f>8.5833 * CHOOSE(CONTROL!$C$27, $C$14, 100%, $E$14)</f>
        <v>8.5832999999999995</v>
      </c>
      <c r="C565" s="58">
        <f>8.5833 * CHOOSE(CONTROL!$C$27, $C$14, 100%, $E$14)</f>
        <v>8.5832999999999995</v>
      </c>
      <c r="D565" s="58">
        <f>8.589 * CHOOSE(CONTROL!$C$27, $C$14, 100%, $E$14)</f>
        <v>8.5890000000000004</v>
      </c>
      <c r="E565" s="59">
        <f>10.0291 * CHOOSE(CONTROL!$C$27, $C$14, 100%, $E$14)</f>
        <v>10.0291</v>
      </c>
      <c r="F565" s="59">
        <f>10.0291 * CHOOSE(CONTROL!$C$27, $C$14, 100%, $E$14)</f>
        <v>10.0291</v>
      </c>
      <c r="G565" s="59">
        <f>10.036 * CHOOSE(CONTROL!$C$27, $C$14, 100%, $E$14)</f>
        <v>10.036</v>
      </c>
      <c r="H565" s="59">
        <f>18.4184* CHOOSE(CONTROL!$C$27, $C$14, 100%, $E$14)</f>
        <v>18.418399999999998</v>
      </c>
      <c r="I565" s="59">
        <f>18.4253 * CHOOSE(CONTROL!$C$27, $C$14, 100%, $E$14)</f>
        <v>18.4253</v>
      </c>
      <c r="J565" s="59">
        <f>18.4184 * CHOOSE(CONTROL!$C$27, $C$14, 100%, $E$14)</f>
        <v>18.418399999999998</v>
      </c>
      <c r="K565" s="59">
        <f>18.4253 * CHOOSE(CONTROL!$C$27, $C$14, 100%, $E$14)</f>
        <v>18.4253</v>
      </c>
      <c r="L565" s="59">
        <f>10.0291 * CHOOSE(CONTROL!$C$27, $C$14, 100%, $E$14)</f>
        <v>10.0291</v>
      </c>
      <c r="M565" s="59">
        <f>10.036 * CHOOSE(CONTROL!$C$27, $C$14, 100%, $E$14)</f>
        <v>10.036</v>
      </c>
      <c r="N565" s="59">
        <f>10.0291 * CHOOSE(CONTROL!$C$27, $C$14, 100%, $E$14)</f>
        <v>10.0291</v>
      </c>
      <c r="O565" s="59">
        <f>10.036 * CHOOSE(CONTROL!$C$27, $C$14, 100%, $E$14)</f>
        <v>10.036</v>
      </c>
    </row>
    <row r="566" spans="1:15" ht="15">
      <c r="A566" s="11">
        <v>58319</v>
      </c>
      <c r="B566" s="58">
        <f>8.5803 * CHOOSE(CONTROL!$C$27, $C$14, 100%, $E$14)</f>
        <v>8.5802999999999994</v>
      </c>
      <c r="C566" s="58">
        <f>8.5803 * CHOOSE(CONTROL!$C$27, $C$14, 100%, $E$14)</f>
        <v>8.5802999999999994</v>
      </c>
      <c r="D566" s="58">
        <f>8.5859 * CHOOSE(CONTROL!$C$27, $C$14, 100%, $E$14)</f>
        <v>8.5859000000000005</v>
      </c>
      <c r="E566" s="59">
        <f>10.0094 * CHOOSE(CONTROL!$C$27, $C$14, 100%, $E$14)</f>
        <v>10.009399999999999</v>
      </c>
      <c r="F566" s="59">
        <f>10.0094 * CHOOSE(CONTROL!$C$27, $C$14, 100%, $E$14)</f>
        <v>10.009399999999999</v>
      </c>
      <c r="G566" s="59">
        <f>10.0163 * CHOOSE(CONTROL!$C$27, $C$14, 100%, $E$14)</f>
        <v>10.016299999999999</v>
      </c>
      <c r="H566" s="59">
        <f>18.4568* CHOOSE(CONTROL!$C$27, $C$14, 100%, $E$14)</f>
        <v>18.456800000000001</v>
      </c>
      <c r="I566" s="59">
        <f>18.4637 * CHOOSE(CONTROL!$C$27, $C$14, 100%, $E$14)</f>
        <v>18.463699999999999</v>
      </c>
      <c r="J566" s="59">
        <f>18.4568 * CHOOSE(CONTROL!$C$27, $C$14, 100%, $E$14)</f>
        <v>18.456800000000001</v>
      </c>
      <c r="K566" s="59">
        <f>18.4637 * CHOOSE(CONTROL!$C$27, $C$14, 100%, $E$14)</f>
        <v>18.463699999999999</v>
      </c>
      <c r="L566" s="59">
        <f>10.0094 * CHOOSE(CONTROL!$C$27, $C$14, 100%, $E$14)</f>
        <v>10.009399999999999</v>
      </c>
      <c r="M566" s="59">
        <f>10.0163 * CHOOSE(CONTROL!$C$27, $C$14, 100%, $E$14)</f>
        <v>10.016299999999999</v>
      </c>
      <c r="N566" s="59">
        <f>10.0094 * CHOOSE(CONTROL!$C$27, $C$14, 100%, $E$14)</f>
        <v>10.009399999999999</v>
      </c>
      <c r="O566" s="59">
        <f>10.0163 * CHOOSE(CONTROL!$C$27, $C$14, 100%, $E$14)</f>
        <v>10.016299999999999</v>
      </c>
    </row>
    <row r="567" spans="1:15" ht="15">
      <c r="A567" s="11">
        <v>58349</v>
      </c>
      <c r="B567" s="58">
        <f>8.5903 * CHOOSE(CONTROL!$C$27, $C$14, 100%, $E$14)</f>
        <v>8.5902999999999992</v>
      </c>
      <c r="C567" s="58">
        <f>8.5903 * CHOOSE(CONTROL!$C$27, $C$14, 100%, $E$14)</f>
        <v>8.5902999999999992</v>
      </c>
      <c r="D567" s="58">
        <f>8.5943 * CHOOSE(CONTROL!$C$27, $C$14, 100%, $E$14)</f>
        <v>8.5943000000000005</v>
      </c>
      <c r="E567" s="59">
        <f>10.0665 * CHOOSE(CONTROL!$C$27, $C$14, 100%, $E$14)</f>
        <v>10.0665</v>
      </c>
      <c r="F567" s="59">
        <f>10.0665 * CHOOSE(CONTROL!$C$27, $C$14, 100%, $E$14)</f>
        <v>10.0665</v>
      </c>
      <c r="G567" s="59">
        <f>10.0714 * CHOOSE(CONTROL!$C$27, $C$14, 100%, $E$14)</f>
        <v>10.071400000000001</v>
      </c>
      <c r="H567" s="59">
        <f>18.4952* CHOOSE(CONTROL!$C$27, $C$14, 100%, $E$14)</f>
        <v>18.495200000000001</v>
      </c>
      <c r="I567" s="59">
        <f>18.5001 * CHOOSE(CONTROL!$C$27, $C$14, 100%, $E$14)</f>
        <v>18.5001</v>
      </c>
      <c r="J567" s="59">
        <f>18.4952 * CHOOSE(CONTROL!$C$27, $C$14, 100%, $E$14)</f>
        <v>18.495200000000001</v>
      </c>
      <c r="K567" s="59">
        <f>18.5001 * CHOOSE(CONTROL!$C$27, $C$14, 100%, $E$14)</f>
        <v>18.5001</v>
      </c>
      <c r="L567" s="59">
        <f>10.0665 * CHOOSE(CONTROL!$C$27, $C$14, 100%, $E$14)</f>
        <v>10.0665</v>
      </c>
      <c r="M567" s="59">
        <f>10.0714 * CHOOSE(CONTROL!$C$27, $C$14, 100%, $E$14)</f>
        <v>10.071400000000001</v>
      </c>
      <c r="N567" s="59">
        <f>10.0665 * CHOOSE(CONTROL!$C$27, $C$14, 100%, $E$14)</f>
        <v>10.0665</v>
      </c>
      <c r="O567" s="59">
        <f>10.0714 * CHOOSE(CONTROL!$C$27, $C$14, 100%, $E$14)</f>
        <v>10.071400000000001</v>
      </c>
    </row>
    <row r="568" spans="1:15" ht="15">
      <c r="A568" s="11">
        <v>58380</v>
      </c>
      <c r="B568" s="58">
        <f>8.5934 * CHOOSE(CONTROL!$C$27, $C$14, 100%, $E$14)</f>
        <v>8.5934000000000008</v>
      </c>
      <c r="C568" s="58">
        <f>8.5934 * CHOOSE(CONTROL!$C$27, $C$14, 100%, $E$14)</f>
        <v>8.5934000000000008</v>
      </c>
      <c r="D568" s="58">
        <f>8.5974 * CHOOSE(CONTROL!$C$27, $C$14, 100%, $E$14)</f>
        <v>8.5974000000000004</v>
      </c>
      <c r="E568" s="59">
        <f>10.1038 * CHOOSE(CONTROL!$C$27, $C$14, 100%, $E$14)</f>
        <v>10.1038</v>
      </c>
      <c r="F568" s="59">
        <f>10.1038 * CHOOSE(CONTROL!$C$27, $C$14, 100%, $E$14)</f>
        <v>10.1038</v>
      </c>
      <c r="G568" s="59">
        <f>10.1087 * CHOOSE(CONTROL!$C$27, $C$14, 100%, $E$14)</f>
        <v>10.108700000000001</v>
      </c>
      <c r="H568" s="59">
        <f>18.5338* CHOOSE(CONTROL!$C$27, $C$14, 100%, $E$14)</f>
        <v>18.533799999999999</v>
      </c>
      <c r="I568" s="59">
        <f>18.5387 * CHOOSE(CONTROL!$C$27, $C$14, 100%, $E$14)</f>
        <v>18.538699999999999</v>
      </c>
      <c r="J568" s="59">
        <f>18.5338 * CHOOSE(CONTROL!$C$27, $C$14, 100%, $E$14)</f>
        <v>18.533799999999999</v>
      </c>
      <c r="K568" s="59">
        <f>18.5387 * CHOOSE(CONTROL!$C$27, $C$14, 100%, $E$14)</f>
        <v>18.538699999999999</v>
      </c>
      <c r="L568" s="59">
        <f>10.1038 * CHOOSE(CONTROL!$C$27, $C$14, 100%, $E$14)</f>
        <v>10.1038</v>
      </c>
      <c r="M568" s="59">
        <f>10.1087 * CHOOSE(CONTROL!$C$27, $C$14, 100%, $E$14)</f>
        <v>10.108700000000001</v>
      </c>
      <c r="N568" s="59">
        <f>10.1038 * CHOOSE(CONTROL!$C$27, $C$14, 100%, $E$14)</f>
        <v>10.1038</v>
      </c>
      <c r="O568" s="59">
        <f>10.1087 * CHOOSE(CONTROL!$C$27, $C$14, 100%, $E$14)</f>
        <v>10.108700000000001</v>
      </c>
    </row>
    <row r="569" spans="1:15" ht="15">
      <c r="A569" s="11">
        <v>58410</v>
      </c>
      <c r="B569" s="58">
        <f>8.5934 * CHOOSE(CONTROL!$C$27, $C$14, 100%, $E$14)</f>
        <v>8.5934000000000008</v>
      </c>
      <c r="C569" s="58">
        <f>8.5934 * CHOOSE(CONTROL!$C$27, $C$14, 100%, $E$14)</f>
        <v>8.5934000000000008</v>
      </c>
      <c r="D569" s="58">
        <f>8.5974 * CHOOSE(CONTROL!$C$27, $C$14, 100%, $E$14)</f>
        <v>8.5974000000000004</v>
      </c>
      <c r="E569" s="59">
        <f>10.0157 * CHOOSE(CONTROL!$C$27, $C$14, 100%, $E$14)</f>
        <v>10.015700000000001</v>
      </c>
      <c r="F569" s="59">
        <f>10.0157 * CHOOSE(CONTROL!$C$27, $C$14, 100%, $E$14)</f>
        <v>10.015700000000001</v>
      </c>
      <c r="G569" s="59">
        <f>10.0206 * CHOOSE(CONTROL!$C$27, $C$14, 100%, $E$14)</f>
        <v>10.0206</v>
      </c>
      <c r="H569" s="59">
        <f>18.5724* CHOOSE(CONTROL!$C$27, $C$14, 100%, $E$14)</f>
        <v>18.572399999999998</v>
      </c>
      <c r="I569" s="59">
        <f>18.5773 * CHOOSE(CONTROL!$C$27, $C$14, 100%, $E$14)</f>
        <v>18.577300000000001</v>
      </c>
      <c r="J569" s="59">
        <f>18.5724 * CHOOSE(CONTROL!$C$27, $C$14, 100%, $E$14)</f>
        <v>18.572399999999998</v>
      </c>
      <c r="K569" s="59">
        <f>18.5773 * CHOOSE(CONTROL!$C$27, $C$14, 100%, $E$14)</f>
        <v>18.577300000000001</v>
      </c>
      <c r="L569" s="59">
        <f>10.0157 * CHOOSE(CONTROL!$C$27, $C$14, 100%, $E$14)</f>
        <v>10.015700000000001</v>
      </c>
      <c r="M569" s="59">
        <f>10.0206 * CHOOSE(CONTROL!$C$27, $C$14, 100%, $E$14)</f>
        <v>10.0206</v>
      </c>
      <c r="N569" s="59">
        <f>10.0157 * CHOOSE(CONTROL!$C$27, $C$14, 100%, $E$14)</f>
        <v>10.015700000000001</v>
      </c>
      <c r="O569" s="59">
        <f>10.0206 * CHOOSE(CONTROL!$C$27, $C$14, 100%, $E$14)</f>
        <v>10.0206</v>
      </c>
    </row>
    <row r="570" spans="1:15" ht="15">
      <c r="A570" s="11">
        <v>58441</v>
      </c>
      <c r="B570" s="58">
        <f>8.6667 * CHOOSE(CONTROL!$C$27, $C$14, 100%, $E$14)</f>
        <v>8.6667000000000005</v>
      </c>
      <c r="C570" s="58">
        <f>8.6667 * CHOOSE(CONTROL!$C$27, $C$14, 100%, $E$14)</f>
        <v>8.6667000000000005</v>
      </c>
      <c r="D570" s="58">
        <f>8.6707 * CHOOSE(CONTROL!$C$27, $C$14, 100%, $E$14)</f>
        <v>8.6707000000000001</v>
      </c>
      <c r="E570" s="59">
        <f>10.1604 * CHOOSE(CONTROL!$C$27, $C$14, 100%, $E$14)</f>
        <v>10.160399999999999</v>
      </c>
      <c r="F570" s="59">
        <f>10.1604 * CHOOSE(CONTROL!$C$27, $C$14, 100%, $E$14)</f>
        <v>10.160399999999999</v>
      </c>
      <c r="G570" s="59">
        <f>10.1653 * CHOOSE(CONTROL!$C$27, $C$14, 100%, $E$14)</f>
        <v>10.1653</v>
      </c>
      <c r="H570" s="59">
        <f>18.6111* CHOOSE(CONTROL!$C$27, $C$14, 100%, $E$14)</f>
        <v>18.6111</v>
      </c>
      <c r="I570" s="59">
        <f>18.616 * CHOOSE(CONTROL!$C$27, $C$14, 100%, $E$14)</f>
        <v>18.616</v>
      </c>
      <c r="J570" s="59">
        <f>18.6111 * CHOOSE(CONTROL!$C$27, $C$14, 100%, $E$14)</f>
        <v>18.6111</v>
      </c>
      <c r="K570" s="59">
        <f>18.616 * CHOOSE(CONTROL!$C$27, $C$14, 100%, $E$14)</f>
        <v>18.616</v>
      </c>
      <c r="L570" s="59">
        <f>10.1604 * CHOOSE(CONTROL!$C$27, $C$14, 100%, $E$14)</f>
        <v>10.160399999999999</v>
      </c>
      <c r="M570" s="59">
        <f>10.1653 * CHOOSE(CONTROL!$C$27, $C$14, 100%, $E$14)</f>
        <v>10.1653</v>
      </c>
      <c r="N570" s="59">
        <f>10.1604 * CHOOSE(CONTROL!$C$27, $C$14, 100%, $E$14)</f>
        <v>10.160399999999999</v>
      </c>
      <c r="O570" s="59">
        <f>10.1653 * CHOOSE(CONTROL!$C$27, $C$14, 100%, $E$14)</f>
        <v>10.1653</v>
      </c>
    </row>
    <row r="571" spans="1:15" ht="15">
      <c r="A571" s="11">
        <v>58472</v>
      </c>
      <c r="B571" s="58">
        <f>8.6637 * CHOOSE(CONTROL!$C$27, $C$14, 100%, $E$14)</f>
        <v>8.6637000000000004</v>
      </c>
      <c r="C571" s="58">
        <f>8.6637 * CHOOSE(CONTROL!$C$27, $C$14, 100%, $E$14)</f>
        <v>8.6637000000000004</v>
      </c>
      <c r="D571" s="58">
        <f>8.6677 * CHOOSE(CONTROL!$C$27, $C$14, 100%, $E$14)</f>
        <v>8.6677</v>
      </c>
      <c r="E571" s="59">
        <f>9.9871 * CHOOSE(CONTROL!$C$27, $C$14, 100%, $E$14)</f>
        <v>9.9870999999999999</v>
      </c>
      <c r="F571" s="59">
        <f>9.9871 * CHOOSE(CONTROL!$C$27, $C$14, 100%, $E$14)</f>
        <v>9.9870999999999999</v>
      </c>
      <c r="G571" s="59">
        <f>9.9921 * CHOOSE(CONTROL!$C$27, $C$14, 100%, $E$14)</f>
        <v>9.9921000000000006</v>
      </c>
      <c r="H571" s="59">
        <f>18.6498* CHOOSE(CONTROL!$C$27, $C$14, 100%, $E$14)</f>
        <v>18.649799999999999</v>
      </c>
      <c r="I571" s="59">
        <f>18.6548 * CHOOSE(CONTROL!$C$27, $C$14, 100%, $E$14)</f>
        <v>18.654800000000002</v>
      </c>
      <c r="J571" s="59">
        <f>18.6498 * CHOOSE(CONTROL!$C$27, $C$14, 100%, $E$14)</f>
        <v>18.649799999999999</v>
      </c>
      <c r="K571" s="59">
        <f>18.6548 * CHOOSE(CONTROL!$C$27, $C$14, 100%, $E$14)</f>
        <v>18.654800000000002</v>
      </c>
      <c r="L571" s="59">
        <f>9.9871 * CHOOSE(CONTROL!$C$27, $C$14, 100%, $E$14)</f>
        <v>9.9870999999999999</v>
      </c>
      <c r="M571" s="59">
        <f>9.9921 * CHOOSE(CONTROL!$C$27, $C$14, 100%, $E$14)</f>
        <v>9.9921000000000006</v>
      </c>
      <c r="N571" s="59">
        <f>9.9871 * CHOOSE(CONTROL!$C$27, $C$14, 100%, $E$14)</f>
        <v>9.9870999999999999</v>
      </c>
      <c r="O571" s="59">
        <f>9.9921 * CHOOSE(CONTROL!$C$27, $C$14, 100%, $E$14)</f>
        <v>9.9921000000000006</v>
      </c>
    </row>
    <row r="572" spans="1:15" ht="15">
      <c r="A572" s="11">
        <v>58501</v>
      </c>
      <c r="B572" s="58">
        <f>8.6607 * CHOOSE(CONTROL!$C$27, $C$14, 100%, $E$14)</f>
        <v>8.6607000000000003</v>
      </c>
      <c r="C572" s="58">
        <f>8.6607 * CHOOSE(CONTROL!$C$27, $C$14, 100%, $E$14)</f>
        <v>8.6607000000000003</v>
      </c>
      <c r="D572" s="58">
        <f>8.6647 * CHOOSE(CONTROL!$C$27, $C$14, 100%, $E$14)</f>
        <v>8.6646999999999998</v>
      </c>
      <c r="E572" s="59">
        <f>10.1199 * CHOOSE(CONTROL!$C$27, $C$14, 100%, $E$14)</f>
        <v>10.119899999999999</v>
      </c>
      <c r="F572" s="59">
        <f>10.1199 * CHOOSE(CONTROL!$C$27, $C$14, 100%, $E$14)</f>
        <v>10.119899999999999</v>
      </c>
      <c r="G572" s="59">
        <f>10.1249 * CHOOSE(CONTROL!$C$27, $C$14, 100%, $E$14)</f>
        <v>10.1249</v>
      </c>
      <c r="H572" s="59">
        <f>18.6887* CHOOSE(CONTROL!$C$27, $C$14, 100%, $E$14)</f>
        <v>18.688700000000001</v>
      </c>
      <c r="I572" s="59">
        <f>18.6936 * CHOOSE(CONTROL!$C$27, $C$14, 100%, $E$14)</f>
        <v>18.6936</v>
      </c>
      <c r="J572" s="59">
        <f>18.6887 * CHOOSE(CONTROL!$C$27, $C$14, 100%, $E$14)</f>
        <v>18.688700000000001</v>
      </c>
      <c r="K572" s="59">
        <f>18.6936 * CHOOSE(CONTROL!$C$27, $C$14, 100%, $E$14)</f>
        <v>18.6936</v>
      </c>
      <c r="L572" s="59">
        <f>10.1199 * CHOOSE(CONTROL!$C$27, $C$14, 100%, $E$14)</f>
        <v>10.119899999999999</v>
      </c>
      <c r="M572" s="59">
        <f>10.1249 * CHOOSE(CONTROL!$C$27, $C$14, 100%, $E$14)</f>
        <v>10.1249</v>
      </c>
      <c r="N572" s="59">
        <f>10.1199 * CHOOSE(CONTROL!$C$27, $C$14, 100%, $E$14)</f>
        <v>10.119899999999999</v>
      </c>
      <c r="O572" s="59">
        <f>10.1249 * CHOOSE(CONTROL!$C$27, $C$14, 100%, $E$14)</f>
        <v>10.1249</v>
      </c>
    </row>
    <row r="573" spans="1:15" ht="15">
      <c r="A573" s="11">
        <v>58532</v>
      </c>
      <c r="B573" s="58">
        <f>8.6623 * CHOOSE(CONTROL!$C$27, $C$14, 100%, $E$14)</f>
        <v>8.6623000000000001</v>
      </c>
      <c r="C573" s="58">
        <f>8.6623 * CHOOSE(CONTROL!$C$27, $C$14, 100%, $E$14)</f>
        <v>8.6623000000000001</v>
      </c>
      <c r="D573" s="58">
        <f>8.6663 * CHOOSE(CONTROL!$C$27, $C$14, 100%, $E$14)</f>
        <v>8.6662999999999997</v>
      </c>
      <c r="E573" s="59">
        <f>10.2606 * CHOOSE(CONTROL!$C$27, $C$14, 100%, $E$14)</f>
        <v>10.2606</v>
      </c>
      <c r="F573" s="59">
        <f>10.2606 * CHOOSE(CONTROL!$C$27, $C$14, 100%, $E$14)</f>
        <v>10.2606</v>
      </c>
      <c r="G573" s="59">
        <f>10.2655 * CHOOSE(CONTROL!$C$27, $C$14, 100%, $E$14)</f>
        <v>10.265499999999999</v>
      </c>
      <c r="H573" s="59">
        <f>18.7276* CHOOSE(CONTROL!$C$27, $C$14, 100%, $E$14)</f>
        <v>18.727599999999999</v>
      </c>
      <c r="I573" s="59">
        <f>18.7325 * CHOOSE(CONTROL!$C$27, $C$14, 100%, $E$14)</f>
        <v>18.732500000000002</v>
      </c>
      <c r="J573" s="59">
        <f>18.7276 * CHOOSE(CONTROL!$C$27, $C$14, 100%, $E$14)</f>
        <v>18.727599999999999</v>
      </c>
      <c r="K573" s="59">
        <f>18.7325 * CHOOSE(CONTROL!$C$27, $C$14, 100%, $E$14)</f>
        <v>18.732500000000002</v>
      </c>
      <c r="L573" s="59">
        <f>10.2606 * CHOOSE(CONTROL!$C$27, $C$14, 100%, $E$14)</f>
        <v>10.2606</v>
      </c>
      <c r="M573" s="59">
        <f>10.2655 * CHOOSE(CONTROL!$C$27, $C$14, 100%, $E$14)</f>
        <v>10.265499999999999</v>
      </c>
      <c r="N573" s="59">
        <f>10.2606 * CHOOSE(CONTROL!$C$27, $C$14, 100%, $E$14)</f>
        <v>10.2606</v>
      </c>
      <c r="O573" s="59">
        <f>10.2655 * CHOOSE(CONTROL!$C$27, $C$14, 100%, $E$14)</f>
        <v>10.265499999999999</v>
      </c>
    </row>
    <row r="574" spans="1:15" ht="15">
      <c r="A574" s="11">
        <v>58562</v>
      </c>
      <c r="B574" s="58">
        <f>8.6623 * CHOOSE(CONTROL!$C$27, $C$14, 100%, $E$14)</f>
        <v>8.6623000000000001</v>
      </c>
      <c r="C574" s="58">
        <f>8.6623 * CHOOSE(CONTROL!$C$27, $C$14, 100%, $E$14)</f>
        <v>8.6623000000000001</v>
      </c>
      <c r="D574" s="58">
        <f>8.6679 * CHOOSE(CONTROL!$C$27, $C$14, 100%, $E$14)</f>
        <v>8.6678999999999995</v>
      </c>
      <c r="E574" s="59">
        <f>10.315 * CHOOSE(CONTROL!$C$27, $C$14, 100%, $E$14)</f>
        <v>10.315</v>
      </c>
      <c r="F574" s="59">
        <f>10.315 * CHOOSE(CONTROL!$C$27, $C$14, 100%, $E$14)</f>
        <v>10.315</v>
      </c>
      <c r="G574" s="59">
        <f>10.3218 * CHOOSE(CONTROL!$C$27, $C$14, 100%, $E$14)</f>
        <v>10.3218</v>
      </c>
      <c r="H574" s="59">
        <f>18.7666* CHOOSE(CONTROL!$C$27, $C$14, 100%, $E$14)</f>
        <v>18.7666</v>
      </c>
      <c r="I574" s="59">
        <f>18.7735 * CHOOSE(CONTROL!$C$27, $C$14, 100%, $E$14)</f>
        <v>18.773499999999999</v>
      </c>
      <c r="J574" s="59">
        <f>18.7666 * CHOOSE(CONTROL!$C$27, $C$14, 100%, $E$14)</f>
        <v>18.7666</v>
      </c>
      <c r="K574" s="59">
        <f>18.7735 * CHOOSE(CONTROL!$C$27, $C$14, 100%, $E$14)</f>
        <v>18.773499999999999</v>
      </c>
      <c r="L574" s="59">
        <f>10.315 * CHOOSE(CONTROL!$C$27, $C$14, 100%, $E$14)</f>
        <v>10.315</v>
      </c>
      <c r="M574" s="59">
        <f>10.3218 * CHOOSE(CONTROL!$C$27, $C$14, 100%, $E$14)</f>
        <v>10.3218</v>
      </c>
      <c r="N574" s="59">
        <f>10.315 * CHOOSE(CONTROL!$C$27, $C$14, 100%, $E$14)</f>
        <v>10.315</v>
      </c>
      <c r="O574" s="59">
        <f>10.3218 * CHOOSE(CONTROL!$C$27, $C$14, 100%, $E$14)</f>
        <v>10.3218</v>
      </c>
    </row>
    <row r="575" spans="1:15" ht="15">
      <c r="A575" s="11">
        <v>58593</v>
      </c>
      <c r="B575" s="58">
        <f>8.6684 * CHOOSE(CONTROL!$C$27, $C$14, 100%, $E$14)</f>
        <v>8.6684000000000001</v>
      </c>
      <c r="C575" s="58">
        <f>8.6684 * CHOOSE(CONTROL!$C$27, $C$14, 100%, $E$14)</f>
        <v>8.6684000000000001</v>
      </c>
      <c r="D575" s="58">
        <f>8.674 * CHOOSE(CONTROL!$C$27, $C$14, 100%, $E$14)</f>
        <v>8.6739999999999995</v>
      </c>
      <c r="E575" s="59">
        <f>10.2649 * CHOOSE(CONTROL!$C$27, $C$14, 100%, $E$14)</f>
        <v>10.264900000000001</v>
      </c>
      <c r="F575" s="59">
        <f>10.2649 * CHOOSE(CONTROL!$C$27, $C$14, 100%, $E$14)</f>
        <v>10.264900000000001</v>
      </c>
      <c r="G575" s="59">
        <f>10.2717 * CHOOSE(CONTROL!$C$27, $C$14, 100%, $E$14)</f>
        <v>10.271699999999999</v>
      </c>
      <c r="H575" s="59">
        <f>18.8057* CHOOSE(CONTROL!$C$27, $C$14, 100%, $E$14)</f>
        <v>18.805700000000002</v>
      </c>
      <c r="I575" s="59">
        <f>18.8126 * CHOOSE(CONTROL!$C$27, $C$14, 100%, $E$14)</f>
        <v>18.8126</v>
      </c>
      <c r="J575" s="59">
        <f>18.8057 * CHOOSE(CONTROL!$C$27, $C$14, 100%, $E$14)</f>
        <v>18.805700000000002</v>
      </c>
      <c r="K575" s="59">
        <f>18.8126 * CHOOSE(CONTROL!$C$27, $C$14, 100%, $E$14)</f>
        <v>18.8126</v>
      </c>
      <c r="L575" s="59">
        <f>10.2649 * CHOOSE(CONTROL!$C$27, $C$14, 100%, $E$14)</f>
        <v>10.264900000000001</v>
      </c>
      <c r="M575" s="59">
        <f>10.2717 * CHOOSE(CONTROL!$C$27, $C$14, 100%, $E$14)</f>
        <v>10.271699999999999</v>
      </c>
      <c r="N575" s="59">
        <f>10.2649 * CHOOSE(CONTROL!$C$27, $C$14, 100%, $E$14)</f>
        <v>10.264900000000001</v>
      </c>
      <c r="O575" s="59">
        <f>10.2717 * CHOOSE(CONTROL!$C$27, $C$14, 100%, $E$14)</f>
        <v>10.271699999999999</v>
      </c>
    </row>
    <row r="576" spans="1:15" ht="15">
      <c r="A576" s="11">
        <v>58623</v>
      </c>
      <c r="B576" s="58">
        <f>8.8035 * CHOOSE(CONTROL!$C$27, $C$14, 100%, $E$14)</f>
        <v>8.8034999999999997</v>
      </c>
      <c r="C576" s="58">
        <f>8.8035 * CHOOSE(CONTROL!$C$27, $C$14, 100%, $E$14)</f>
        <v>8.8034999999999997</v>
      </c>
      <c r="D576" s="58">
        <f>8.8092 * CHOOSE(CONTROL!$C$27, $C$14, 100%, $E$14)</f>
        <v>8.8092000000000006</v>
      </c>
      <c r="E576" s="59">
        <f>10.4324 * CHOOSE(CONTROL!$C$27, $C$14, 100%, $E$14)</f>
        <v>10.432399999999999</v>
      </c>
      <c r="F576" s="59">
        <f>10.4324 * CHOOSE(CONTROL!$C$27, $C$14, 100%, $E$14)</f>
        <v>10.432399999999999</v>
      </c>
      <c r="G576" s="59">
        <f>10.4393 * CHOOSE(CONTROL!$C$27, $C$14, 100%, $E$14)</f>
        <v>10.439299999999999</v>
      </c>
      <c r="H576" s="59">
        <f>18.8449* CHOOSE(CONTROL!$C$27, $C$14, 100%, $E$14)</f>
        <v>18.844899999999999</v>
      </c>
      <c r="I576" s="59">
        <f>18.8518 * CHOOSE(CONTROL!$C$27, $C$14, 100%, $E$14)</f>
        <v>18.851800000000001</v>
      </c>
      <c r="J576" s="59">
        <f>18.8449 * CHOOSE(CONTROL!$C$27, $C$14, 100%, $E$14)</f>
        <v>18.844899999999999</v>
      </c>
      <c r="K576" s="59">
        <f>18.8518 * CHOOSE(CONTROL!$C$27, $C$14, 100%, $E$14)</f>
        <v>18.851800000000001</v>
      </c>
      <c r="L576" s="59">
        <f>10.4324 * CHOOSE(CONTROL!$C$27, $C$14, 100%, $E$14)</f>
        <v>10.432399999999999</v>
      </c>
      <c r="M576" s="59">
        <f>10.4393 * CHOOSE(CONTROL!$C$27, $C$14, 100%, $E$14)</f>
        <v>10.439299999999999</v>
      </c>
      <c r="N576" s="59">
        <f>10.4324 * CHOOSE(CONTROL!$C$27, $C$14, 100%, $E$14)</f>
        <v>10.432399999999999</v>
      </c>
      <c r="O576" s="59">
        <f>10.4393 * CHOOSE(CONTROL!$C$27, $C$14, 100%, $E$14)</f>
        <v>10.439299999999999</v>
      </c>
    </row>
    <row r="577" spans="1:15" ht="15">
      <c r="A577" s="11">
        <v>58654</v>
      </c>
      <c r="B577" s="58">
        <f>8.8102 * CHOOSE(CONTROL!$C$27, $C$14, 100%, $E$14)</f>
        <v>8.8102</v>
      </c>
      <c r="C577" s="58">
        <f>8.8102 * CHOOSE(CONTROL!$C$27, $C$14, 100%, $E$14)</f>
        <v>8.8102</v>
      </c>
      <c r="D577" s="58">
        <f>8.8158 * CHOOSE(CONTROL!$C$27, $C$14, 100%, $E$14)</f>
        <v>8.8157999999999994</v>
      </c>
      <c r="E577" s="59">
        <f>10.274 * CHOOSE(CONTROL!$C$27, $C$14, 100%, $E$14)</f>
        <v>10.273999999999999</v>
      </c>
      <c r="F577" s="59">
        <f>10.274 * CHOOSE(CONTROL!$C$27, $C$14, 100%, $E$14)</f>
        <v>10.273999999999999</v>
      </c>
      <c r="G577" s="59">
        <f>10.2809 * CHOOSE(CONTROL!$C$27, $C$14, 100%, $E$14)</f>
        <v>10.280900000000001</v>
      </c>
      <c r="H577" s="59">
        <f>18.8842* CHOOSE(CONTROL!$C$27, $C$14, 100%, $E$14)</f>
        <v>18.8842</v>
      </c>
      <c r="I577" s="59">
        <f>18.8911 * CHOOSE(CONTROL!$C$27, $C$14, 100%, $E$14)</f>
        <v>18.891100000000002</v>
      </c>
      <c r="J577" s="59">
        <f>18.8842 * CHOOSE(CONTROL!$C$27, $C$14, 100%, $E$14)</f>
        <v>18.8842</v>
      </c>
      <c r="K577" s="59">
        <f>18.8911 * CHOOSE(CONTROL!$C$27, $C$14, 100%, $E$14)</f>
        <v>18.891100000000002</v>
      </c>
      <c r="L577" s="59">
        <f>10.274 * CHOOSE(CONTROL!$C$27, $C$14, 100%, $E$14)</f>
        <v>10.273999999999999</v>
      </c>
      <c r="M577" s="59">
        <f>10.2809 * CHOOSE(CONTROL!$C$27, $C$14, 100%, $E$14)</f>
        <v>10.280900000000001</v>
      </c>
      <c r="N577" s="59">
        <f>10.274 * CHOOSE(CONTROL!$C$27, $C$14, 100%, $E$14)</f>
        <v>10.273999999999999</v>
      </c>
      <c r="O577" s="59">
        <f>10.2809 * CHOOSE(CONTROL!$C$27, $C$14, 100%, $E$14)</f>
        <v>10.280900000000001</v>
      </c>
    </row>
    <row r="578" spans="1:15" ht="15">
      <c r="A578" s="11">
        <v>58685</v>
      </c>
      <c r="B578" s="58">
        <f>8.8072 * CHOOSE(CONTROL!$C$27, $C$14, 100%, $E$14)</f>
        <v>8.8071999999999999</v>
      </c>
      <c r="C578" s="58">
        <f>8.8072 * CHOOSE(CONTROL!$C$27, $C$14, 100%, $E$14)</f>
        <v>8.8071999999999999</v>
      </c>
      <c r="D578" s="58">
        <f>8.8128 * CHOOSE(CONTROL!$C$27, $C$14, 100%, $E$14)</f>
        <v>8.8127999999999993</v>
      </c>
      <c r="E578" s="59">
        <f>10.2538 * CHOOSE(CONTROL!$C$27, $C$14, 100%, $E$14)</f>
        <v>10.2538</v>
      </c>
      <c r="F578" s="59">
        <f>10.2538 * CHOOSE(CONTROL!$C$27, $C$14, 100%, $E$14)</f>
        <v>10.2538</v>
      </c>
      <c r="G578" s="59">
        <f>10.2607 * CHOOSE(CONTROL!$C$27, $C$14, 100%, $E$14)</f>
        <v>10.2607</v>
      </c>
      <c r="H578" s="59">
        <f>18.9235* CHOOSE(CONTROL!$C$27, $C$14, 100%, $E$14)</f>
        <v>18.923500000000001</v>
      </c>
      <c r="I578" s="59">
        <f>18.9304 * CHOOSE(CONTROL!$C$27, $C$14, 100%, $E$14)</f>
        <v>18.930399999999999</v>
      </c>
      <c r="J578" s="59">
        <f>18.9235 * CHOOSE(CONTROL!$C$27, $C$14, 100%, $E$14)</f>
        <v>18.923500000000001</v>
      </c>
      <c r="K578" s="59">
        <f>18.9304 * CHOOSE(CONTROL!$C$27, $C$14, 100%, $E$14)</f>
        <v>18.930399999999999</v>
      </c>
      <c r="L578" s="59">
        <f>10.2538 * CHOOSE(CONTROL!$C$27, $C$14, 100%, $E$14)</f>
        <v>10.2538</v>
      </c>
      <c r="M578" s="59">
        <f>10.2607 * CHOOSE(CONTROL!$C$27, $C$14, 100%, $E$14)</f>
        <v>10.2607</v>
      </c>
      <c r="N578" s="59">
        <f>10.2538 * CHOOSE(CONTROL!$C$27, $C$14, 100%, $E$14)</f>
        <v>10.2538</v>
      </c>
      <c r="O578" s="59">
        <f>10.2607 * CHOOSE(CONTROL!$C$27, $C$14, 100%, $E$14)</f>
        <v>10.2607</v>
      </c>
    </row>
    <row r="579" spans="1:15" ht="15">
      <c r="A579" s="11">
        <v>58715</v>
      </c>
      <c r="B579" s="58">
        <f>8.8179 * CHOOSE(CONTROL!$C$27, $C$14, 100%, $E$14)</f>
        <v>8.8178999999999998</v>
      </c>
      <c r="C579" s="58">
        <f>8.8179 * CHOOSE(CONTROL!$C$27, $C$14, 100%, $E$14)</f>
        <v>8.8178999999999998</v>
      </c>
      <c r="D579" s="58">
        <f>8.8219 * CHOOSE(CONTROL!$C$27, $C$14, 100%, $E$14)</f>
        <v>8.8218999999999994</v>
      </c>
      <c r="E579" s="59">
        <f>10.3128 * CHOOSE(CONTROL!$C$27, $C$14, 100%, $E$14)</f>
        <v>10.312799999999999</v>
      </c>
      <c r="F579" s="59">
        <f>10.3128 * CHOOSE(CONTROL!$C$27, $C$14, 100%, $E$14)</f>
        <v>10.312799999999999</v>
      </c>
      <c r="G579" s="59">
        <f>10.3178 * CHOOSE(CONTROL!$C$27, $C$14, 100%, $E$14)</f>
        <v>10.3178</v>
      </c>
      <c r="H579" s="59">
        <f>18.9629* CHOOSE(CONTROL!$C$27, $C$14, 100%, $E$14)</f>
        <v>18.962900000000001</v>
      </c>
      <c r="I579" s="59">
        <f>18.9679 * CHOOSE(CONTROL!$C$27, $C$14, 100%, $E$14)</f>
        <v>18.9679</v>
      </c>
      <c r="J579" s="59">
        <f>18.9629 * CHOOSE(CONTROL!$C$27, $C$14, 100%, $E$14)</f>
        <v>18.962900000000001</v>
      </c>
      <c r="K579" s="59">
        <f>18.9679 * CHOOSE(CONTROL!$C$27, $C$14, 100%, $E$14)</f>
        <v>18.9679</v>
      </c>
      <c r="L579" s="59">
        <f>10.3128 * CHOOSE(CONTROL!$C$27, $C$14, 100%, $E$14)</f>
        <v>10.312799999999999</v>
      </c>
      <c r="M579" s="59">
        <f>10.3178 * CHOOSE(CONTROL!$C$27, $C$14, 100%, $E$14)</f>
        <v>10.3178</v>
      </c>
      <c r="N579" s="59">
        <f>10.3128 * CHOOSE(CONTROL!$C$27, $C$14, 100%, $E$14)</f>
        <v>10.312799999999999</v>
      </c>
      <c r="O579" s="59">
        <f>10.3178 * CHOOSE(CONTROL!$C$27, $C$14, 100%, $E$14)</f>
        <v>10.3178</v>
      </c>
    </row>
    <row r="580" spans="1:15" ht="15">
      <c r="A580" s="11">
        <v>58746</v>
      </c>
      <c r="B580" s="58">
        <f>8.821 * CHOOSE(CONTROL!$C$27, $C$14, 100%, $E$14)</f>
        <v>8.8209999999999997</v>
      </c>
      <c r="C580" s="58">
        <f>8.821 * CHOOSE(CONTROL!$C$27, $C$14, 100%, $E$14)</f>
        <v>8.8209999999999997</v>
      </c>
      <c r="D580" s="58">
        <f>8.825 * CHOOSE(CONTROL!$C$27, $C$14, 100%, $E$14)</f>
        <v>8.8249999999999993</v>
      </c>
      <c r="E580" s="59">
        <f>10.3512 * CHOOSE(CONTROL!$C$27, $C$14, 100%, $E$14)</f>
        <v>10.3512</v>
      </c>
      <c r="F580" s="59">
        <f>10.3512 * CHOOSE(CONTROL!$C$27, $C$14, 100%, $E$14)</f>
        <v>10.3512</v>
      </c>
      <c r="G580" s="59">
        <f>10.3561 * CHOOSE(CONTROL!$C$27, $C$14, 100%, $E$14)</f>
        <v>10.3561</v>
      </c>
      <c r="H580" s="59">
        <f>19.0024* CHOOSE(CONTROL!$C$27, $C$14, 100%, $E$14)</f>
        <v>19.002400000000002</v>
      </c>
      <c r="I580" s="59">
        <f>19.0074 * CHOOSE(CONTROL!$C$27, $C$14, 100%, $E$14)</f>
        <v>19.007400000000001</v>
      </c>
      <c r="J580" s="59">
        <f>19.0024 * CHOOSE(CONTROL!$C$27, $C$14, 100%, $E$14)</f>
        <v>19.002400000000002</v>
      </c>
      <c r="K580" s="59">
        <f>19.0074 * CHOOSE(CONTROL!$C$27, $C$14, 100%, $E$14)</f>
        <v>19.007400000000001</v>
      </c>
      <c r="L580" s="59">
        <f>10.3512 * CHOOSE(CONTROL!$C$27, $C$14, 100%, $E$14)</f>
        <v>10.3512</v>
      </c>
      <c r="M580" s="59">
        <f>10.3561 * CHOOSE(CONTROL!$C$27, $C$14, 100%, $E$14)</f>
        <v>10.3561</v>
      </c>
      <c r="N580" s="59">
        <f>10.3512 * CHOOSE(CONTROL!$C$27, $C$14, 100%, $E$14)</f>
        <v>10.3512</v>
      </c>
      <c r="O580" s="59">
        <f>10.3561 * CHOOSE(CONTROL!$C$27, $C$14, 100%, $E$14)</f>
        <v>10.3561</v>
      </c>
    </row>
    <row r="581" spans="1:15" ht="15">
      <c r="A581" s="11">
        <v>58776</v>
      </c>
      <c r="B581" s="58">
        <f>8.821 * CHOOSE(CONTROL!$C$27, $C$14, 100%, $E$14)</f>
        <v>8.8209999999999997</v>
      </c>
      <c r="C581" s="58">
        <f>8.821 * CHOOSE(CONTROL!$C$27, $C$14, 100%, $E$14)</f>
        <v>8.8209999999999997</v>
      </c>
      <c r="D581" s="58">
        <f>8.825 * CHOOSE(CONTROL!$C$27, $C$14, 100%, $E$14)</f>
        <v>8.8249999999999993</v>
      </c>
      <c r="E581" s="59">
        <f>10.2606 * CHOOSE(CONTROL!$C$27, $C$14, 100%, $E$14)</f>
        <v>10.2606</v>
      </c>
      <c r="F581" s="59">
        <f>10.2606 * CHOOSE(CONTROL!$C$27, $C$14, 100%, $E$14)</f>
        <v>10.2606</v>
      </c>
      <c r="G581" s="59">
        <f>10.2655 * CHOOSE(CONTROL!$C$27, $C$14, 100%, $E$14)</f>
        <v>10.265499999999999</v>
      </c>
      <c r="H581" s="59">
        <f>19.042* CHOOSE(CONTROL!$C$27, $C$14, 100%, $E$14)</f>
        <v>19.042000000000002</v>
      </c>
      <c r="I581" s="59">
        <f>19.047 * CHOOSE(CONTROL!$C$27, $C$14, 100%, $E$14)</f>
        <v>19.047000000000001</v>
      </c>
      <c r="J581" s="59">
        <f>19.042 * CHOOSE(CONTROL!$C$27, $C$14, 100%, $E$14)</f>
        <v>19.042000000000002</v>
      </c>
      <c r="K581" s="59">
        <f>19.047 * CHOOSE(CONTROL!$C$27, $C$14, 100%, $E$14)</f>
        <v>19.047000000000001</v>
      </c>
      <c r="L581" s="59">
        <f>10.2606 * CHOOSE(CONTROL!$C$27, $C$14, 100%, $E$14)</f>
        <v>10.2606</v>
      </c>
      <c r="M581" s="59">
        <f>10.2655 * CHOOSE(CONTROL!$C$27, $C$14, 100%, $E$14)</f>
        <v>10.265499999999999</v>
      </c>
      <c r="N581" s="59">
        <f>10.2606 * CHOOSE(CONTROL!$C$27, $C$14, 100%, $E$14)</f>
        <v>10.2606</v>
      </c>
      <c r="O581" s="59">
        <f>10.2655 * CHOOSE(CONTROL!$C$27, $C$14, 100%, $E$14)</f>
        <v>10.265499999999999</v>
      </c>
    </row>
    <row r="582" spans="1:15" ht="15">
      <c r="A582" s="11">
        <v>58807</v>
      </c>
      <c r="B582" s="58">
        <f>8.8962 * CHOOSE(CONTROL!$C$27, $C$14, 100%, $E$14)</f>
        <v>8.8962000000000003</v>
      </c>
      <c r="C582" s="58">
        <f>8.8962 * CHOOSE(CONTROL!$C$27, $C$14, 100%, $E$14)</f>
        <v>8.8962000000000003</v>
      </c>
      <c r="D582" s="58">
        <f>8.9002 * CHOOSE(CONTROL!$C$27, $C$14, 100%, $E$14)</f>
        <v>8.9001999999999999</v>
      </c>
      <c r="E582" s="59">
        <f>10.409 * CHOOSE(CONTROL!$C$27, $C$14, 100%, $E$14)</f>
        <v>10.409000000000001</v>
      </c>
      <c r="F582" s="59">
        <f>10.409 * CHOOSE(CONTROL!$C$27, $C$14, 100%, $E$14)</f>
        <v>10.409000000000001</v>
      </c>
      <c r="G582" s="59">
        <f>10.4139 * CHOOSE(CONTROL!$C$27, $C$14, 100%, $E$14)</f>
        <v>10.4139</v>
      </c>
      <c r="H582" s="59">
        <f>19.0817* CHOOSE(CONTROL!$C$27, $C$14, 100%, $E$14)</f>
        <v>19.081700000000001</v>
      </c>
      <c r="I582" s="59">
        <f>19.0866 * CHOOSE(CONTROL!$C$27, $C$14, 100%, $E$14)</f>
        <v>19.086600000000001</v>
      </c>
      <c r="J582" s="59">
        <f>19.0817 * CHOOSE(CONTROL!$C$27, $C$14, 100%, $E$14)</f>
        <v>19.081700000000001</v>
      </c>
      <c r="K582" s="59">
        <f>19.0866 * CHOOSE(CONTROL!$C$27, $C$14, 100%, $E$14)</f>
        <v>19.086600000000001</v>
      </c>
      <c r="L582" s="59">
        <f>10.409 * CHOOSE(CONTROL!$C$27, $C$14, 100%, $E$14)</f>
        <v>10.409000000000001</v>
      </c>
      <c r="M582" s="59">
        <f>10.4139 * CHOOSE(CONTROL!$C$27, $C$14, 100%, $E$14)</f>
        <v>10.4139</v>
      </c>
      <c r="N582" s="59">
        <f>10.409 * CHOOSE(CONTROL!$C$27, $C$14, 100%, $E$14)</f>
        <v>10.409000000000001</v>
      </c>
      <c r="O582" s="59">
        <f>10.4139 * CHOOSE(CONTROL!$C$27, $C$14, 100%, $E$14)</f>
        <v>10.4139</v>
      </c>
    </row>
    <row r="583" spans="1:15" ht="15">
      <c r="A583" s="11">
        <v>58838</v>
      </c>
      <c r="B583" s="58">
        <f>8.8931 * CHOOSE(CONTROL!$C$27, $C$14, 100%, $E$14)</f>
        <v>8.8931000000000004</v>
      </c>
      <c r="C583" s="58">
        <f>8.8931 * CHOOSE(CONTROL!$C$27, $C$14, 100%, $E$14)</f>
        <v>8.8931000000000004</v>
      </c>
      <c r="D583" s="58">
        <f>8.8971 * CHOOSE(CONTROL!$C$27, $C$14, 100%, $E$14)</f>
        <v>8.8971</v>
      </c>
      <c r="E583" s="59">
        <f>10.2309 * CHOOSE(CONTROL!$C$27, $C$14, 100%, $E$14)</f>
        <v>10.2309</v>
      </c>
      <c r="F583" s="59">
        <f>10.2309 * CHOOSE(CONTROL!$C$27, $C$14, 100%, $E$14)</f>
        <v>10.2309</v>
      </c>
      <c r="G583" s="59">
        <f>10.2359 * CHOOSE(CONTROL!$C$27, $C$14, 100%, $E$14)</f>
        <v>10.235900000000001</v>
      </c>
      <c r="H583" s="59">
        <f>19.1215* CHOOSE(CONTROL!$C$27, $C$14, 100%, $E$14)</f>
        <v>19.121500000000001</v>
      </c>
      <c r="I583" s="59">
        <f>19.1264 * CHOOSE(CONTROL!$C$27, $C$14, 100%, $E$14)</f>
        <v>19.1264</v>
      </c>
      <c r="J583" s="59">
        <f>19.1215 * CHOOSE(CONTROL!$C$27, $C$14, 100%, $E$14)</f>
        <v>19.121500000000001</v>
      </c>
      <c r="K583" s="59">
        <f>19.1264 * CHOOSE(CONTROL!$C$27, $C$14, 100%, $E$14)</f>
        <v>19.1264</v>
      </c>
      <c r="L583" s="59">
        <f>10.2309 * CHOOSE(CONTROL!$C$27, $C$14, 100%, $E$14)</f>
        <v>10.2309</v>
      </c>
      <c r="M583" s="59">
        <f>10.2359 * CHOOSE(CONTROL!$C$27, $C$14, 100%, $E$14)</f>
        <v>10.235900000000001</v>
      </c>
      <c r="N583" s="59">
        <f>10.2309 * CHOOSE(CONTROL!$C$27, $C$14, 100%, $E$14)</f>
        <v>10.2309</v>
      </c>
      <c r="O583" s="59">
        <f>10.2359 * CHOOSE(CONTROL!$C$27, $C$14, 100%, $E$14)</f>
        <v>10.235900000000001</v>
      </c>
    </row>
    <row r="584" spans="1:15" ht="15">
      <c r="A584" s="11">
        <v>58866</v>
      </c>
      <c r="B584" s="58">
        <f>8.8901 * CHOOSE(CONTROL!$C$27, $C$14, 100%, $E$14)</f>
        <v>8.8901000000000003</v>
      </c>
      <c r="C584" s="58">
        <f>8.8901 * CHOOSE(CONTROL!$C$27, $C$14, 100%, $E$14)</f>
        <v>8.8901000000000003</v>
      </c>
      <c r="D584" s="58">
        <f>8.8941 * CHOOSE(CONTROL!$C$27, $C$14, 100%, $E$14)</f>
        <v>8.8940999999999999</v>
      </c>
      <c r="E584" s="59">
        <f>10.3675 * CHOOSE(CONTROL!$C$27, $C$14, 100%, $E$14)</f>
        <v>10.3675</v>
      </c>
      <c r="F584" s="59">
        <f>10.3675 * CHOOSE(CONTROL!$C$27, $C$14, 100%, $E$14)</f>
        <v>10.3675</v>
      </c>
      <c r="G584" s="59">
        <f>10.3725 * CHOOSE(CONTROL!$C$27, $C$14, 100%, $E$14)</f>
        <v>10.3725</v>
      </c>
      <c r="H584" s="59">
        <f>19.1613* CHOOSE(CONTROL!$C$27, $C$14, 100%, $E$14)</f>
        <v>19.161300000000001</v>
      </c>
      <c r="I584" s="59">
        <f>19.1662 * CHOOSE(CONTROL!$C$27, $C$14, 100%, $E$14)</f>
        <v>19.1662</v>
      </c>
      <c r="J584" s="59">
        <f>19.1613 * CHOOSE(CONTROL!$C$27, $C$14, 100%, $E$14)</f>
        <v>19.161300000000001</v>
      </c>
      <c r="K584" s="59">
        <f>19.1662 * CHOOSE(CONTROL!$C$27, $C$14, 100%, $E$14)</f>
        <v>19.1662</v>
      </c>
      <c r="L584" s="59">
        <f>10.3675 * CHOOSE(CONTROL!$C$27, $C$14, 100%, $E$14)</f>
        <v>10.3675</v>
      </c>
      <c r="M584" s="59">
        <f>10.3725 * CHOOSE(CONTROL!$C$27, $C$14, 100%, $E$14)</f>
        <v>10.3725</v>
      </c>
      <c r="N584" s="59">
        <f>10.3675 * CHOOSE(CONTROL!$C$27, $C$14, 100%, $E$14)</f>
        <v>10.3675</v>
      </c>
      <c r="O584" s="59">
        <f>10.3725 * CHOOSE(CONTROL!$C$27, $C$14, 100%, $E$14)</f>
        <v>10.3725</v>
      </c>
    </row>
    <row r="585" spans="1:15" ht="15">
      <c r="A585" s="11">
        <v>58897</v>
      </c>
      <c r="B585" s="58">
        <f>8.8919 * CHOOSE(CONTROL!$C$27, $C$14, 100%, $E$14)</f>
        <v>8.8918999999999997</v>
      </c>
      <c r="C585" s="58">
        <f>8.8919 * CHOOSE(CONTROL!$C$27, $C$14, 100%, $E$14)</f>
        <v>8.8918999999999997</v>
      </c>
      <c r="D585" s="58">
        <f>8.8959 * CHOOSE(CONTROL!$C$27, $C$14, 100%, $E$14)</f>
        <v>8.8958999999999993</v>
      </c>
      <c r="E585" s="59">
        <f>10.5123 * CHOOSE(CONTROL!$C$27, $C$14, 100%, $E$14)</f>
        <v>10.5123</v>
      </c>
      <c r="F585" s="59">
        <f>10.5123 * CHOOSE(CONTROL!$C$27, $C$14, 100%, $E$14)</f>
        <v>10.5123</v>
      </c>
      <c r="G585" s="59">
        <f>10.5172 * CHOOSE(CONTROL!$C$27, $C$14, 100%, $E$14)</f>
        <v>10.517200000000001</v>
      </c>
      <c r="H585" s="59">
        <f>19.2012* CHOOSE(CONTROL!$C$27, $C$14, 100%, $E$14)</f>
        <v>19.2012</v>
      </c>
      <c r="I585" s="59">
        <f>19.2061 * CHOOSE(CONTROL!$C$27, $C$14, 100%, $E$14)</f>
        <v>19.206099999999999</v>
      </c>
      <c r="J585" s="59">
        <f>19.2012 * CHOOSE(CONTROL!$C$27, $C$14, 100%, $E$14)</f>
        <v>19.2012</v>
      </c>
      <c r="K585" s="59">
        <f>19.2061 * CHOOSE(CONTROL!$C$27, $C$14, 100%, $E$14)</f>
        <v>19.206099999999999</v>
      </c>
      <c r="L585" s="59">
        <f>10.5123 * CHOOSE(CONTROL!$C$27, $C$14, 100%, $E$14)</f>
        <v>10.5123</v>
      </c>
      <c r="M585" s="59">
        <f>10.5172 * CHOOSE(CONTROL!$C$27, $C$14, 100%, $E$14)</f>
        <v>10.517200000000001</v>
      </c>
      <c r="N585" s="59">
        <f>10.5123 * CHOOSE(CONTROL!$C$27, $C$14, 100%, $E$14)</f>
        <v>10.5123</v>
      </c>
      <c r="O585" s="59">
        <f>10.5172 * CHOOSE(CONTROL!$C$27, $C$14, 100%, $E$14)</f>
        <v>10.517200000000001</v>
      </c>
    </row>
    <row r="586" spans="1:15" ht="15">
      <c r="A586" s="11">
        <v>58927</v>
      </c>
      <c r="B586" s="58">
        <f>8.8919 * CHOOSE(CONTROL!$C$27, $C$14, 100%, $E$14)</f>
        <v>8.8918999999999997</v>
      </c>
      <c r="C586" s="58">
        <f>8.8919 * CHOOSE(CONTROL!$C$27, $C$14, 100%, $E$14)</f>
        <v>8.8918999999999997</v>
      </c>
      <c r="D586" s="58">
        <f>8.8975 * CHOOSE(CONTROL!$C$27, $C$14, 100%, $E$14)</f>
        <v>8.8975000000000009</v>
      </c>
      <c r="E586" s="59">
        <f>10.5681 * CHOOSE(CONTROL!$C$27, $C$14, 100%, $E$14)</f>
        <v>10.568099999999999</v>
      </c>
      <c r="F586" s="59">
        <f>10.5681 * CHOOSE(CONTROL!$C$27, $C$14, 100%, $E$14)</f>
        <v>10.568099999999999</v>
      </c>
      <c r="G586" s="59">
        <f>10.575 * CHOOSE(CONTROL!$C$27, $C$14, 100%, $E$14)</f>
        <v>10.574999999999999</v>
      </c>
      <c r="H586" s="59">
        <f>19.2412* CHOOSE(CONTROL!$C$27, $C$14, 100%, $E$14)</f>
        <v>19.241199999999999</v>
      </c>
      <c r="I586" s="59">
        <f>19.2481 * CHOOSE(CONTROL!$C$27, $C$14, 100%, $E$14)</f>
        <v>19.248100000000001</v>
      </c>
      <c r="J586" s="59">
        <f>19.2412 * CHOOSE(CONTROL!$C$27, $C$14, 100%, $E$14)</f>
        <v>19.241199999999999</v>
      </c>
      <c r="K586" s="59">
        <f>19.2481 * CHOOSE(CONTROL!$C$27, $C$14, 100%, $E$14)</f>
        <v>19.248100000000001</v>
      </c>
      <c r="L586" s="59">
        <f>10.5681 * CHOOSE(CONTROL!$C$27, $C$14, 100%, $E$14)</f>
        <v>10.568099999999999</v>
      </c>
      <c r="M586" s="59">
        <f>10.575 * CHOOSE(CONTROL!$C$27, $C$14, 100%, $E$14)</f>
        <v>10.574999999999999</v>
      </c>
      <c r="N586" s="59">
        <f>10.5681 * CHOOSE(CONTROL!$C$27, $C$14, 100%, $E$14)</f>
        <v>10.568099999999999</v>
      </c>
      <c r="O586" s="59">
        <f>10.575 * CHOOSE(CONTROL!$C$27, $C$14, 100%, $E$14)</f>
        <v>10.574999999999999</v>
      </c>
    </row>
    <row r="587" spans="1:15" ht="15">
      <c r="A587" s="11">
        <v>58958</v>
      </c>
      <c r="B587" s="58">
        <f>8.898 * CHOOSE(CONTROL!$C$27, $C$14, 100%, $E$14)</f>
        <v>8.8979999999999997</v>
      </c>
      <c r="C587" s="58">
        <f>8.898 * CHOOSE(CONTROL!$C$27, $C$14, 100%, $E$14)</f>
        <v>8.8979999999999997</v>
      </c>
      <c r="D587" s="58">
        <f>8.9036 * CHOOSE(CONTROL!$C$27, $C$14, 100%, $E$14)</f>
        <v>8.9036000000000008</v>
      </c>
      <c r="E587" s="59">
        <f>10.5165 * CHOOSE(CONTROL!$C$27, $C$14, 100%, $E$14)</f>
        <v>10.516500000000001</v>
      </c>
      <c r="F587" s="59">
        <f>10.5165 * CHOOSE(CONTROL!$C$27, $C$14, 100%, $E$14)</f>
        <v>10.516500000000001</v>
      </c>
      <c r="G587" s="59">
        <f>10.5234 * CHOOSE(CONTROL!$C$27, $C$14, 100%, $E$14)</f>
        <v>10.523400000000001</v>
      </c>
      <c r="H587" s="59">
        <f>19.2813* CHOOSE(CONTROL!$C$27, $C$14, 100%, $E$14)</f>
        <v>19.281300000000002</v>
      </c>
      <c r="I587" s="59">
        <f>19.2882 * CHOOSE(CONTROL!$C$27, $C$14, 100%, $E$14)</f>
        <v>19.2882</v>
      </c>
      <c r="J587" s="59">
        <f>19.2813 * CHOOSE(CONTROL!$C$27, $C$14, 100%, $E$14)</f>
        <v>19.281300000000002</v>
      </c>
      <c r="K587" s="59">
        <f>19.2882 * CHOOSE(CONTROL!$C$27, $C$14, 100%, $E$14)</f>
        <v>19.2882</v>
      </c>
      <c r="L587" s="59">
        <f>10.5165 * CHOOSE(CONTROL!$C$27, $C$14, 100%, $E$14)</f>
        <v>10.516500000000001</v>
      </c>
      <c r="M587" s="59">
        <f>10.5234 * CHOOSE(CONTROL!$C$27, $C$14, 100%, $E$14)</f>
        <v>10.523400000000001</v>
      </c>
      <c r="N587" s="59">
        <f>10.5165 * CHOOSE(CONTROL!$C$27, $C$14, 100%, $E$14)</f>
        <v>10.516500000000001</v>
      </c>
      <c r="O587" s="59">
        <f>10.5234 * CHOOSE(CONTROL!$C$27, $C$14, 100%, $E$14)</f>
        <v>10.523400000000001</v>
      </c>
    </row>
    <row r="588" spans="1:15" ht="15">
      <c r="A588" s="11">
        <v>58988</v>
      </c>
      <c r="B588" s="58">
        <f>9.0365 * CHOOSE(CONTROL!$C$27, $C$14, 100%, $E$14)</f>
        <v>9.0365000000000002</v>
      </c>
      <c r="C588" s="58">
        <f>9.0365 * CHOOSE(CONTROL!$C$27, $C$14, 100%, $E$14)</f>
        <v>9.0365000000000002</v>
      </c>
      <c r="D588" s="58">
        <f>9.0421 * CHOOSE(CONTROL!$C$27, $C$14, 100%, $E$14)</f>
        <v>9.0420999999999996</v>
      </c>
      <c r="E588" s="59">
        <f>10.6879 * CHOOSE(CONTROL!$C$27, $C$14, 100%, $E$14)</f>
        <v>10.687900000000001</v>
      </c>
      <c r="F588" s="59">
        <f>10.6879 * CHOOSE(CONTROL!$C$27, $C$14, 100%, $E$14)</f>
        <v>10.687900000000001</v>
      </c>
      <c r="G588" s="59">
        <f>10.6948 * CHOOSE(CONTROL!$C$27, $C$14, 100%, $E$14)</f>
        <v>10.694800000000001</v>
      </c>
      <c r="H588" s="59">
        <f>19.3215* CHOOSE(CONTROL!$C$27, $C$14, 100%, $E$14)</f>
        <v>19.3215</v>
      </c>
      <c r="I588" s="59">
        <f>19.3284 * CHOOSE(CONTROL!$C$27, $C$14, 100%, $E$14)</f>
        <v>19.328399999999998</v>
      </c>
      <c r="J588" s="59">
        <f>19.3215 * CHOOSE(CONTROL!$C$27, $C$14, 100%, $E$14)</f>
        <v>19.3215</v>
      </c>
      <c r="K588" s="59">
        <f>19.3284 * CHOOSE(CONTROL!$C$27, $C$14, 100%, $E$14)</f>
        <v>19.328399999999998</v>
      </c>
      <c r="L588" s="59">
        <f>10.6879 * CHOOSE(CONTROL!$C$27, $C$14, 100%, $E$14)</f>
        <v>10.687900000000001</v>
      </c>
      <c r="M588" s="59">
        <f>10.6948 * CHOOSE(CONTROL!$C$27, $C$14, 100%, $E$14)</f>
        <v>10.694800000000001</v>
      </c>
      <c r="N588" s="59">
        <f>10.6879 * CHOOSE(CONTROL!$C$27, $C$14, 100%, $E$14)</f>
        <v>10.687900000000001</v>
      </c>
      <c r="O588" s="59">
        <f>10.6948 * CHOOSE(CONTROL!$C$27, $C$14, 100%, $E$14)</f>
        <v>10.694800000000001</v>
      </c>
    </row>
    <row r="589" spans="1:15" ht="15">
      <c r="A589" s="11">
        <v>59019</v>
      </c>
      <c r="B589" s="58">
        <f>9.0432 * CHOOSE(CONTROL!$C$27, $C$14, 100%, $E$14)</f>
        <v>9.0432000000000006</v>
      </c>
      <c r="C589" s="58">
        <f>9.0432 * CHOOSE(CONTROL!$C$27, $C$14, 100%, $E$14)</f>
        <v>9.0432000000000006</v>
      </c>
      <c r="D589" s="58">
        <f>9.0488 * CHOOSE(CONTROL!$C$27, $C$14, 100%, $E$14)</f>
        <v>9.0488</v>
      </c>
      <c r="E589" s="59">
        <f>10.5249 * CHOOSE(CONTROL!$C$27, $C$14, 100%, $E$14)</f>
        <v>10.524900000000001</v>
      </c>
      <c r="F589" s="59">
        <f>10.5249 * CHOOSE(CONTROL!$C$27, $C$14, 100%, $E$14)</f>
        <v>10.524900000000001</v>
      </c>
      <c r="G589" s="59">
        <f>10.5318 * CHOOSE(CONTROL!$C$27, $C$14, 100%, $E$14)</f>
        <v>10.5318</v>
      </c>
      <c r="H589" s="59">
        <f>19.3617* CHOOSE(CONTROL!$C$27, $C$14, 100%, $E$14)</f>
        <v>19.361699999999999</v>
      </c>
      <c r="I589" s="59">
        <f>19.3686 * CHOOSE(CONTROL!$C$27, $C$14, 100%, $E$14)</f>
        <v>19.368600000000001</v>
      </c>
      <c r="J589" s="59">
        <f>19.3617 * CHOOSE(CONTROL!$C$27, $C$14, 100%, $E$14)</f>
        <v>19.361699999999999</v>
      </c>
      <c r="K589" s="59">
        <f>19.3686 * CHOOSE(CONTROL!$C$27, $C$14, 100%, $E$14)</f>
        <v>19.368600000000001</v>
      </c>
      <c r="L589" s="59">
        <f>10.5249 * CHOOSE(CONTROL!$C$27, $C$14, 100%, $E$14)</f>
        <v>10.524900000000001</v>
      </c>
      <c r="M589" s="59">
        <f>10.5318 * CHOOSE(CONTROL!$C$27, $C$14, 100%, $E$14)</f>
        <v>10.5318</v>
      </c>
      <c r="N589" s="59">
        <f>10.5249 * CHOOSE(CONTROL!$C$27, $C$14, 100%, $E$14)</f>
        <v>10.524900000000001</v>
      </c>
      <c r="O589" s="59">
        <f>10.5318 * CHOOSE(CONTROL!$C$27, $C$14, 100%, $E$14)</f>
        <v>10.5318</v>
      </c>
    </row>
    <row r="590" spans="1:15" ht="15">
      <c r="A590" s="11">
        <v>59050</v>
      </c>
      <c r="B590" s="58">
        <f>9.0401 * CHOOSE(CONTROL!$C$27, $C$14, 100%, $E$14)</f>
        <v>9.0401000000000007</v>
      </c>
      <c r="C590" s="58">
        <f>9.0401 * CHOOSE(CONTROL!$C$27, $C$14, 100%, $E$14)</f>
        <v>9.0401000000000007</v>
      </c>
      <c r="D590" s="58">
        <f>9.0458 * CHOOSE(CONTROL!$C$27, $C$14, 100%, $E$14)</f>
        <v>9.0457999999999998</v>
      </c>
      <c r="E590" s="59">
        <f>10.5042 * CHOOSE(CONTROL!$C$27, $C$14, 100%, $E$14)</f>
        <v>10.504200000000001</v>
      </c>
      <c r="F590" s="59">
        <f>10.5042 * CHOOSE(CONTROL!$C$27, $C$14, 100%, $E$14)</f>
        <v>10.504200000000001</v>
      </c>
      <c r="G590" s="59">
        <f>10.5111 * CHOOSE(CONTROL!$C$27, $C$14, 100%, $E$14)</f>
        <v>10.511100000000001</v>
      </c>
      <c r="H590" s="59">
        <f>19.4021* CHOOSE(CONTROL!$C$27, $C$14, 100%, $E$14)</f>
        <v>19.402100000000001</v>
      </c>
      <c r="I590" s="59">
        <f>19.409 * CHOOSE(CONTROL!$C$27, $C$14, 100%, $E$14)</f>
        <v>19.408999999999999</v>
      </c>
      <c r="J590" s="59">
        <f>19.4021 * CHOOSE(CONTROL!$C$27, $C$14, 100%, $E$14)</f>
        <v>19.402100000000001</v>
      </c>
      <c r="K590" s="59">
        <f>19.409 * CHOOSE(CONTROL!$C$27, $C$14, 100%, $E$14)</f>
        <v>19.408999999999999</v>
      </c>
      <c r="L590" s="59">
        <f>10.5042 * CHOOSE(CONTROL!$C$27, $C$14, 100%, $E$14)</f>
        <v>10.504200000000001</v>
      </c>
      <c r="M590" s="59">
        <f>10.5111 * CHOOSE(CONTROL!$C$27, $C$14, 100%, $E$14)</f>
        <v>10.511100000000001</v>
      </c>
      <c r="N590" s="59">
        <f>10.5042 * CHOOSE(CONTROL!$C$27, $C$14, 100%, $E$14)</f>
        <v>10.504200000000001</v>
      </c>
      <c r="O590" s="59">
        <f>10.5111 * CHOOSE(CONTROL!$C$27, $C$14, 100%, $E$14)</f>
        <v>10.511100000000001</v>
      </c>
    </row>
    <row r="591" spans="1:15" ht="15">
      <c r="A591" s="11">
        <v>59080</v>
      </c>
      <c r="B591" s="58">
        <f>9.0516 * CHOOSE(CONTROL!$C$27, $C$14, 100%, $E$14)</f>
        <v>9.0516000000000005</v>
      </c>
      <c r="C591" s="58">
        <f>9.0516 * CHOOSE(CONTROL!$C$27, $C$14, 100%, $E$14)</f>
        <v>9.0516000000000005</v>
      </c>
      <c r="D591" s="58">
        <f>9.0556 * CHOOSE(CONTROL!$C$27, $C$14, 100%, $E$14)</f>
        <v>9.0556000000000001</v>
      </c>
      <c r="E591" s="59">
        <f>10.5653 * CHOOSE(CONTROL!$C$27, $C$14, 100%, $E$14)</f>
        <v>10.565300000000001</v>
      </c>
      <c r="F591" s="59">
        <f>10.5653 * CHOOSE(CONTROL!$C$27, $C$14, 100%, $E$14)</f>
        <v>10.565300000000001</v>
      </c>
      <c r="G591" s="59">
        <f>10.5702 * CHOOSE(CONTROL!$C$27, $C$14, 100%, $E$14)</f>
        <v>10.5702</v>
      </c>
      <c r="H591" s="59">
        <f>19.4425* CHOOSE(CONTROL!$C$27, $C$14, 100%, $E$14)</f>
        <v>19.442499999999999</v>
      </c>
      <c r="I591" s="59">
        <f>19.4474 * CHOOSE(CONTROL!$C$27, $C$14, 100%, $E$14)</f>
        <v>19.447399999999998</v>
      </c>
      <c r="J591" s="59">
        <f>19.4425 * CHOOSE(CONTROL!$C$27, $C$14, 100%, $E$14)</f>
        <v>19.442499999999999</v>
      </c>
      <c r="K591" s="59">
        <f>19.4474 * CHOOSE(CONTROL!$C$27, $C$14, 100%, $E$14)</f>
        <v>19.447399999999998</v>
      </c>
      <c r="L591" s="59">
        <f>10.5653 * CHOOSE(CONTROL!$C$27, $C$14, 100%, $E$14)</f>
        <v>10.565300000000001</v>
      </c>
      <c r="M591" s="59">
        <f>10.5702 * CHOOSE(CONTROL!$C$27, $C$14, 100%, $E$14)</f>
        <v>10.5702</v>
      </c>
      <c r="N591" s="59">
        <f>10.5653 * CHOOSE(CONTROL!$C$27, $C$14, 100%, $E$14)</f>
        <v>10.565300000000001</v>
      </c>
      <c r="O591" s="59">
        <f>10.5702 * CHOOSE(CONTROL!$C$27, $C$14, 100%, $E$14)</f>
        <v>10.5702</v>
      </c>
    </row>
    <row r="592" spans="1:15" ht="15">
      <c r="A592" s="11">
        <v>59111</v>
      </c>
      <c r="B592" s="58">
        <f>9.0547 * CHOOSE(CONTROL!$C$27, $C$14, 100%, $E$14)</f>
        <v>9.0547000000000004</v>
      </c>
      <c r="C592" s="58">
        <f>9.0547 * CHOOSE(CONTROL!$C$27, $C$14, 100%, $E$14)</f>
        <v>9.0547000000000004</v>
      </c>
      <c r="D592" s="58">
        <f>9.0587 * CHOOSE(CONTROL!$C$27, $C$14, 100%, $E$14)</f>
        <v>9.0587</v>
      </c>
      <c r="E592" s="59">
        <f>10.6046 * CHOOSE(CONTROL!$C$27, $C$14, 100%, $E$14)</f>
        <v>10.6046</v>
      </c>
      <c r="F592" s="59">
        <f>10.6046 * CHOOSE(CONTROL!$C$27, $C$14, 100%, $E$14)</f>
        <v>10.6046</v>
      </c>
      <c r="G592" s="59">
        <f>10.6096 * CHOOSE(CONTROL!$C$27, $C$14, 100%, $E$14)</f>
        <v>10.6096</v>
      </c>
      <c r="H592" s="59">
        <f>19.483* CHOOSE(CONTROL!$C$27, $C$14, 100%, $E$14)</f>
        <v>19.483000000000001</v>
      </c>
      <c r="I592" s="59">
        <f>19.4879 * CHOOSE(CONTROL!$C$27, $C$14, 100%, $E$14)</f>
        <v>19.4879</v>
      </c>
      <c r="J592" s="59">
        <f>19.483 * CHOOSE(CONTROL!$C$27, $C$14, 100%, $E$14)</f>
        <v>19.483000000000001</v>
      </c>
      <c r="K592" s="59">
        <f>19.4879 * CHOOSE(CONTROL!$C$27, $C$14, 100%, $E$14)</f>
        <v>19.4879</v>
      </c>
      <c r="L592" s="59">
        <f>10.6046 * CHOOSE(CONTROL!$C$27, $C$14, 100%, $E$14)</f>
        <v>10.6046</v>
      </c>
      <c r="M592" s="59">
        <f>10.6096 * CHOOSE(CONTROL!$C$27, $C$14, 100%, $E$14)</f>
        <v>10.6096</v>
      </c>
      <c r="N592" s="59">
        <f>10.6046 * CHOOSE(CONTROL!$C$27, $C$14, 100%, $E$14)</f>
        <v>10.6046</v>
      </c>
      <c r="O592" s="59">
        <f>10.6096 * CHOOSE(CONTROL!$C$27, $C$14, 100%, $E$14)</f>
        <v>10.6096</v>
      </c>
    </row>
    <row r="593" spans="1:15" ht="15">
      <c r="A593" s="11">
        <v>59141</v>
      </c>
      <c r="B593" s="58">
        <f>9.0547 * CHOOSE(CONTROL!$C$27, $C$14, 100%, $E$14)</f>
        <v>9.0547000000000004</v>
      </c>
      <c r="C593" s="58">
        <f>9.0547 * CHOOSE(CONTROL!$C$27, $C$14, 100%, $E$14)</f>
        <v>9.0547000000000004</v>
      </c>
      <c r="D593" s="58">
        <f>9.0587 * CHOOSE(CONTROL!$C$27, $C$14, 100%, $E$14)</f>
        <v>9.0587</v>
      </c>
      <c r="E593" s="59">
        <f>10.5115 * CHOOSE(CONTROL!$C$27, $C$14, 100%, $E$14)</f>
        <v>10.5115</v>
      </c>
      <c r="F593" s="59">
        <f>10.5115 * CHOOSE(CONTROL!$C$27, $C$14, 100%, $E$14)</f>
        <v>10.5115</v>
      </c>
      <c r="G593" s="59">
        <f>10.5164 * CHOOSE(CONTROL!$C$27, $C$14, 100%, $E$14)</f>
        <v>10.516400000000001</v>
      </c>
      <c r="H593" s="59">
        <f>19.5236* CHOOSE(CONTROL!$C$27, $C$14, 100%, $E$14)</f>
        <v>19.523599999999998</v>
      </c>
      <c r="I593" s="59">
        <f>19.5285 * CHOOSE(CONTROL!$C$27, $C$14, 100%, $E$14)</f>
        <v>19.528500000000001</v>
      </c>
      <c r="J593" s="59">
        <f>19.5236 * CHOOSE(CONTROL!$C$27, $C$14, 100%, $E$14)</f>
        <v>19.523599999999998</v>
      </c>
      <c r="K593" s="59">
        <f>19.5285 * CHOOSE(CONTROL!$C$27, $C$14, 100%, $E$14)</f>
        <v>19.528500000000001</v>
      </c>
      <c r="L593" s="59">
        <f>10.5115 * CHOOSE(CONTROL!$C$27, $C$14, 100%, $E$14)</f>
        <v>10.5115</v>
      </c>
      <c r="M593" s="59">
        <f>10.5164 * CHOOSE(CONTROL!$C$27, $C$14, 100%, $E$14)</f>
        <v>10.516400000000001</v>
      </c>
      <c r="N593" s="59">
        <f>10.5115 * CHOOSE(CONTROL!$C$27, $C$14, 100%, $E$14)</f>
        <v>10.5115</v>
      </c>
      <c r="O593" s="59">
        <f>10.5164 * CHOOSE(CONTROL!$C$27, $C$14, 100%, $E$14)</f>
        <v>10.516400000000001</v>
      </c>
    </row>
    <row r="594" spans="1:15" ht="15">
      <c r="A594" s="11">
        <v>59172</v>
      </c>
      <c r="B594" s="58">
        <f>9.1318 * CHOOSE(CONTROL!$C$27, $C$14, 100%, $E$14)</f>
        <v>9.1318000000000001</v>
      </c>
      <c r="C594" s="58">
        <f>9.1318 * CHOOSE(CONTROL!$C$27, $C$14, 100%, $E$14)</f>
        <v>9.1318000000000001</v>
      </c>
      <c r="D594" s="58">
        <f>9.1357 * CHOOSE(CONTROL!$C$27, $C$14, 100%, $E$14)</f>
        <v>9.1356999999999999</v>
      </c>
      <c r="E594" s="59">
        <f>10.6637 * CHOOSE(CONTROL!$C$27, $C$14, 100%, $E$14)</f>
        <v>10.6637</v>
      </c>
      <c r="F594" s="59">
        <f>10.6637 * CHOOSE(CONTROL!$C$27, $C$14, 100%, $E$14)</f>
        <v>10.6637</v>
      </c>
      <c r="G594" s="59">
        <f>10.6687 * CHOOSE(CONTROL!$C$27, $C$14, 100%, $E$14)</f>
        <v>10.668699999999999</v>
      </c>
      <c r="H594" s="59">
        <f>19.5643* CHOOSE(CONTROL!$C$27, $C$14, 100%, $E$14)</f>
        <v>19.564299999999999</v>
      </c>
      <c r="I594" s="59">
        <f>19.5692 * CHOOSE(CONTROL!$C$27, $C$14, 100%, $E$14)</f>
        <v>19.569199999999999</v>
      </c>
      <c r="J594" s="59">
        <f>19.5643 * CHOOSE(CONTROL!$C$27, $C$14, 100%, $E$14)</f>
        <v>19.564299999999999</v>
      </c>
      <c r="K594" s="59">
        <f>19.5692 * CHOOSE(CONTROL!$C$27, $C$14, 100%, $E$14)</f>
        <v>19.569199999999999</v>
      </c>
      <c r="L594" s="59">
        <f>10.6637 * CHOOSE(CONTROL!$C$27, $C$14, 100%, $E$14)</f>
        <v>10.6637</v>
      </c>
      <c r="M594" s="59">
        <f>10.6687 * CHOOSE(CONTROL!$C$27, $C$14, 100%, $E$14)</f>
        <v>10.668699999999999</v>
      </c>
      <c r="N594" s="59">
        <f>10.6637 * CHOOSE(CONTROL!$C$27, $C$14, 100%, $E$14)</f>
        <v>10.6637</v>
      </c>
      <c r="O594" s="59">
        <f>10.6687 * CHOOSE(CONTROL!$C$27, $C$14, 100%, $E$14)</f>
        <v>10.668699999999999</v>
      </c>
    </row>
    <row r="595" spans="1:15" ht="15">
      <c r="A595" s="11">
        <v>59203</v>
      </c>
      <c r="B595" s="58">
        <f>9.1287 * CHOOSE(CONTROL!$C$27, $C$14, 100%, $E$14)</f>
        <v>9.1287000000000003</v>
      </c>
      <c r="C595" s="58">
        <f>9.1287 * CHOOSE(CONTROL!$C$27, $C$14, 100%, $E$14)</f>
        <v>9.1287000000000003</v>
      </c>
      <c r="D595" s="58">
        <f>9.1327 * CHOOSE(CONTROL!$C$27, $C$14, 100%, $E$14)</f>
        <v>9.1326999999999998</v>
      </c>
      <c r="E595" s="59">
        <f>10.4807 * CHOOSE(CONTROL!$C$27, $C$14, 100%, $E$14)</f>
        <v>10.480700000000001</v>
      </c>
      <c r="F595" s="59">
        <f>10.4807 * CHOOSE(CONTROL!$C$27, $C$14, 100%, $E$14)</f>
        <v>10.480700000000001</v>
      </c>
      <c r="G595" s="59">
        <f>10.4857 * CHOOSE(CONTROL!$C$27, $C$14, 100%, $E$14)</f>
        <v>10.4857</v>
      </c>
      <c r="H595" s="59">
        <f>19.605* CHOOSE(CONTROL!$C$27, $C$14, 100%, $E$14)</f>
        <v>19.605</v>
      </c>
      <c r="I595" s="59">
        <f>19.6099 * CHOOSE(CONTROL!$C$27, $C$14, 100%, $E$14)</f>
        <v>19.6099</v>
      </c>
      <c r="J595" s="59">
        <f>19.605 * CHOOSE(CONTROL!$C$27, $C$14, 100%, $E$14)</f>
        <v>19.605</v>
      </c>
      <c r="K595" s="59">
        <f>19.6099 * CHOOSE(CONTROL!$C$27, $C$14, 100%, $E$14)</f>
        <v>19.6099</v>
      </c>
      <c r="L595" s="59">
        <f>10.4807 * CHOOSE(CONTROL!$C$27, $C$14, 100%, $E$14)</f>
        <v>10.480700000000001</v>
      </c>
      <c r="M595" s="59">
        <f>10.4857 * CHOOSE(CONTROL!$C$27, $C$14, 100%, $E$14)</f>
        <v>10.4857</v>
      </c>
      <c r="N595" s="59">
        <f>10.4807 * CHOOSE(CONTROL!$C$27, $C$14, 100%, $E$14)</f>
        <v>10.480700000000001</v>
      </c>
      <c r="O595" s="59">
        <f>10.4857 * CHOOSE(CONTROL!$C$27, $C$14, 100%, $E$14)</f>
        <v>10.4857</v>
      </c>
    </row>
    <row r="596" spans="1:15" ht="15">
      <c r="A596" s="11">
        <v>59231</v>
      </c>
      <c r="B596" s="58">
        <f>9.1257 * CHOOSE(CONTROL!$C$27, $C$14, 100%, $E$14)</f>
        <v>9.1257000000000001</v>
      </c>
      <c r="C596" s="58">
        <f>9.1257 * CHOOSE(CONTROL!$C$27, $C$14, 100%, $E$14)</f>
        <v>9.1257000000000001</v>
      </c>
      <c r="D596" s="58">
        <f>9.1297 * CHOOSE(CONTROL!$C$27, $C$14, 100%, $E$14)</f>
        <v>9.1296999999999997</v>
      </c>
      <c r="E596" s="59">
        <f>10.6212 * CHOOSE(CONTROL!$C$27, $C$14, 100%, $E$14)</f>
        <v>10.6212</v>
      </c>
      <c r="F596" s="59">
        <f>10.6212 * CHOOSE(CONTROL!$C$27, $C$14, 100%, $E$14)</f>
        <v>10.6212</v>
      </c>
      <c r="G596" s="59">
        <f>10.6261 * CHOOSE(CONTROL!$C$27, $C$14, 100%, $E$14)</f>
        <v>10.626099999999999</v>
      </c>
      <c r="H596" s="59">
        <f>19.6459* CHOOSE(CONTROL!$C$27, $C$14, 100%, $E$14)</f>
        <v>19.645900000000001</v>
      </c>
      <c r="I596" s="59">
        <f>19.6508 * CHOOSE(CONTROL!$C$27, $C$14, 100%, $E$14)</f>
        <v>19.6508</v>
      </c>
      <c r="J596" s="59">
        <f>19.6459 * CHOOSE(CONTROL!$C$27, $C$14, 100%, $E$14)</f>
        <v>19.645900000000001</v>
      </c>
      <c r="K596" s="59">
        <f>19.6508 * CHOOSE(CONTROL!$C$27, $C$14, 100%, $E$14)</f>
        <v>19.6508</v>
      </c>
      <c r="L596" s="59">
        <f>10.6212 * CHOOSE(CONTROL!$C$27, $C$14, 100%, $E$14)</f>
        <v>10.6212</v>
      </c>
      <c r="M596" s="59">
        <f>10.6261 * CHOOSE(CONTROL!$C$27, $C$14, 100%, $E$14)</f>
        <v>10.626099999999999</v>
      </c>
      <c r="N596" s="59">
        <f>10.6212 * CHOOSE(CONTROL!$C$27, $C$14, 100%, $E$14)</f>
        <v>10.6212</v>
      </c>
      <c r="O596" s="59">
        <f>10.6261 * CHOOSE(CONTROL!$C$27, $C$14, 100%, $E$14)</f>
        <v>10.626099999999999</v>
      </c>
    </row>
    <row r="597" spans="1:15" ht="15">
      <c r="A597" s="11">
        <v>59262</v>
      </c>
      <c r="B597" s="58">
        <f>9.1277 * CHOOSE(CONTROL!$C$27, $C$14, 100%, $E$14)</f>
        <v>9.1277000000000008</v>
      </c>
      <c r="C597" s="58">
        <f>9.1277 * CHOOSE(CONTROL!$C$27, $C$14, 100%, $E$14)</f>
        <v>9.1277000000000008</v>
      </c>
      <c r="D597" s="58">
        <f>9.1317 * CHOOSE(CONTROL!$C$27, $C$14, 100%, $E$14)</f>
        <v>9.1317000000000004</v>
      </c>
      <c r="E597" s="59">
        <f>10.7701 * CHOOSE(CONTROL!$C$27, $C$14, 100%, $E$14)</f>
        <v>10.770099999999999</v>
      </c>
      <c r="F597" s="59">
        <f>10.7701 * CHOOSE(CONTROL!$C$27, $C$14, 100%, $E$14)</f>
        <v>10.770099999999999</v>
      </c>
      <c r="G597" s="59">
        <f>10.7751 * CHOOSE(CONTROL!$C$27, $C$14, 100%, $E$14)</f>
        <v>10.7751</v>
      </c>
      <c r="H597" s="59">
        <f>19.6868* CHOOSE(CONTROL!$C$27, $C$14, 100%, $E$14)</f>
        <v>19.686800000000002</v>
      </c>
      <c r="I597" s="59">
        <f>19.6917 * CHOOSE(CONTROL!$C$27, $C$14, 100%, $E$14)</f>
        <v>19.691700000000001</v>
      </c>
      <c r="J597" s="59">
        <f>19.6868 * CHOOSE(CONTROL!$C$27, $C$14, 100%, $E$14)</f>
        <v>19.686800000000002</v>
      </c>
      <c r="K597" s="59">
        <f>19.6917 * CHOOSE(CONTROL!$C$27, $C$14, 100%, $E$14)</f>
        <v>19.691700000000001</v>
      </c>
      <c r="L597" s="59">
        <f>10.7701 * CHOOSE(CONTROL!$C$27, $C$14, 100%, $E$14)</f>
        <v>10.770099999999999</v>
      </c>
      <c r="M597" s="59">
        <f>10.7751 * CHOOSE(CONTROL!$C$27, $C$14, 100%, $E$14)</f>
        <v>10.7751</v>
      </c>
      <c r="N597" s="59">
        <f>10.7701 * CHOOSE(CONTROL!$C$27, $C$14, 100%, $E$14)</f>
        <v>10.770099999999999</v>
      </c>
      <c r="O597" s="59">
        <f>10.7751 * CHOOSE(CONTROL!$C$27, $C$14, 100%, $E$14)</f>
        <v>10.7751</v>
      </c>
    </row>
    <row r="598" spans="1:15" ht="15">
      <c r="A598" s="11">
        <v>59292</v>
      </c>
      <c r="B598" s="58">
        <f>9.1277 * CHOOSE(CONTROL!$C$27, $C$14, 100%, $E$14)</f>
        <v>9.1277000000000008</v>
      </c>
      <c r="C598" s="58">
        <f>9.1277 * CHOOSE(CONTROL!$C$27, $C$14, 100%, $E$14)</f>
        <v>9.1277000000000008</v>
      </c>
      <c r="D598" s="58">
        <f>9.1333 * CHOOSE(CONTROL!$C$27, $C$14, 100%, $E$14)</f>
        <v>9.1333000000000002</v>
      </c>
      <c r="E598" s="59">
        <f>10.8276 * CHOOSE(CONTROL!$C$27, $C$14, 100%, $E$14)</f>
        <v>10.8276</v>
      </c>
      <c r="F598" s="59">
        <f>10.8276 * CHOOSE(CONTROL!$C$27, $C$14, 100%, $E$14)</f>
        <v>10.8276</v>
      </c>
      <c r="G598" s="59">
        <f>10.8345 * CHOOSE(CONTROL!$C$27, $C$14, 100%, $E$14)</f>
        <v>10.8345</v>
      </c>
      <c r="H598" s="59">
        <f>19.7278* CHOOSE(CONTROL!$C$27, $C$14, 100%, $E$14)</f>
        <v>19.727799999999998</v>
      </c>
      <c r="I598" s="59">
        <f>19.7347 * CHOOSE(CONTROL!$C$27, $C$14, 100%, $E$14)</f>
        <v>19.7347</v>
      </c>
      <c r="J598" s="59">
        <f>19.7278 * CHOOSE(CONTROL!$C$27, $C$14, 100%, $E$14)</f>
        <v>19.727799999999998</v>
      </c>
      <c r="K598" s="59">
        <f>19.7347 * CHOOSE(CONTROL!$C$27, $C$14, 100%, $E$14)</f>
        <v>19.7347</v>
      </c>
      <c r="L598" s="59">
        <f>10.8276 * CHOOSE(CONTROL!$C$27, $C$14, 100%, $E$14)</f>
        <v>10.8276</v>
      </c>
      <c r="M598" s="59">
        <f>10.8345 * CHOOSE(CONTROL!$C$27, $C$14, 100%, $E$14)</f>
        <v>10.8345</v>
      </c>
      <c r="N598" s="59">
        <f>10.8276 * CHOOSE(CONTROL!$C$27, $C$14, 100%, $E$14)</f>
        <v>10.8276</v>
      </c>
      <c r="O598" s="59">
        <f>10.8345 * CHOOSE(CONTROL!$C$27, $C$14, 100%, $E$14)</f>
        <v>10.8345</v>
      </c>
    </row>
    <row r="599" spans="1:15" ht="15">
      <c r="A599" s="11">
        <v>59323</v>
      </c>
      <c r="B599" s="58">
        <f>9.1337 * CHOOSE(CONTROL!$C$27, $C$14, 100%, $E$14)</f>
        <v>9.1336999999999993</v>
      </c>
      <c r="C599" s="58">
        <f>9.1337 * CHOOSE(CONTROL!$C$27, $C$14, 100%, $E$14)</f>
        <v>9.1336999999999993</v>
      </c>
      <c r="D599" s="58">
        <f>9.1394 * CHOOSE(CONTROL!$C$27, $C$14, 100%, $E$14)</f>
        <v>9.1394000000000002</v>
      </c>
      <c r="E599" s="59">
        <f>10.7744 * CHOOSE(CONTROL!$C$27, $C$14, 100%, $E$14)</f>
        <v>10.7744</v>
      </c>
      <c r="F599" s="59">
        <f>10.7744 * CHOOSE(CONTROL!$C$27, $C$14, 100%, $E$14)</f>
        <v>10.7744</v>
      </c>
      <c r="G599" s="59">
        <f>10.7813 * CHOOSE(CONTROL!$C$27, $C$14, 100%, $E$14)</f>
        <v>10.7813</v>
      </c>
      <c r="H599" s="59">
        <f>19.7689* CHOOSE(CONTROL!$C$27, $C$14, 100%, $E$14)</f>
        <v>19.768899999999999</v>
      </c>
      <c r="I599" s="59">
        <f>19.7758 * CHOOSE(CONTROL!$C$27, $C$14, 100%, $E$14)</f>
        <v>19.7758</v>
      </c>
      <c r="J599" s="59">
        <f>19.7689 * CHOOSE(CONTROL!$C$27, $C$14, 100%, $E$14)</f>
        <v>19.768899999999999</v>
      </c>
      <c r="K599" s="59">
        <f>19.7758 * CHOOSE(CONTROL!$C$27, $C$14, 100%, $E$14)</f>
        <v>19.7758</v>
      </c>
      <c r="L599" s="59">
        <f>10.7744 * CHOOSE(CONTROL!$C$27, $C$14, 100%, $E$14)</f>
        <v>10.7744</v>
      </c>
      <c r="M599" s="59">
        <f>10.7813 * CHOOSE(CONTROL!$C$27, $C$14, 100%, $E$14)</f>
        <v>10.7813</v>
      </c>
      <c r="N599" s="59">
        <f>10.7744 * CHOOSE(CONTROL!$C$27, $C$14, 100%, $E$14)</f>
        <v>10.7744</v>
      </c>
      <c r="O599" s="59">
        <f>10.7813 * CHOOSE(CONTROL!$C$27, $C$14, 100%, $E$14)</f>
        <v>10.7813</v>
      </c>
    </row>
    <row r="600" spans="1:15" ht="15">
      <c r="A600" s="11">
        <v>59353</v>
      </c>
      <c r="B600" s="58">
        <f>9.2757 * CHOOSE(CONTROL!$C$27, $C$14, 100%, $E$14)</f>
        <v>9.2757000000000005</v>
      </c>
      <c r="C600" s="58">
        <f>9.2757 * CHOOSE(CONTROL!$C$27, $C$14, 100%, $E$14)</f>
        <v>9.2757000000000005</v>
      </c>
      <c r="D600" s="58">
        <f>9.2813 * CHOOSE(CONTROL!$C$27, $C$14, 100%, $E$14)</f>
        <v>9.2812999999999999</v>
      </c>
      <c r="E600" s="59">
        <f>10.9496 * CHOOSE(CONTROL!$C$27, $C$14, 100%, $E$14)</f>
        <v>10.9496</v>
      </c>
      <c r="F600" s="59">
        <f>10.9496 * CHOOSE(CONTROL!$C$27, $C$14, 100%, $E$14)</f>
        <v>10.9496</v>
      </c>
      <c r="G600" s="59">
        <f>10.9565 * CHOOSE(CONTROL!$C$27, $C$14, 100%, $E$14)</f>
        <v>10.9565</v>
      </c>
      <c r="H600" s="59">
        <f>19.8101* CHOOSE(CONTROL!$C$27, $C$14, 100%, $E$14)</f>
        <v>19.810099999999998</v>
      </c>
      <c r="I600" s="59">
        <f>19.817 * CHOOSE(CONTROL!$C$27, $C$14, 100%, $E$14)</f>
        <v>19.817</v>
      </c>
      <c r="J600" s="59">
        <f>19.8101 * CHOOSE(CONTROL!$C$27, $C$14, 100%, $E$14)</f>
        <v>19.810099999999998</v>
      </c>
      <c r="K600" s="59">
        <f>19.817 * CHOOSE(CONTROL!$C$27, $C$14, 100%, $E$14)</f>
        <v>19.817</v>
      </c>
      <c r="L600" s="59">
        <f>10.9496 * CHOOSE(CONTROL!$C$27, $C$14, 100%, $E$14)</f>
        <v>10.9496</v>
      </c>
      <c r="M600" s="59">
        <f>10.9565 * CHOOSE(CONTROL!$C$27, $C$14, 100%, $E$14)</f>
        <v>10.9565</v>
      </c>
      <c r="N600" s="59">
        <f>10.9496 * CHOOSE(CONTROL!$C$27, $C$14, 100%, $E$14)</f>
        <v>10.9496</v>
      </c>
      <c r="O600" s="59">
        <f>10.9565 * CHOOSE(CONTROL!$C$27, $C$14, 100%, $E$14)</f>
        <v>10.9565</v>
      </c>
    </row>
    <row r="601" spans="1:15" ht="15">
      <c r="A601" s="11">
        <v>59384</v>
      </c>
      <c r="B601" s="58">
        <f>9.2823 * CHOOSE(CONTROL!$C$27, $C$14, 100%, $E$14)</f>
        <v>9.2822999999999993</v>
      </c>
      <c r="C601" s="58">
        <f>9.2823 * CHOOSE(CONTROL!$C$27, $C$14, 100%, $E$14)</f>
        <v>9.2822999999999993</v>
      </c>
      <c r="D601" s="58">
        <f>9.288 * CHOOSE(CONTROL!$C$27, $C$14, 100%, $E$14)</f>
        <v>9.2880000000000003</v>
      </c>
      <c r="E601" s="59">
        <f>10.782 * CHOOSE(CONTROL!$C$27, $C$14, 100%, $E$14)</f>
        <v>10.782</v>
      </c>
      <c r="F601" s="59">
        <f>10.782 * CHOOSE(CONTROL!$C$27, $C$14, 100%, $E$14)</f>
        <v>10.782</v>
      </c>
      <c r="G601" s="59">
        <f>10.7889 * CHOOSE(CONTROL!$C$27, $C$14, 100%, $E$14)</f>
        <v>10.7889</v>
      </c>
      <c r="H601" s="59">
        <f>19.8514* CHOOSE(CONTROL!$C$27, $C$14, 100%, $E$14)</f>
        <v>19.851400000000002</v>
      </c>
      <c r="I601" s="59">
        <f>19.8582 * CHOOSE(CONTROL!$C$27, $C$14, 100%, $E$14)</f>
        <v>19.8582</v>
      </c>
      <c r="J601" s="59">
        <f>19.8514 * CHOOSE(CONTROL!$C$27, $C$14, 100%, $E$14)</f>
        <v>19.851400000000002</v>
      </c>
      <c r="K601" s="59">
        <f>19.8582 * CHOOSE(CONTROL!$C$27, $C$14, 100%, $E$14)</f>
        <v>19.8582</v>
      </c>
      <c r="L601" s="59">
        <f>10.782 * CHOOSE(CONTROL!$C$27, $C$14, 100%, $E$14)</f>
        <v>10.782</v>
      </c>
      <c r="M601" s="59">
        <f>10.7889 * CHOOSE(CONTROL!$C$27, $C$14, 100%, $E$14)</f>
        <v>10.7889</v>
      </c>
      <c r="N601" s="59">
        <f>10.782 * CHOOSE(CONTROL!$C$27, $C$14, 100%, $E$14)</f>
        <v>10.782</v>
      </c>
      <c r="O601" s="59">
        <f>10.7889 * CHOOSE(CONTROL!$C$27, $C$14, 100%, $E$14)</f>
        <v>10.7889</v>
      </c>
    </row>
    <row r="602" spans="1:15" ht="15">
      <c r="A602" s="11">
        <v>59415</v>
      </c>
      <c r="B602" s="58">
        <f>9.2793 * CHOOSE(CONTROL!$C$27, $C$14, 100%, $E$14)</f>
        <v>9.2792999999999992</v>
      </c>
      <c r="C602" s="58">
        <f>9.2793 * CHOOSE(CONTROL!$C$27, $C$14, 100%, $E$14)</f>
        <v>9.2792999999999992</v>
      </c>
      <c r="D602" s="58">
        <f>9.2849 * CHOOSE(CONTROL!$C$27, $C$14, 100%, $E$14)</f>
        <v>9.2849000000000004</v>
      </c>
      <c r="E602" s="59">
        <f>10.7607 * CHOOSE(CONTROL!$C$27, $C$14, 100%, $E$14)</f>
        <v>10.7607</v>
      </c>
      <c r="F602" s="59">
        <f>10.7607 * CHOOSE(CONTROL!$C$27, $C$14, 100%, $E$14)</f>
        <v>10.7607</v>
      </c>
      <c r="G602" s="59">
        <f>10.7676 * CHOOSE(CONTROL!$C$27, $C$14, 100%, $E$14)</f>
        <v>10.7676</v>
      </c>
      <c r="H602" s="59">
        <f>19.8927* CHOOSE(CONTROL!$C$27, $C$14, 100%, $E$14)</f>
        <v>19.892700000000001</v>
      </c>
      <c r="I602" s="59">
        <f>19.8996 * CHOOSE(CONTROL!$C$27, $C$14, 100%, $E$14)</f>
        <v>19.8996</v>
      </c>
      <c r="J602" s="59">
        <f>19.8927 * CHOOSE(CONTROL!$C$27, $C$14, 100%, $E$14)</f>
        <v>19.892700000000001</v>
      </c>
      <c r="K602" s="59">
        <f>19.8996 * CHOOSE(CONTROL!$C$27, $C$14, 100%, $E$14)</f>
        <v>19.8996</v>
      </c>
      <c r="L602" s="59">
        <f>10.7607 * CHOOSE(CONTROL!$C$27, $C$14, 100%, $E$14)</f>
        <v>10.7607</v>
      </c>
      <c r="M602" s="59">
        <f>10.7676 * CHOOSE(CONTROL!$C$27, $C$14, 100%, $E$14)</f>
        <v>10.7676</v>
      </c>
      <c r="N602" s="59">
        <f>10.7607 * CHOOSE(CONTROL!$C$27, $C$14, 100%, $E$14)</f>
        <v>10.7607</v>
      </c>
      <c r="O602" s="59">
        <f>10.7676 * CHOOSE(CONTROL!$C$27, $C$14, 100%, $E$14)</f>
        <v>10.7676</v>
      </c>
    </row>
    <row r="603" spans="1:15" ht="15">
      <c r="A603" s="11">
        <v>59445</v>
      </c>
      <c r="B603" s="58">
        <f>9.2916 * CHOOSE(CONTROL!$C$27, $C$14, 100%, $E$14)</f>
        <v>9.2916000000000007</v>
      </c>
      <c r="C603" s="58">
        <f>9.2916 * CHOOSE(CONTROL!$C$27, $C$14, 100%, $E$14)</f>
        <v>9.2916000000000007</v>
      </c>
      <c r="D603" s="58">
        <f>9.2956 * CHOOSE(CONTROL!$C$27, $C$14, 100%, $E$14)</f>
        <v>9.2956000000000003</v>
      </c>
      <c r="E603" s="59">
        <f>10.8239 * CHOOSE(CONTROL!$C$27, $C$14, 100%, $E$14)</f>
        <v>10.8239</v>
      </c>
      <c r="F603" s="59">
        <f>10.8239 * CHOOSE(CONTROL!$C$27, $C$14, 100%, $E$14)</f>
        <v>10.8239</v>
      </c>
      <c r="G603" s="59">
        <f>10.8288 * CHOOSE(CONTROL!$C$27, $C$14, 100%, $E$14)</f>
        <v>10.828799999999999</v>
      </c>
      <c r="H603" s="59">
        <f>19.9342* CHOOSE(CONTROL!$C$27, $C$14, 100%, $E$14)</f>
        <v>19.934200000000001</v>
      </c>
      <c r="I603" s="59">
        <f>19.9391 * CHOOSE(CONTROL!$C$27, $C$14, 100%, $E$14)</f>
        <v>19.9391</v>
      </c>
      <c r="J603" s="59">
        <f>19.9342 * CHOOSE(CONTROL!$C$27, $C$14, 100%, $E$14)</f>
        <v>19.934200000000001</v>
      </c>
      <c r="K603" s="59">
        <f>19.9391 * CHOOSE(CONTROL!$C$27, $C$14, 100%, $E$14)</f>
        <v>19.9391</v>
      </c>
      <c r="L603" s="59">
        <f>10.8239 * CHOOSE(CONTROL!$C$27, $C$14, 100%, $E$14)</f>
        <v>10.8239</v>
      </c>
      <c r="M603" s="59">
        <f>10.8288 * CHOOSE(CONTROL!$C$27, $C$14, 100%, $E$14)</f>
        <v>10.828799999999999</v>
      </c>
      <c r="N603" s="59">
        <f>10.8239 * CHOOSE(CONTROL!$C$27, $C$14, 100%, $E$14)</f>
        <v>10.8239</v>
      </c>
      <c r="O603" s="59">
        <f>10.8288 * CHOOSE(CONTROL!$C$27, $C$14, 100%, $E$14)</f>
        <v>10.828799999999999</v>
      </c>
    </row>
    <row r="604" spans="1:15" ht="15">
      <c r="A604" s="11">
        <v>59476</v>
      </c>
      <c r="B604" s="58">
        <f>9.2946 * CHOOSE(CONTROL!$C$27, $C$14, 100%, $E$14)</f>
        <v>9.2946000000000009</v>
      </c>
      <c r="C604" s="58">
        <f>9.2946 * CHOOSE(CONTROL!$C$27, $C$14, 100%, $E$14)</f>
        <v>9.2946000000000009</v>
      </c>
      <c r="D604" s="58">
        <f>9.2986 * CHOOSE(CONTROL!$C$27, $C$14, 100%, $E$14)</f>
        <v>9.2986000000000004</v>
      </c>
      <c r="E604" s="59">
        <f>10.8643 * CHOOSE(CONTROL!$C$27, $C$14, 100%, $E$14)</f>
        <v>10.8643</v>
      </c>
      <c r="F604" s="59">
        <f>10.8643 * CHOOSE(CONTROL!$C$27, $C$14, 100%, $E$14)</f>
        <v>10.8643</v>
      </c>
      <c r="G604" s="59">
        <f>10.8692 * CHOOSE(CONTROL!$C$27, $C$14, 100%, $E$14)</f>
        <v>10.869199999999999</v>
      </c>
      <c r="H604" s="59">
        <f>19.9757* CHOOSE(CONTROL!$C$27, $C$14, 100%, $E$14)</f>
        <v>19.9757</v>
      </c>
      <c r="I604" s="59">
        <f>19.9806 * CHOOSE(CONTROL!$C$27, $C$14, 100%, $E$14)</f>
        <v>19.980599999999999</v>
      </c>
      <c r="J604" s="59">
        <f>19.9757 * CHOOSE(CONTROL!$C$27, $C$14, 100%, $E$14)</f>
        <v>19.9757</v>
      </c>
      <c r="K604" s="59">
        <f>19.9806 * CHOOSE(CONTROL!$C$27, $C$14, 100%, $E$14)</f>
        <v>19.980599999999999</v>
      </c>
      <c r="L604" s="59">
        <f>10.8643 * CHOOSE(CONTROL!$C$27, $C$14, 100%, $E$14)</f>
        <v>10.8643</v>
      </c>
      <c r="M604" s="59">
        <f>10.8692 * CHOOSE(CONTROL!$C$27, $C$14, 100%, $E$14)</f>
        <v>10.869199999999999</v>
      </c>
      <c r="N604" s="59">
        <f>10.8643 * CHOOSE(CONTROL!$C$27, $C$14, 100%, $E$14)</f>
        <v>10.8643</v>
      </c>
      <c r="O604" s="59">
        <f>10.8692 * CHOOSE(CONTROL!$C$27, $C$14, 100%, $E$14)</f>
        <v>10.869199999999999</v>
      </c>
    </row>
    <row r="605" spans="1:15" ht="15">
      <c r="A605" s="11">
        <v>59506</v>
      </c>
      <c r="B605" s="58">
        <f>9.2946 * CHOOSE(CONTROL!$C$27, $C$14, 100%, $E$14)</f>
        <v>9.2946000000000009</v>
      </c>
      <c r="C605" s="58">
        <f>9.2946 * CHOOSE(CONTROL!$C$27, $C$14, 100%, $E$14)</f>
        <v>9.2946000000000009</v>
      </c>
      <c r="D605" s="58">
        <f>9.2986 * CHOOSE(CONTROL!$C$27, $C$14, 100%, $E$14)</f>
        <v>9.2986000000000004</v>
      </c>
      <c r="E605" s="59">
        <f>10.7686 * CHOOSE(CONTROL!$C$27, $C$14, 100%, $E$14)</f>
        <v>10.768599999999999</v>
      </c>
      <c r="F605" s="59">
        <f>10.7686 * CHOOSE(CONTROL!$C$27, $C$14, 100%, $E$14)</f>
        <v>10.768599999999999</v>
      </c>
      <c r="G605" s="59">
        <f>10.7735 * CHOOSE(CONTROL!$C$27, $C$14, 100%, $E$14)</f>
        <v>10.7735</v>
      </c>
      <c r="H605" s="59">
        <f>20.0173* CHOOSE(CONTROL!$C$27, $C$14, 100%, $E$14)</f>
        <v>20.017299999999999</v>
      </c>
      <c r="I605" s="59">
        <f>20.0222 * CHOOSE(CONTROL!$C$27, $C$14, 100%, $E$14)</f>
        <v>20.022200000000002</v>
      </c>
      <c r="J605" s="59">
        <f>20.0173 * CHOOSE(CONTROL!$C$27, $C$14, 100%, $E$14)</f>
        <v>20.017299999999999</v>
      </c>
      <c r="K605" s="59">
        <f>20.0222 * CHOOSE(CONTROL!$C$27, $C$14, 100%, $E$14)</f>
        <v>20.022200000000002</v>
      </c>
      <c r="L605" s="59">
        <f>10.7686 * CHOOSE(CONTROL!$C$27, $C$14, 100%, $E$14)</f>
        <v>10.768599999999999</v>
      </c>
      <c r="M605" s="59">
        <f>10.7735 * CHOOSE(CONTROL!$C$27, $C$14, 100%, $E$14)</f>
        <v>10.7735</v>
      </c>
      <c r="N605" s="59">
        <f>10.7686 * CHOOSE(CONTROL!$C$27, $C$14, 100%, $E$14)</f>
        <v>10.768599999999999</v>
      </c>
      <c r="O605" s="59">
        <f>10.7735 * CHOOSE(CONTROL!$C$27, $C$14, 100%, $E$14)</f>
        <v>10.7735</v>
      </c>
    </row>
    <row r="606" spans="1:15" ht="15">
      <c r="A606" s="11">
        <v>59537</v>
      </c>
      <c r="B606" s="58">
        <f>9.3673 * CHOOSE(CONTROL!$C$27, $C$14, 100%, $E$14)</f>
        <v>9.3673000000000002</v>
      </c>
      <c r="C606" s="58">
        <f>9.3673 * CHOOSE(CONTROL!$C$27, $C$14, 100%, $E$14)</f>
        <v>9.3673000000000002</v>
      </c>
      <c r="D606" s="58">
        <f>9.3713 * CHOOSE(CONTROL!$C$27, $C$14, 100%, $E$14)</f>
        <v>9.3712999999999997</v>
      </c>
      <c r="E606" s="59">
        <f>10.9185 * CHOOSE(CONTROL!$C$27, $C$14, 100%, $E$14)</f>
        <v>10.9185</v>
      </c>
      <c r="F606" s="59">
        <f>10.9185 * CHOOSE(CONTROL!$C$27, $C$14, 100%, $E$14)</f>
        <v>10.9185</v>
      </c>
      <c r="G606" s="59">
        <f>10.9234 * CHOOSE(CONTROL!$C$27, $C$14, 100%, $E$14)</f>
        <v>10.923400000000001</v>
      </c>
      <c r="H606" s="59">
        <f>20.0468* CHOOSE(CONTROL!$C$27, $C$14, 100%, $E$14)</f>
        <v>20.046800000000001</v>
      </c>
      <c r="I606" s="59">
        <f>20.0517 * CHOOSE(CONTROL!$C$27, $C$14, 100%, $E$14)</f>
        <v>20.0517</v>
      </c>
      <c r="J606" s="59">
        <f>20.0468 * CHOOSE(CONTROL!$C$27, $C$14, 100%, $E$14)</f>
        <v>20.046800000000001</v>
      </c>
      <c r="K606" s="59">
        <f>20.0517 * CHOOSE(CONTROL!$C$27, $C$14, 100%, $E$14)</f>
        <v>20.0517</v>
      </c>
      <c r="L606" s="59">
        <f>10.9185 * CHOOSE(CONTROL!$C$27, $C$14, 100%, $E$14)</f>
        <v>10.9185</v>
      </c>
      <c r="M606" s="59">
        <f>10.9234 * CHOOSE(CONTROL!$C$27, $C$14, 100%, $E$14)</f>
        <v>10.923400000000001</v>
      </c>
      <c r="N606" s="59">
        <f>10.9185 * CHOOSE(CONTROL!$C$27, $C$14, 100%, $E$14)</f>
        <v>10.9185</v>
      </c>
      <c r="O606" s="59">
        <f>10.9234 * CHOOSE(CONTROL!$C$27, $C$14, 100%, $E$14)</f>
        <v>10.923400000000001</v>
      </c>
    </row>
    <row r="607" spans="1:15" ht="15">
      <c r="A607" s="11">
        <v>59568</v>
      </c>
      <c r="B607" s="58">
        <f>9.3643 * CHOOSE(CONTROL!$C$27, $C$14, 100%, $E$14)</f>
        <v>9.3643000000000001</v>
      </c>
      <c r="C607" s="58">
        <f>9.3643 * CHOOSE(CONTROL!$C$27, $C$14, 100%, $E$14)</f>
        <v>9.3643000000000001</v>
      </c>
      <c r="D607" s="58">
        <f>9.3683 * CHOOSE(CONTROL!$C$27, $C$14, 100%, $E$14)</f>
        <v>9.3682999999999996</v>
      </c>
      <c r="E607" s="59">
        <f>10.7305 * CHOOSE(CONTROL!$C$27, $C$14, 100%, $E$14)</f>
        <v>10.730499999999999</v>
      </c>
      <c r="F607" s="59">
        <f>10.7305 * CHOOSE(CONTROL!$C$27, $C$14, 100%, $E$14)</f>
        <v>10.730499999999999</v>
      </c>
      <c r="G607" s="59">
        <f>10.7354 * CHOOSE(CONTROL!$C$27, $C$14, 100%, $E$14)</f>
        <v>10.7354</v>
      </c>
      <c r="H607" s="59">
        <f>20.0886* CHOOSE(CONTROL!$C$27, $C$14, 100%, $E$14)</f>
        <v>20.0886</v>
      </c>
      <c r="I607" s="59">
        <f>20.0935 * CHOOSE(CONTROL!$C$27, $C$14, 100%, $E$14)</f>
        <v>20.093499999999999</v>
      </c>
      <c r="J607" s="59">
        <f>20.0886 * CHOOSE(CONTROL!$C$27, $C$14, 100%, $E$14)</f>
        <v>20.0886</v>
      </c>
      <c r="K607" s="59">
        <f>20.0935 * CHOOSE(CONTROL!$C$27, $C$14, 100%, $E$14)</f>
        <v>20.093499999999999</v>
      </c>
      <c r="L607" s="59">
        <f>10.7305 * CHOOSE(CONTROL!$C$27, $C$14, 100%, $E$14)</f>
        <v>10.730499999999999</v>
      </c>
      <c r="M607" s="59">
        <f>10.7354 * CHOOSE(CONTROL!$C$27, $C$14, 100%, $E$14)</f>
        <v>10.7354</v>
      </c>
      <c r="N607" s="59">
        <f>10.7305 * CHOOSE(CONTROL!$C$27, $C$14, 100%, $E$14)</f>
        <v>10.730499999999999</v>
      </c>
      <c r="O607" s="59">
        <f>10.7354 * CHOOSE(CONTROL!$C$27, $C$14, 100%, $E$14)</f>
        <v>10.7354</v>
      </c>
    </row>
    <row r="608" spans="1:15" ht="15">
      <c r="A608" s="11">
        <v>59596</v>
      </c>
      <c r="B608" s="58">
        <f>9.3612 * CHOOSE(CONTROL!$C$27, $C$14, 100%, $E$14)</f>
        <v>9.3612000000000002</v>
      </c>
      <c r="C608" s="58">
        <f>9.3612 * CHOOSE(CONTROL!$C$27, $C$14, 100%, $E$14)</f>
        <v>9.3612000000000002</v>
      </c>
      <c r="D608" s="58">
        <f>9.3652 * CHOOSE(CONTROL!$C$27, $C$14, 100%, $E$14)</f>
        <v>9.3651999999999997</v>
      </c>
      <c r="E608" s="59">
        <f>10.8749 * CHOOSE(CONTROL!$C$27, $C$14, 100%, $E$14)</f>
        <v>10.8749</v>
      </c>
      <c r="F608" s="59">
        <f>10.8749 * CHOOSE(CONTROL!$C$27, $C$14, 100%, $E$14)</f>
        <v>10.8749</v>
      </c>
      <c r="G608" s="59">
        <f>10.8798 * CHOOSE(CONTROL!$C$27, $C$14, 100%, $E$14)</f>
        <v>10.879799999999999</v>
      </c>
      <c r="H608" s="59">
        <f>20.1304* CHOOSE(CONTROL!$C$27, $C$14, 100%, $E$14)</f>
        <v>20.130400000000002</v>
      </c>
      <c r="I608" s="59">
        <f>20.1353 * CHOOSE(CONTROL!$C$27, $C$14, 100%, $E$14)</f>
        <v>20.135300000000001</v>
      </c>
      <c r="J608" s="59">
        <f>20.1304 * CHOOSE(CONTROL!$C$27, $C$14, 100%, $E$14)</f>
        <v>20.130400000000002</v>
      </c>
      <c r="K608" s="59">
        <f>20.1353 * CHOOSE(CONTROL!$C$27, $C$14, 100%, $E$14)</f>
        <v>20.135300000000001</v>
      </c>
      <c r="L608" s="59">
        <f>10.8749 * CHOOSE(CONTROL!$C$27, $C$14, 100%, $E$14)</f>
        <v>10.8749</v>
      </c>
      <c r="M608" s="59">
        <f>10.8798 * CHOOSE(CONTROL!$C$27, $C$14, 100%, $E$14)</f>
        <v>10.879799999999999</v>
      </c>
      <c r="N608" s="59">
        <f>10.8749 * CHOOSE(CONTROL!$C$27, $C$14, 100%, $E$14)</f>
        <v>10.8749</v>
      </c>
      <c r="O608" s="59">
        <f>10.8798 * CHOOSE(CONTROL!$C$27, $C$14, 100%, $E$14)</f>
        <v>10.879799999999999</v>
      </c>
    </row>
    <row r="609" spans="1:15" ht="15">
      <c r="A609" s="11">
        <v>59627</v>
      </c>
      <c r="B609" s="58">
        <f>9.3634 * CHOOSE(CONTROL!$C$27, $C$14, 100%, $E$14)</f>
        <v>9.3634000000000004</v>
      </c>
      <c r="C609" s="58">
        <f>9.3634 * CHOOSE(CONTROL!$C$27, $C$14, 100%, $E$14)</f>
        <v>9.3634000000000004</v>
      </c>
      <c r="D609" s="58">
        <f>9.3674 * CHOOSE(CONTROL!$C$27, $C$14, 100%, $E$14)</f>
        <v>9.3673999999999999</v>
      </c>
      <c r="E609" s="59">
        <f>11.028 * CHOOSE(CONTROL!$C$27, $C$14, 100%, $E$14)</f>
        <v>11.028</v>
      </c>
      <c r="F609" s="59">
        <f>11.028 * CHOOSE(CONTROL!$C$27, $C$14, 100%, $E$14)</f>
        <v>11.028</v>
      </c>
      <c r="G609" s="59">
        <f>11.0329 * CHOOSE(CONTROL!$C$27, $C$14, 100%, $E$14)</f>
        <v>11.0329</v>
      </c>
      <c r="H609" s="59">
        <f>20.1724* CHOOSE(CONTROL!$C$27, $C$14, 100%, $E$14)</f>
        <v>20.1724</v>
      </c>
      <c r="I609" s="59">
        <f>20.1773 * CHOOSE(CONTROL!$C$27, $C$14, 100%, $E$14)</f>
        <v>20.177299999999999</v>
      </c>
      <c r="J609" s="59">
        <f>20.1724 * CHOOSE(CONTROL!$C$27, $C$14, 100%, $E$14)</f>
        <v>20.1724</v>
      </c>
      <c r="K609" s="59">
        <f>20.1773 * CHOOSE(CONTROL!$C$27, $C$14, 100%, $E$14)</f>
        <v>20.177299999999999</v>
      </c>
      <c r="L609" s="59">
        <f>11.028 * CHOOSE(CONTROL!$C$27, $C$14, 100%, $E$14)</f>
        <v>11.028</v>
      </c>
      <c r="M609" s="59">
        <f>11.0329 * CHOOSE(CONTROL!$C$27, $C$14, 100%, $E$14)</f>
        <v>11.0329</v>
      </c>
      <c r="N609" s="59">
        <f>11.028 * CHOOSE(CONTROL!$C$27, $C$14, 100%, $E$14)</f>
        <v>11.028</v>
      </c>
      <c r="O609" s="59">
        <f>11.0329 * CHOOSE(CONTROL!$C$27, $C$14, 100%, $E$14)</f>
        <v>11.0329</v>
      </c>
    </row>
    <row r="610" spans="1:15" ht="15">
      <c r="A610" s="11">
        <v>59657</v>
      </c>
      <c r="B610" s="58">
        <f>9.3634 * CHOOSE(CONTROL!$C$27, $C$14, 100%, $E$14)</f>
        <v>9.3634000000000004</v>
      </c>
      <c r="C610" s="58">
        <f>9.3634 * CHOOSE(CONTROL!$C$27, $C$14, 100%, $E$14)</f>
        <v>9.3634000000000004</v>
      </c>
      <c r="D610" s="58">
        <f>9.3691 * CHOOSE(CONTROL!$C$27, $C$14, 100%, $E$14)</f>
        <v>9.3690999999999995</v>
      </c>
      <c r="E610" s="59">
        <f>11.087 * CHOOSE(CONTROL!$C$27, $C$14, 100%, $E$14)</f>
        <v>11.087</v>
      </c>
      <c r="F610" s="59">
        <f>11.087 * CHOOSE(CONTROL!$C$27, $C$14, 100%, $E$14)</f>
        <v>11.087</v>
      </c>
      <c r="G610" s="59">
        <f>11.0939 * CHOOSE(CONTROL!$C$27, $C$14, 100%, $E$14)</f>
        <v>11.0939</v>
      </c>
      <c r="H610" s="59">
        <f>20.2144* CHOOSE(CONTROL!$C$27, $C$14, 100%, $E$14)</f>
        <v>20.214400000000001</v>
      </c>
      <c r="I610" s="59">
        <f>20.2213 * CHOOSE(CONTROL!$C$27, $C$14, 100%, $E$14)</f>
        <v>20.221299999999999</v>
      </c>
      <c r="J610" s="59">
        <f>20.2144 * CHOOSE(CONTROL!$C$27, $C$14, 100%, $E$14)</f>
        <v>20.214400000000001</v>
      </c>
      <c r="K610" s="59">
        <f>20.2213 * CHOOSE(CONTROL!$C$27, $C$14, 100%, $E$14)</f>
        <v>20.221299999999999</v>
      </c>
      <c r="L610" s="59">
        <f>11.087 * CHOOSE(CONTROL!$C$27, $C$14, 100%, $E$14)</f>
        <v>11.087</v>
      </c>
      <c r="M610" s="59">
        <f>11.0939 * CHOOSE(CONTROL!$C$27, $C$14, 100%, $E$14)</f>
        <v>11.0939</v>
      </c>
      <c r="N610" s="59">
        <f>11.087 * CHOOSE(CONTROL!$C$27, $C$14, 100%, $E$14)</f>
        <v>11.087</v>
      </c>
      <c r="O610" s="59">
        <f>11.0939 * CHOOSE(CONTROL!$C$27, $C$14, 100%, $E$14)</f>
        <v>11.0939</v>
      </c>
    </row>
    <row r="611" spans="1:15" ht="15">
      <c r="A611" s="11">
        <v>59688</v>
      </c>
      <c r="B611" s="58">
        <f>9.3695 * CHOOSE(CONTROL!$C$27, $C$14, 100%, $E$14)</f>
        <v>9.3695000000000004</v>
      </c>
      <c r="C611" s="58">
        <f>9.3695 * CHOOSE(CONTROL!$C$27, $C$14, 100%, $E$14)</f>
        <v>9.3695000000000004</v>
      </c>
      <c r="D611" s="58">
        <f>9.3751 * CHOOSE(CONTROL!$C$27, $C$14, 100%, $E$14)</f>
        <v>9.3750999999999998</v>
      </c>
      <c r="E611" s="59">
        <f>11.0322 * CHOOSE(CONTROL!$C$27, $C$14, 100%, $E$14)</f>
        <v>11.0322</v>
      </c>
      <c r="F611" s="59">
        <f>11.0322 * CHOOSE(CONTROL!$C$27, $C$14, 100%, $E$14)</f>
        <v>11.0322</v>
      </c>
      <c r="G611" s="59">
        <f>11.0391 * CHOOSE(CONTROL!$C$27, $C$14, 100%, $E$14)</f>
        <v>11.039099999999999</v>
      </c>
      <c r="H611" s="59">
        <f>20.2565* CHOOSE(CONTROL!$C$27, $C$14, 100%, $E$14)</f>
        <v>20.256499999999999</v>
      </c>
      <c r="I611" s="59">
        <f>20.2634 * CHOOSE(CONTROL!$C$27, $C$14, 100%, $E$14)</f>
        <v>20.263400000000001</v>
      </c>
      <c r="J611" s="59">
        <f>20.2565 * CHOOSE(CONTROL!$C$27, $C$14, 100%, $E$14)</f>
        <v>20.256499999999999</v>
      </c>
      <c r="K611" s="59">
        <f>20.2634 * CHOOSE(CONTROL!$C$27, $C$14, 100%, $E$14)</f>
        <v>20.263400000000001</v>
      </c>
      <c r="L611" s="59">
        <f>11.0322 * CHOOSE(CONTROL!$C$27, $C$14, 100%, $E$14)</f>
        <v>11.0322</v>
      </c>
      <c r="M611" s="59">
        <f>11.0391 * CHOOSE(CONTROL!$C$27, $C$14, 100%, $E$14)</f>
        <v>11.039099999999999</v>
      </c>
      <c r="N611" s="59">
        <f>11.0322 * CHOOSE(CONTROL!$C$27, $C$14, 100%, $E$14)</f>
        <v>11.0322</v>
      </c>
      <c r="O611" s="59">
        <f>11.0391 * CHOOSE(CONTROL!$C$27, $C$14, 100%, $E$14)</f>
        <v>11.039099999999999</v>
      </c>
    </row>
    <row r="612" spans="1:15" ht="15">
      <c r="A612" s="11">
        <v>59718</v>
      </c>
      <c r="B612" s="58">
        <f>9.5148 * CHOOSE(CONTROL!$C$27, $C$14, 100%, $E$14)</f>
        <v>9.5147999999999993</v>
      </c>
      <c r="C612" s="58">
        <f>9.5148 * CHOOSE(CONTROL!$C$27, $C$14, 100%, $E$14)</f>
        <v>9.5147999999999993</v>
      </c>
      <c r="D612" s="58">
        <f>9.5205 * CHOOSE(CONTROL!$C$27, $C$14, 100%, $E$14)</f>
        <v>9.5205000000000002</v>
      </c>
      <c r="E612" s="59">
        <f>11.2114 * CHOOSE(CONTROL!$C$27, $C$14, 100%, $E$14)</f>
        <v>11.211399999999999</v>
      </c>
      <c r="F612" s="59">
        <f>11.2114 * CHOOSE(CONTROL!$C$27, $C$14, 100%, $E$14)</f>
        <v>11.211399999999999</v>
      </c>
      <c r="G612" s="59">
        <f>11.2183 * CHOOSE(CONTROL!$C$27, $C$14, 100%, $E$14)</f>
        <v>11.218299999999999</v>
      </c>
      <c r="H612" s="59">
        <f>20.2987* CHOOSE(CONTROL!$C$27, $C$14, 100%, $E$14)</f>
        <v>20.2987</v>
      </c>
      <c r="I612" s="59">
        <f>20.3056 * CHOOSE(CONTROL!$C$27, $C$14, 100%, $E$14)</f>
        <v>20.305599999999998</v>
      </c>
      <c r="J612" s="59">
        <f>20.2987 * CHOOSE(CONTROL!$C$27, $C$14, 100%, $E$14)</f>
        <v>20.2987</v>
      </c>
      <c r="K612" s="59">
        <f>20.3056 * CHOOSE(CONTROL!$C$27, $C$14, 100%, $E$14)</f>
        <v>20.305599999999998</v>
      </c>
      <c r="L612" s="59">
        <f>11.2114 * CHOOSE(CONTROL!$C$27, $C$14, 100%, $E$14)</f>
        <v>11.211399999999999</v>
      </c>
      <c r="M612" s="59">
        <f>11.2183 * CHOOSE(CONTROL!$C$27, $C$14, 100%, $E$14)</f>
        <v>11.218299999999999</v>
      </c>
      <c r="N612" s="59">
        <f>11.2114 * CHOOSE(CONTROL!$C$27, $C$14, 100%, $E$14)</f>
        <v>11.211399999999999</v>
      </c>
      <c r="O612" s="59">
        <f>11.2183 * CHOOSE(CONTROL!$C$27, $C$14, 100%, $E$14)</f>
        <v>11.218299999999999</v>
      </c>
    </row>
    <row r="613" spans="1:15" ht="15">
      <c r="A613" s="11">
        <v>59749</v>
      </c>
      <c r="B613" s="58">
        <f>9.5215 * CHOOSE(CONTROL!$C$27, $C$14, 100%, $E$14)</f>
        <v>9.5214999999999996</v>
      </c>
      <c r="C613" s="58">
        <f>9.5215 * CHOOSE(CONTROL!$C$27, $C$14, 100%, $E$14)</f>
        <v>9.5214999999999996</v>
      </c>
      <c r="D613" s="58">
        <f>9.5272 * CHOOSE(CONTROL!$C$27, $C$14, 100%, $E$14)</f>
        <v>9.5272000000000006</v>
      </c>
      <c r="E613" s="59">
        <f>11.0391 * CHOOSE(CONTROL!$C$27, $C$14, 100%, $E$14)</f>
        <v>11.039099999999999</v>
      </c>
      <c r="F613" s="59">
        <f>11.0391 * CHOOSE(CONTROL!$C$27, $C$14, 100%, $E$14)</f>
        <v>11.039099999999999</v>
      </c>
      <c r="G613" s="59">
        <f>11.046 * CHOOSE(CONTROL!$C$27, $C$14, 100%, $E$14)</f>
        <v>11.045999999999999</v>
      </c>
      <c r="H613" s="59">
        <f>20.341* CHOOSE(CONTROL!$C$27, $C$14, 100%, $E$14)</f>
        <v>20.341000000000001</v>
      </c>
      <c r="I613" s="59">
        <f>20.3479 * CHOOSE(CONTROL!$C$27, $C$14, 100%, $E$14)</f>
        <v>20.347899999999999</v>
      </c>
      <c r="J613" s="59">
        <f>20.341 * CHOOSE(CONTROL!$C$27, $C$14, 100%, $E$14)</f>
        <v>20.341000000000001</v>
      </c>
      <c r="K613" s="59">
        <f>20.3479 * CHOOSE(CONTROL!$C$27, $C$14, 100%, $E$14)</f>
        <v>20.347899999999999</v>
      </c>
      <c r="L613" s="59">
        <f>11.0391 * CHOOSE(CONTROL!$C$27, $C$14, 100%, $E$14)</f>
        <v>11.039099999999999</v>
      </c>
      <c r="M613" s="59">
        <f>11.046 * CHOOSE(CONTROL!$C$27, $C$14, 100%, $E$14)</f>
        <v>11.045999999999999</v>
      </c>
      <c r="N613" s="59">
        <f>11.0391 * CHOOSE(CONTROL!$C$27, $C$14, 100%, $E$14)</f>
        <v>11.039099999999999</v>
      </c>
      <c r="O613" s="59">
        <f>11.046 * CHOOSE(CONTROL!$C$27, $C$14, 100%, $E$14)</f>
        <v>11.045999999999999</v>
      </c>
    </row>
    <row r="614" spans="1:15" ht="15">
      <c r="A614" s="11">
        <v>59780</v>
      </c>
      <c r="B614" s="58">
        <f>9.5185 * CHOOSE(CONTROL!$C$27, $C$14, 100%, $E$14)</f>
        <v>9.5184999999999995</v>
      </c>
      <c r="C614" s="58">
        <f>9.5185 * CHOOSE(CONTROL!$C$27, $C$14, 100%, $E$14)</f>
        <v>9.5184999999999995</v>
      </c>
      <c r="D614" s="58">
        <f>9.5241 * CHOOSE(CONTROL!$C$27, $C$14, 100%, $E$14)</f>
        <v>9.5241000000000007</v>
      </c>
      <c r="E614" s="59">
        <f>11.0173 * CHOOSE(CONTROL!$C$27, $C$14, 100%, $E$14)</f>
        <v>11.017300000000001</v>
      </c>
      <c r="F614" s="59">
        <f>11.0173 * CHOOSE(CONTROL!$C$27, $C$14, 100%, $E$14)</f>
        <v>11.017300000000001</v>
      </c>
      <c r="G614" s="59">
        <f>11.0242 * CHOOSE(CONTROL!$C$27, $C$14, 100%, $E$14)</f>
        <v>11.0242</v>
      </c>
      <c r="H614" s="59">
        <f>20.3834* CHOOSE(CONTROL!$C$27, $C$14, 100%, $E$14)</f>
        <v>20.383400000000002</v>
      </c>
      <c r="I614" s="59">
        <f>20.3903 * CHOOSE(CONTROL!$C$27, $C$14, 100%, $E$14)</f>
        <v>20.3903</v>
      </c>
      <c r="J614" s="59">
        <f>20.3834 * CHOOSE(CONTROL!$C$27, $C$14, 100%, $E$14)</f>
        <v>20.383400000000002</v>
      </c>
      <c r="K614" s="59">
        <f>20.3903 * CHOOSE(CONTROL!$C$27, $C$14, 100%, $E$14)</f>
        <v>20.3903</v>
      </c>
      <c r="L614" s="59">
        <f>11.0173 * CHOOSE(CONTROL!$C$27, $C$14, 100%, $E$14)</f>
        <v>11.017300000000001</v>
      </c>
      <c r="M614" s="59">
        <f>11.0242 * CHOOSE(CONTROL!$C$27, $C$14, 100%, $E$14)</f>
        <v>11.0242</v>
      </c>
      <c r="N614" s="59">
        <f>11.0173 * CHOOSE(CONTROL!$C$27, $C$14, 100%, $E$14)</f>
        <v>11.017300000000001</v>
      </c>
      <c r="O614" s="59">
        <f>11.0242 * CHOOSE(CONTROL!$C$27, $C$14, 100%, $E$14)</f>
        <v>11.0242</v>
      </c>
    </row>
    <row r="615" spans="1:15" ht="15">
      <c r="A615" s="11">
        <v>59810</v>
      </c>
      <c r="B615" s="58">
        <f>9.5315 * CHOOSE(CONTROL!$C$27, $C$14, 100%, $E$14)</f>
        <v>9.5314999999999994</v>
      </c>
      <c r="C615" s="58">
        <f>9.5315 * CHOOSE(CONTROL!$C$27, $C$14, 100%, $E$14)</f>
        <v>9.5314999999999994</v>
      </c>
      <c r="D615" s="58">
        <f>9.5355 * CHOOSE(CONTROL!$C$27, $C$14, 100%, $E$14)</f>
        <v>9.5355000000000008</v>
      </c>
      <c r="E615" s="59">
        <f>11.0825 * CHOOSE(CONTROL!$C$27, $C$14, 100%, $E$14)</f>
        <v>11.0825</v>
      </c>
      <c r="F615" s="59">
        <f>11.0825 * CHOOSE(CONTROL!$C$27, $C$14, 100%, $E$14)</f>
        <v>11.0825</v>
      </c>
      <c r="G615" s="59">
        <f>11.0875 * CHOOSE(CONTROL!$C$27, $C$14, 100%, $E$14)</f>
        <v>11.0875</v>
      </c>
      <c r="H615" s="59">
        <f>20.4258* CHOOSE(CONTROL!$C$27, $C$14, 100%, $E$14)</f>
        <v>20.425799999999999</v>
      </c>
      <c r="I615" s="59">
        <f>20.4307 * CHOOSE(CONTROL!$C$27, $C$14, 100%, $E$14)</f>
        <v>20.430700000000002</v>
      </c>
      <c r="J615" s="59">
        <f>20.4258 * CHOOSE(CONTROL!$C$27, $C$14, 100%, $E$14)</f>
        <v>20.425799999999999</v>
      </c>
      <c r="K615" s="59">
        <f>20.4307 * CHOOSE(CONTROL!$C$27, $C$14, 100%, $E$14)</f>
        <v>20.430700000000002</v>
      </c>
      <c r="L615" s="59">
        <f>11.0825 * CHOOSE(CONTROL!$C$27, $C$14, 100%, $E$14)</f>
        <v>11.0825</v>
      </c>
      <c r="M615" s="59">
        <f>11.0875 * CHOOSE(CONTROL!$C$27, $C$14, 100%, $E$14)</f>
        <v>11.0875</v>
      </c>
      <c r="N615" s="59">
        <f>11.0825 * CHOOSE(CONTROL!$C$27, $C$14, 100%, $E$14)</f>
        <v>11.0825</v>
      </c>
      <c r="O615" s="59">
        <f>11.0875 * CHOOSE(CONTROL!$C$27, $C$14, 100%, $E$14)</f>
        <v>11.0875</v>
      </c>
    </row>
    <row r="616" spans="1:15" ht="15">
      <c r="A616" s="11">
        <v>59841</v>
      </c>
      <c r="B616" s="58">
        <f>9.5345 * CHOOSE(CONTROL!$C$27, $C$14, 100%, $E$14)</f>
        <v>9.5344999999999995</v>
      </c>
      <c r="C616" s="58">
        <f>9.5345 * CHOOSE(CONTROL!$C$27, $C$14, 100%, $E$14)</f>
        <v>9.5344999999999995</v>
      </c>
      <c r="D616" s="58">
        <f>9.5385 * CHOOSE(CONTROL!$C$27, $C$14, 100%, $E$14)</f>
        <v>9.5385000000000009</v>
      </c>
      <c r="E616" s="59">
        <f>11.124 * CHOOSE(CONTROL!$C$27, $C$14, 100%, $E$14)</f>
        <v>11.124000000000001</v>
      </c>
      <c r="F616" s="59">
        <f>11.124 * CHOOSE(CONTROL!$C$27, $C$14, 100%, $E$14)</f>
        <v>11.124000000000001</v>
      </c>
      <c r="G616" s="59">
        <f>11.1289 * CHOOSE(CONTROL!$C$27, $C$14, 100%, $E$14)</f>
        <v>11.1289</v>
      </c>
      <c r="H616" s="59">
        <f>20.4684* CHOOSE(CONTROL!$C$27, $C$14, 100%, $E$14)</f>
        <v>20.468399999999999</v>
      </c>
      <c r="I616" s="59">
        <f>20.4733 * CHOOSE(CONTROL!$C$27, $C$14, 100%, $E$14)</f>
        <v>20.473299999999998</v>
      </c>
      <c r="J616" s="59">
        <f>20.4684 * CHOOSE(CONTROL!$C$27, $C$14, 100%, $E$14)</f>
        <v>20.468399999999999</v>
      </c>
      <c r="K616" s="59">
        <f>20.4733 * CHOOSE(CONTROL!$C$27, $C$14, 100%, $E$14)</f>
        <v>20.473299999999998</v>
      </c>
      <c r="L616" s="59">
        <f>11.124 * CHOOSE(CONTROL!$C$27, $C$14, 100%, $E$14)</f>
        <v>11.124000000000001</v>
      </c>
      <c r="M616" s="59">
        <f>11.1289 * CHOOSE(CONTROL!$C$27, $C$14, 100%, $E$14)</f>
        <v>11.1289</v>
      </c>
      <c r="N616" s="59">
        <f>11.124 * CHOOSE(CONTROL!$C$27, $C$14, 100%, $E$14)</f>
        <v>11.124000000000001</v>
      </c>
      <c r="O616" s="59">
        <f>11.1289 * CHOOSE(CONTROL!$C$27, $C$14, 100%, $E$14)</f>
        <v>11.1289</v>
      </c>
    </row>
    <row r="617" spans="1:15" ht="15">
      <c r="A617" s="11">
        <v>59871</v>
      </c>
      <c r="B617" s="58">
        <f>9.5345 * CHOOSE(CONTROL!$C$27, $C$14, 100%, $E$14)</f>
        <v>9.5344999999999995</v>
      </c>
      <c r="C617" s="58">
        <f>9.5345 * CHOOSE(CONTROL!$C$27, $C$14, 100%, $E$14)</f>
        <v>9.5344999999999995</v>
      </c>
      <c r="D617" s="58">
        <f>9.5385 * CHOOSE(CONTROL!$C$27, $C$14, 100%, $E$14)</f>
        <v>9.5385000000000009</v>
      </c>
      <c r="E617" s="59">
        <f>11.0257 * CHOOSE(CONTROL!$C$27, $C$14, 100%, $E$14)</f>
        <v>11.025700000000001</v>
      </c>
      <c r="F617" s="59">
        <f>11.0257 * CHOOSE(CONTROL!$C$27, $C$14, 100%, $E$14)</f>
        <v>11.025700000000001</v>
      </c>
      <c r="G617" s="59">
        <f>11.0306 * CHOOSE(CONTROL!$C$27, $C$14, 100%, $E$14)</f>
        <v>11.0306</v>
      </c>
      <c r="H617" s="59">
        <f>20.511* CHOOSE(CONTROL!$C$27, $C$14, 100%, $E$14)</f>
        <v>20.510999999999999</v>
      </c>
      <c r="I617" s="59">
        <f>20.5159 * CHOOSE(CONTROL!$C$27, $C$14, 100%, $E$14)</f>
        <v>20.515899999999998</v>
      </c>
      <c r="J617" s="59">
        <f>20.511 * CHOOSE(CONTROL!$C$27, $C$14, 100%, $E$14)</f>
        <v>20.510999999999999</v>
      </c>
      <c r="K617" s="59">
        <f>20.5159 * CHOOSE(CONTROL!$C$27, $C$14, 100%, $E$14)</f>
        <v>20.515899999999998</v>
      </c>
      <c r="L617" s="59">
        <f>11.0257 * CHOOSE(CONTROL!$C$27, $C$14, 100%, $E$14)</f>
        <v>11.025700000000001</v>
      </c>
      <c r="M617" s="59">
        <f>11.0306 * CHOOSE(CONTROL!$C$27, $C$14, 100%, $E$14)</f>
        <v>11.0306</v>
      </c>
      <c r="N617" s="59">
        <f>11.0257 * CHOOSE(CONTROL!$C$27, $C$14, 100%, $E$14)</f>
        <v>11.025700000000001</v>
      </c>
      <c r="O617" s="59">
        <f>11.0306 * CHOOSE(CONTROL!$C$27, $C$14, 100%, $E$14)</f>
        <v>11.0306</v>
      </c>
    </row>
    <row r="618" spans="1:15" ht="15">
      <c r="A618" s="11">
        <v>59902</v>
      </c>
      <c r="B618" s="58">
        <f>9.6029 * CHOOSE(CONTROL!$C$27, $C$14, 100%, $E$14)</f>
        <v>9.6029</v>
      </c>
      <c r="C618" s="58">
        <f>9.6029 * CHOOSE(CONTROL!$C$27, $C$14, 100%, $E$14)</f>
        <v>9.6029</v>
      </c>
      <c r="D618" s="58">
        <f>9.6069 * CHOOSE(CONTROL!$C$27, $C$14, 100%, $E$14)</f>
        <v>9.6068999999999996</v>
      </c>
      <c r="E618" s="59">
        <f>11.1732 * CHOOSE(CONTROL!$C$27, $C$14, 100%, $E$14)</f>
        <v>11.1732</v>
      </c>
      <c r="F618" s="59">
        <f>11.1732 * CHOOSE(CONTROL!$C$27, $C$14, 100%, $E$14)</f>
        <v>11.1732</v>
      </c>
      <c r="G618" s="59">
        <f>11.1781 * CHOOSE(CONTROL!$C$27, $C$14, 100%, $E$14)</f>
        <v>11.178100000000001</v>
      </c>
      <c r="H618" s="59">
        <f>20.5293* CHOOSE(CONTROL!$C$27, $C$14, 100%, $E$14)</f>
        <v>20.529299999999999</v>
      </c>
      <c r="I618" s="59">
        <f>20.5343 * CHOOSE(CONTROL!$C$27, $C$14, 100%, $E$14)</f>
        <v>20.534300000000002</v>
      </c>
      <c r="J618" s="59">
        <f>20.5293 * CHOOSE(CONTROL!$C$27, $C$14, 100%, $E$14)</f>
        <v>20.529299999999999</v>
      </c>
      <c r="K618" s="59">
        <f>20.5343 * CHOOSE(CONTROL!$C$27, $C$14, 100%, $E$14)</f>
        <v>20.534300000000002</v>
      </c>
      <c r="L618" s="59">
        <f>11.1732 * CHOOSE(CONTROL!$C$27, $C$14, 100%, $E$14)</f>
        <v>11.1732</v>
      </c>
      <c r="M618" s="59">
        <f>11.1781 * CHOOSE(CONTROL!$C$27, $C$14, 100%, $E$14)</f>
        <v>11.178100000000001</v>
      </c>
      <c r="N618" s="59">
        <f>11.1732 * CHOOSE(CONTROL!$C$27, $C$14, 100%, $E$14)</f>
        <v>11.1732</v>
      </c>
      <c r="O618" s="59">
        <f>11.1781 * CHOOSE(CONTROL!$C$27, $C$14, 100%, $E$14)</f>
        <v>11.178100000000001</v>
      </c>
    </row>
    <row r="619" spans="1:15" ht="15">
      <c r="A619" s="11">
        <v>59933</v>
      </c>
      <c r="B619" s="58">
        <f>9.5999 * CHOOSE(CONTROL!$C$27, $C$14, 100%, $E$14)</f>
        <v>9.5998999999999999</v>
      </c>
      <c r="C619" s="58">
        <f>9.5999 * CHOOSE(CONTROL!$C$27, $C$14, 100%, $E$14)</f>
        <v>9.5998999999999999</v>
      </c>
      <c r="D619" s="58">
        <f>9.6039 * CHOOSE(CONTROL!$C$27, $C$14, 100%, $E$14)</f>
        <v>9.6038999999999994</v>
      </c>
      <c r="E619" s="59">
        <f>10.9803 * CHOOSE(CONTROL!$C$27, $C$14, 100%, $E$14)</f>
        <v>10.9803</v>
      </c>
      <c r="F619" s="59">
        <f>10.9803 * CHOOSE(CONTROL!$C$27, $C$14, 100%, $E$14)</f>
        <v>10.9803</v>
      </c>
      <c r="G619" s="59">
        <f>10.9852 * CHOOSE(CONTROL!$C$27, $C$14, 100%, $E$14)</f>
        <v>10.985200000000001</v>
      </c>
      <c r="H619" s="59">
        <f>20.5721* CHOOSE(CONTROL!$C$27, $C$14, 100%, $E$14)</f>
        <v>20.572099999999999</v>
      </c>
      <c r="I619" s="59">
        <f>20.577 * CHOOSE(CONTROL!$C$27, $C$14, 100%, $E$14)</f>
        <v>20.577000000000002</v>
      </c>
      <c r="J619" s="59">
        <f>20.5721 * CHOOSE(CONTROL!$C$27, $C$14, 100%, $E$14)</f>
        <v>20.572099999999999</v>
      </c>
      <c r="K619" s="59">
        <f>20.577 * CHOOSE(CONTROL!$C$27, $C$14, 100%, $E$14)</f>
        <v>20.577000000000002</v>
      </c>
      <c r="L619" s="59">
        <f>10.9803 * CHOOSE(CONTROL!$C$27, $C$14, 100%, $E$14)</f>
        <v>10.9803</v>
      </c>
      <c r="M619" s="59">
        <f>10.9852 * CHOOSE(CONTROL!$C$27, $C$14, 100%, $E$14)</f>
        <v>10.985200000000001</v>
      </c>
      <c r="N619" s="59">
        <f>10.9803 * CHOOSE(CONTROL!$C$27, $C$14, 100%, $E$14)</f>
        <v>10.9803</v>
      </c>
      <c r="O619" s="59">
        <f>10.9852 * CHOOSE(CONTROL!$C$27, $C$14, 100%, $E$14)</f>
        <v>10.985200000000001</v>
      </c>
    </row>
    <row r="620" spans="1:15" ht="15">
      <c r="A620" s="11">
        <v>59962</v>
      </c>
      <c r="B620" s="58">
        <f>9.5968 * CHOOSE(CONTROL!$C$27, $C$14, 100%, $E$14)</f>
        <v>9.5968</v>
      </c>
      <c r="C620" s="58">
        <f>9.5968 * CHOOSE(CONTROL!$C$27, $C$14, 100%, $E$14)</f>
        <v>9.5968</v>
      </c>
      <c r="D620" s="58">
        <f>9.6008 * CHOOSE(CONTROL!$C$27, $C$14, 100%, $E$14)</f>
        <v>9.6007999999999996</v>
      </c>
      <c r="E620" s="59">
        <f>11.1286 * CHOOSE(CONTROL!$C$27, $C$14, 100%, $E$14)</f>
        <v>11.1286</v>
      </c>
      <c r="F620" s="59">
        <f>11.1286 * CHOOSE(CONTROL!$C$27, $C$14, 100%, $E$14)</f>
        <v>11.1286</v>
      </c>
      <c r="G620" s="59">
        <f>11.1335 * CHOOSE(CONTROL!$C$27, $C$14, 100%, $E$14)</f>
        <v>11.1335</v>
      </c>
      <c r="H620" s="59">
        <f>20.615* CHOOSE(CONTROL!$C$27, $C$14, 100%, $E$14)</f>
        <v>20.614999999999998</v>
      </c>
      <c r="I620" s="59">
        <f>20.6199 * CHOOSE(CONTROL!$C$27, $C$14, 100%, $E$14)</f>
        <v>20.619900000000001</v>
      </c>
      <c r="J620" s="59">
        <f>20.615 * CHOOSE(CONTROL!$C$27, $C$14, 100%, $E$14)</f>
        <v>20.614999999999998</v>
      </c>
      <c r="K620" s="59">
        <f>20.6199 * CHOOSE(CONTROL!$C$27, $C$14, 100%, $E$14)</f>
        <v>20.619900000000001</v>
      </c>
      <c r="L620" s="59">
        <f>11.1286 * CHOOSE(CONTROL!$C$27, $C$14, 100%, $E$14)</f>
        <v>11.1286</v>
      </c>
      <c r="M620" s="59">
        <f>11.1335 * CHOOSE(CONTROL!$C$27, $C$14, 100%, $E$14)</f>
        <v>11.1335</v>
      </c>
      <c r="N620" s="59">
        <f>11.1286 * CHOOSE(CONTROL!$C$27, $C$14, 100%, $E$14)</f>
        <v>11.1286</v>
      </c>
      <c r="O620" s="59">
        <f>11.1335 * CHOOSE(CONTROL!$C$27, $C$14, 100%, $E$14)</f>
        <v>11.1335</v>
      </c>
    </row>
    <row r="621" spans="1:15" ht="15">
      <c r="A621" s="11">
        <v>59993</v>
      </c>
      <c r="B621" s="58">
        <f>9.5992 * CHOOSE(CONTROL!$C$27, $C$14, 100%, $E$14)</f>
        <v>9.5991999999999997</v>
      </c>
      <c r="C621" s="58">
        <f>9.5992 * CHOOSE(CONTROL!$C$27, $C$14, 100%, $E$14)</f>
        <v>9.5991999999999997</v>
      </c>
      <c r="D621" s="58">
        <f>9.6032 * CHOOSE(CONTROL!$C$27, $C$14, 100%, $E$14)</f>
        <v>9.6031999999999993</v>
      </c>
      <c r="E621" s="59">
        <f>11.2859 * CHOOSE(CONTROL!$C$27, $C$14, 100%, $E$14)</f>
        <v>11.2859</v>
      </c>
      <c r="F621" s="59">
        <f>11.2859 * CHOOSE(CONTROL!$C$27, $C$14, 100%, $E$14)</f>
        <v>11.2859</v>
      </c>
      <c r="G621" s="59">
        <f>11.2908 * CHOOSE(CONTROL!$C$27, $C$14, 100%, $E$14)</f>
        <v>11.290800000000001</v>
      </c>
      <c r="H621" s="59">
        <f>20.6579* CHOOSE(CONTROL!$C$27, $C$14, 100%, $E$14)</f>
        <v>20.657900000000001</v>
      </c>
      <c r="I621" s="59">
        <f>20.6628 * CHOOSE(CONTROL!$C$27, $C$14, 100%, $E$14)</f>
        <v>20.662800000000001</v>
      </c>
      <c r="J621" s="59">
        <f>20.6579 * CHOOSE(CONTROL!$C$27, $C$14, 100%, $E$14)</f>
        <v>20.657900000000001</v>
      </c>
      <c r="K621" s="59">
        <f>20.6628 * CHOOSE(CONTROL!$C$27, $C$14, 100%, $E$14)</f>
        <v>20.662800000000001</v>
      </c>
      <c r="L621" s="59">
        <f>11.2859 * CHOOSE(CONTROL!$C$27, $C$14, 100%, $E$14)</f>
        <v>11.2859</v>
      </c>
      <c r="M621" s="59">
        <f>11.2908 * CHOOSE(CONTROL!$C$27, $C$14, 100%, $E$14)</f>
        <v>11.290800000000001</v>
      </c>
      <c r="N621" s="59">
        <f>11.2859 * CHOOSE(CONTROL!$C$27, $C$14, 100%, $E$14)</f>
        <v>11.2859</v>
      </c>
      <c r="O621" s="59">
        <f>11.2908 * CHOOSE(CONTROL!$C$27, $C$14, 100%, $E$14)</f>
        <v>11.290800000000001</v>
      </c>
    </row>
    <row r="622" spans="1:15" ht="15">
      <c r="A622" s="11">
        <v>60023</v>
      </c>
      <c r="B622" s="58">
        <f>9.5992 * CHOOSE(CONTROL!$C$27, $C$14, 100%, $E$14)</f>
        <v>9.5991999999999997</v>
      </c>
      <c r="C622" s="58">
        <f>9.5992 * CHOOSE(CONTROL!$C$27, $C$14, 100%, $E$14)</f>
        <v>9.5991999999999997</v>
      </c>
      <c r="D622" s="58">
        <f>9.6048 * CHOOSE(CONTROL!$C$27, $C$14, 100%, $E$14)</f>
        <v>9.6047999999999991</v>
      </c>
      <c r="E622" s="59">
        <f>11.3464 * CHOOSE(CONTROL!$C$27, $C$14, 100%, $E$14)</f>
        <v>11.346399999999999</v>
      </c>
      <c r="F622" s="59">
        <f>11.3464 * CHOOSE(CONTROL!$C$27, $C$14, 100%, $E$14)</f>
        <v>11.346399999999999</v>
      </c>
      <c r="G622" s="59">
        <f>11.3533 * CHOOSE(CONTROL!$C$27, $C$14, 100%, $E$14)</f>
        <v>11.353300000000001</v>
      </c>
      <c r="H622" s="59">
        <f>20.701* CHOOSE(CONTROL!$C$27, $C$14, 100%, $E$14)</f>
        <v>20.701000000000001</v>
      </c>
      <c r="I622" s="59">
        <f>20.7079 * CHOOSE(CONTROL!$C$27, $C$14, 100%, $E$14)</f>
        <v>20.707899999999999</v>
      </c>
      <c r="J622" s="59">
        <f>20.701 * CHOOSE(CONTROL!$C$27, $C$14, 100%, $E$14)</f>
        <v>20.701000000000001</v>
      </c>
      <c r="K622" s="59">
        <f>20.7079 * CHOOSE(CONTROL!$C$27, $C$14, 100%, $E$14)</f>
        <v>20.707899999999999</v>
      </c>
      <c r="L622" s="59">
        <f>11.3464 * CHOOSE(CONTROL!$C$27, $C$14, 100%, $E$14)</f>
        <v>11.346399999999999</v>
      </c>
      <c r="M622" s="59">
        <f>11.3533 * CHOOSE(CONTROL!$C$27, $C$14, 100%, $E$14)</f>
        <v>11.353300000000001</v>
      </c>
      <c r="N622" s="59">
        <f>11.3464 * CHOOSE(CONTROL!$C$27, $C$14, 100%, $E$14)</f>
        <v>11.346399999999999</v>
      </c>
      <c r="O622" s="59">
        <f>11.3533 * CHOOSE(CONTROL!$C$27, $C$14, 100%, $E$14)</f>
        <v>11.353300000000001</v>
      </c>
    </row>
    <row r="623" spans="1:15" ht="15">
      <c r="A623" s="11">
        <v>60054</v>
      </c>
      <c r="B623" s="58">
        <f>9.6053 * CHOOSE(CONTROL!$C$27, $C$14, 100%, $E$14)</f>
        <v>9.6052999999999997</v>
      </c>
      <c r="C623" s="58">
        <f>9.6053 * CHOOSE(CONTROL!$C$27, $C$14, 100%, $E$14)</f>
        <v>9.6052999999999997</v>
      </c>
      <c r="D623" s="58">
        <f>9.6109 * CHOOSE(CONTROL!$C$27, $C$14, 100%, $E$14)</f>
        <v>9.6109000000000009</v>
      </c>
      <c r="E623" s="59">
        <f>11.2901 * CHOOSE(CONTROL!$C$27, $C$14, 100%, $E$14)</f>
        <v>11.290100000000001</v>
      </c>
      <c r="F623" s="59">
        <f>11.2901 * CHOOSE(CONTROL!$C$27, $C$14, 100%, $E$14)</f>
        <v>11.290100000000001</v>
      </c>
      <c r="G623" s="59">
        <f>11.297 * CHOOSE(CONTROL!$C$27, $C$14, 100%, $E$14)</f>
        <v>11.297000000000001</v>
      </c>
      <c r="H623" s="59">
        <f>20.7441* CHOOSE(CONTROL!$C$27, $C$14, 100%, $E$14)</f>
        <v>20.7441</v>
      </c>
      <c r="I623" s="59">
        <f>20.751 * CHOOSE(CONTROL!$C$27, $C$14, 100%, $E$14)</f>
        <v>20.751000000000001</v>
      </c>
      <c r="J623" s="59">
        <f>20.7441 * CHOOSE(CONTROL!$C$27, $C$14, 100%, $E$14)</f>
        <v>20.7441</v>
      </c>
      <c r="K623" s="59">
        <f>20.751 * CHOOSE(CONTROL!$C$27, $C$14, 100%, $E$14)</f>
        <v>20.751000000000001</v>
      </c>
      <c r="L623" s="59">
        <f>11.2901 * CHOOSE(CONTROL!$C$27, $C$14, 100%, $E$14)</f>
        <v>11.290100000000001</v>
      </c>
      <c r="M623" s="59">
        <f>11.297 * CHOOSE(CONTROL!$C$27, $C$14, 100%, $E$14)</f>
        <v>11.297000000000001</v>
      </c>
      <c r="N623" s="59">
        <f>11.2901 * CHOOSE(CONTROL!$C$27, $C$14, 100%, $E$14)</f>
        <v>11.290100000000001</v>
      </c>
      <c r="O623" s="59">
        <f>11.297 * CHOOSE(CONTROL!$C$27, $C$14, 100%, $E$14)</f>
        <v>11.297000000000001</v>
      </c>
    </row>
    <row r="624" spans="1:15" ht="15">
      <c r="A624" s="11">
        <v>60084</v>
      </c>
      <c r="B624" s="58">
        <f>9.754 * CHOOSE(CONTROL!$C$27, $C$14, 100%, $E$14)</f>
        <v>9.7539999999999996</v>
      </c>
      <c r="C624" s="58">
        <f>9.754 * CHOOSE(CONTROL!$C$27, $C$14, 100%, $E$14)</f>
        <v>9.7539999999999996</v>
      </c>
      <c r="D624" s="58">
        <f>9.7596 * CHOOSE(CONTROL!$C$27, $C$14, 100%, $E$14)</f>
        <v>9.7596000000000007</v>
      </c>
      <c r="E624" s="59">
        <f>11.4732 * CHOOSE(CONTROL!$C$27, $C$14, 100%, $E$14)</f>
        <v>11.4732</v>
      </c>
      <c r="F624" s="59">
        <f>11.4732 * CHOOSE(CONTROL!$C$27, $C$14, 100%, $E$14)</f>
        <v>11.4732</v>
      </c>
      <c r="G624" s="59">
        <f>11.4801 * CHOOSE(CONTROL!$C$27, $C$14, 100%, $E$14)</f>
        <v>11.4801</v>
      </c>
      <c r="H624" s="59">
        <f>20.7873* CHOOSE(CONTROL!$C$27, $C$14, 100%, $E$14)</f>
        <v>20.787299999999998</v>
      </c>
      <c r="I624" s="59">
        <f>20.7942 * CHOOSE(CONTROL!$C$27, $C$14, 100%, $E$14)</f>
        <v>20.7942</v>
      </c>
      <c r="J624" s="59">
        <f>20.7873 * CHOOSE(CONTROL!$C$27, $C$14, 100%, $E$14)</f>
        <v>20.787299999999998</v>
      </c>
      <c r="K624" s="59">
        <f>20.7942 * CHOOSE(CONTROL!$C$27, $C$14, 100%, $E$14)</f>
        <v>20.7942</v>
      </c>
      <c r="L624" s="59">
        <f>11.4732 * CHOOSE(CONTROL!$C$27, $C$14, 100%, $E$14)</f>
        <v>11.4732</v>
      </c>
      <c r="M624" s="59">
        <f>11.4801 * CHOOSE(CONTROL!$C$27, $C$14, 100%, $E$14)</f>
        <v>11.4801</v>
      </c>
      <c r="N624" s="59">
        <f>11.4732 * CHOOSE(CONTROL!$C$27, $C$14, 100%, $E$14)</f>
        <v>11.4732</v>
      </c>
      <c r="O624" s="59">
        <f>11.4801 * CHOOSE(CONTROL!$C$27, $C$14, 100%, $E$14)</f>
        <v>11.4801</v>
      </c>
    </row>
    <row r="625" spans="1:15" ht="15">
      <c r="A625" s="11">
        <v>60115</v>
      </c>
      <c r="B625" s="58">
        <f>9.7607 * CHOOSE(CONTROL!$C$27, $C$14, 100%, $E$14)</f>
        <v>9.7606999999999999</v>
      </c>
      <c r="C625" s="58">
        <f>9.7607 * CHOOSE(CONTROL!$C$27, $C$14, 100%, $E$14)</f>
        <v>9.7606999999999999</v>
      </c>
      <c r="D625" s="58">
        <f>9.7663 * CHOOSE(CONTROL!$C$27, $C$14, 100%, $E$14)</f>
        <v>9.7662999999999993</v>
      </c>
      <c r="E625" s="59">
        <f>11.2961 * CHOOSE(CONTROL!$C$27, $C$14, 100%, $E$14)</f>
        <v>11.296099999999999</v>
      </c>
      <c r="F625" s="59">
        <f>11.2961 * CHOOSE(CONTROL!$C$27, $C$14, 100%, $E$14)</f>
        <v>11.296099999999999</v>
      </c>
      <c r="G625" s="59">
        <f>11.303 * CHOOSE(CONTROL!$C$27, $C$14, 100%, $E$14)</f>
        <v>11.303000000000001</v>
      </c>
      <c r="H625" s="59">
        <f>20.8306* CHOOSE(CONTROL!$C$27, $C$14, 100%, $E$14)</f>
        <v>20.8306</v>
      </c>
      <c r="I625" s="59">
        <f>20.8375 * CHOOSE(CONTROL!$C$27, $C$14, 100%, $E$14)</f>
        <v>20.837499999999999</v>
      </c>
      <c r="J625" s="59">
        <f>20.8306 * CHOOSE(CONTROL!$C$27, $C$14, 100%, $E$14)</f>
        <v>20.8306</v>
      </c>
      <c r="K625" s="59">
        <f>20.8375 * CHOOSE(CONTROL!$C$27, $C$14, 100%, $E$14)</f>
        <v>20.837499999999999</v>
      </c>
      <c r="L625" s="59">
        <f>11.2961 * CHOOSE(CONTROL!$C$27, $C$14, 100%, $E$14)</f>
        <v>11.296099999999999</v>
      </c>
      <c r="M625" s="59">
        <f>11.303 * CHOOSE(CONTROL!$C$27, $C$14, 100%, $E$14)</f>
        <v>11.303000000000001</v>
      </c>
      <c r="N625" s="59">
        <f>11.2961 * CHOOSE(CONTROL!$C$27, $C$14, 100%, $E$14)</f>
        <v>11.296099999999999</v>
      </c>
      <c r="O625" s="59">
        <f>11.303 * CHOOSE(CONTROL!$C$27, $C$14, 100%, $E$14)</f>
        <v>11.303000000000001</v>
      </c>
    </row>
    <row r="626" spans="1:15" ht="15">
      <c r="A626" s="11">
        <v>60146</v>
      </c>
      <c r="B626" s="58">
        <f>9.7577 * CHOOSE(CONTROL!$C$27, $C$14, 100%, $E$14)</f>
        <v>9.7576999999999998</v>
      </c>
      <c r="C626" s="58">
        <f>9.7577 * CHOOSE(CONTROL!$C$27, $C$14, 100%, $E$14)</f>
        <v>9.7576999999999998</v>
      </c>
      <c r="D626" s="58">
        <f>9.7633 * CHOOSE(CONTROL!$C$27, $C$14, 100%, $E$14)</f>
        <v>9.7632999999999992</v>
      </c>
      <c r="E626" s="59">
        <f>11.2738 * CHOOSE(CONTROL!$C$27, $C$14, 100%, $E$14)</f>
        <v>11.2738</v>
      </c>
      <c r="F626" s="59">
        <f>11.2738 * CHOOSE(CONTROL!$C$27, $C$14, 100%, $E$14)</f>
        <v>11.2738</v>
      </c>
      <c r="G626" s="59">
        <f>11.2807 * CHOOSE(CONTROL!$C$27, $C$14, 100%, $E$14)</f>
        <v>11.2807</v>
      </c>
      <c r="H626" s="59">
        <f>20.874* CHOOSE(CONTROL!$C$27, $C$14, 100%, $E$14)</f>
        <v>20.873999999999999</v>
      </c>
      <c r="I626" s="59">
        <f>20.8809 * CHOOSE(CONTROL!$C$27, $C$14, 100%, $E$14)</f>
        <v>20.8809</v>
      </c>
      <c r="J626" s="59">
        <f>20.874 * CHOOSE(CONTROL!$C$27, $C$14, 100%, $E$14)</f>
        <v>20.873999999999999</v>
      </c>
      <c r="K626" s="59">
        <f>20.8809 * CHOOSE(CONTROL!$C$27, $C$14, 100%, $E$14)</f>
        <v>20.8809</v>
      </c>
      <c r="L626" s="59">
        <f>11.2738 * CHOOSE(CONTROL!$C$27, $C$14, 100%, $E$14)</f>
        <v>11.2738</v>
      </c>
      <c r="M626" s="59">
        <f>11.2807 * CHOOSE(CONTROL!$C$27, $C$14, 100%, $E$14)</f>
        <v>11.2807</v>
      </c>
      <c r="N626" s="59">
        <f>11.2738 * CHOOSE(CONTROL!$C$27, $C$14, 100%, $E$14)</f>
        <v>11.2738</v>
      </c>
      <c r="O626" s="59">
        <f>11.2807 * CHOOSE(CONTROL!$C$27, $C$14, 100%, $E$14)</f>
        <v>11.2807</v>
      </c>
    </row>
    <row r="627" spans="1:15" ht="15">
      <c r="A627" s="11">
        <v>60176</v>
      </c>
      <c r="B627" s="58">
        <f>9.7714 * CHOOSE(CONTROL!$C$27, $C$14, 100%, $E$14)</f>
        <v>9.7713999999999999</v>
      </c>
      <c r="C627" s="58">
        <f>9.7714 * CHOOSE(CONTROL!$C$27, $C$14, 100%, $E$14)</f>
        <v>9.7713999999999999</v>
      </c>
      <c r="D627" s="58">
        <f>9.7754 * CHOOSE(CONTROL!$C$27, $C$14, 100%, $E$14)</f>
        <v>9.7753999999999994</v>
      </c>
      <c r="E627" s="59">
        <f>11.3412 * CHOOSE(CONTROL!$C$27, $C$14, 100%, $E$14)</f>
        <v>11.341200000000001</v>
      </c>
      <c r="F627" s="59">
        <f>11.3412 * CHOOSE(CONTROL!$C$27, $C$14, 100%, $E$14)</f>
        <v>11.341200000000001</v>
      </c>
      <c r="G627" s="59">
        <f>11.3461 * CHOOSE(CONTROL!$C$27, $C$14, 100%, $E$14)</f>
        <v>11.3461</v>
      </c>
      <c r="H627" s="59">
        <f>20.9175* CHOOSE(CONTROL!$C$27, $C$14, 100%, $E$14)</f>
        <v>20.9175</v>
      </c>
      <c r="I627" s="59">
        <f>20.9224 * CHOOSE(CONTROL!$C$27, $C$14, 100%, $E$14)</f>
        <v>20.9224</v>
      </c>
      <c r="J627" s="59">
        <f>20.9175 * CHOOSE(CONTROL!$C$27, $C$14, 100%, $E$14)</f>
        <v>20.9175</v>
      </c>
      <c r="K627" s="59">
        <f>20.9224 * CHOOSE(CONTROL!$C$27, $C$14, 100%, $E$14)</f>
        <v>20.9224</v>
      </c>
      <c r="L627" s="59">
        <f>11.3412 * CHOOSE(CONTROL!$C$27, $C$14, 100%, $E$14)</f>
        <v>11.341200000000001</v>
      </c>
      <c r="M627" s="59">
        <f>11.3461 * CHOOSE(CONTROL!$C$27, $C$14, 100%, $E$14)</f>
        <v>11.3461</v>
      </c>
      <c r="N627" s="59">
        <f>11.3412 * CHOOSE(CONTROL!$C$27, $C$14, 100%, $E$14)</f>
        <v>11.341200000000001</v>
      </c>
      <c r="O627" s="59">
        <f>11.3461 * CHOOSE(CONTROL!$C$27, $C$14, 100%, $E$14)</f>
        <v>11.3461</v>
      </c>
    </row>
    <row r="628" spans="1:15" ht="15">
      <c r="A628" s="11">
        <v>60207</v>
      </c>
      <c r="B628" s="58">
        <f>9.7745 * CHOOSE(CONTROL!$C$27, $C$14, 100%, $E$14)</f>
        <v>9.7744999999999997</v>
      </c>
      <c r="C628" s="58">
        <f>9.7745 * CHOOSE(CONTROL!$C$27, $C$14, 100%, $E$14)</f>
        <v>9.7744999999999997</v>
      </c>
      <c r="D628" s="58">
        <f>9.7785 * CHOOSE(CONTROL!$C$27, $C$14, 100%, $E$14)</f>
        <v>9.7784999999999993</v>
      </c>
      <c r="E628" s="59">
        <f>11.3837 * CHOOSE(CONTROL!$C$27, $C$14, 100%, $E$14)</f>
        <v>11.383699999999999</v>
      </c>
      <c r="F628" s="59">
        <f>11.3837 * CHOOSE(CONTROL!$C$27, $C$14, 100%, $E$14)</f>
        <v>11.383699999999999</v>
      </c>
      <c r="G628" s="59">
        <f>11.3886 * CHOOSE(CONTROL!$C$27, $C$14, 100%, $E$14)</f>
        <v>11.3886</v>
      </c>
      <c r="H628" s="59">
        <f>20.9611* CHOOSE(CONTROL!$C$27, $C$14, 100%, $E$14)</f>
        <v>20.961099999999998</v>
      </c>
      <c r="I628" s="59">
        <f>20.966 * CHOOSE(CONTROL!$C$27, $C$14, 100%, $E$14)</f>
        <v>20.966000000000001</v>
      </c>
      <c r="J628" s="59">
        <f>20.9611 * CHOOSE(CONTROL!$C$27, $C$14, 100%, $E$14)</f>
        <v>20.961099999999998</v>
      </c>
      <c r="K628" s="59">
        <f>20.966 * CHOOSE(CONTROL!$C$27, $C$14, 100%, $E$14)</f>
        <v>20.966000000000001</v>
      </c>
      <c r="L628" s="59">
        <f>11.3837 * CHOOSE(CONTROL!$C$27, $C$14, 100%, $E$14)</f>
        <v>11.383699999999999</v>
      </c>
      <c r="M628" s="59">
        <f>11.3886 * CHOOSE(CONTROL!$C$27, $C$14, 100%, $E$14)</f>
        <v>11.3886</v>
      </c>
      <c r="N628" s="59">
        <f>11.3837 * CHOOSE(CONTROL!$C$27, $C$14, 100%, $E$14)</f>
        <v>11.383699999999999</v>
      </c>
      <c r="O628" s="59">
        <f>11.3886 * CHOOSE(CONTROL!$C$27, $C$14, 100%, $E$14)</f>
        <v>11.3886</v>
      </c>
    </row>
    <row r="629" spans="1:15" ht="15">
      <c r="A629" s="11">
        <v>60237</v>
      </c>
      <c r="B629" s="58">
        <f>9.7745 * CHOOSE(CONTROL!$C$27, $C$14, 100%, $E$14)</f>
        <v>9.7744999999999997</v>
      </c>
      <c r="C629" s="58">
        <f>9.7745 * CHOOSE(CONTROL!$C$27, $C$14, 100%, $E$14)</f>
        <v>9.7744999999999997</v>
      </c>
      <c r="D629" s="58">
        <f>9.7785 * CHOOSE(CONTROL!$C$27, $C$14, 100%, $E$14)</f>
        <v>9.7784999999999993</v>
      </c>
      <c r="E629" s="59">
        <f>11.2827 * CHOOSE(CONTROL!$C$27, $C$14, 100%, $E$14)</f>
        <v>11.2827</v>
      </c>
      <c r="F629" s="59">
        <f>11.2827 * CHOOSE(CONTROL!$C$27, $C$14, 100%, $E$14)</f>
        <v>11.2827</v>
      </c>
      <c r="G629" s="59">
        <f>11.2877 * CHOOSE(CONTROL!$C$27, $C$14, 100%, $E$14)</f>
        <v>11.287699999999999</v>
      </c>
      <c r="H629" s="59">
        <f>21.0047* CHOOSE(CONTROL!$C$27, $C$14, 100%, $E$14)</f>
        <v>21.0047</v>
      </c>
      <c r="I629" s="59">
        <f>21.0097 * CHOOSE(CONTROL!$C$27, $C$14, 100%, $E$14)</f>
        <v>21.009699999999999</v>
      </c>
      <c r="J629" s="59">
        <f>21.0047 * CHOOSE(CONTROL!$C$27, $C$14, 100%, $E$14)</f>
        <v>21.0047</v>
      </c>
      <c r="K629" s="59">
        <f>21.0097 * CHOOSE(CONTROL!$C$27, $C$14, 100%, $E$14)</f>
        <v>21.009699999999999</v>
      </c>
      <c r="L629" s="59">
        <f>11.2827 * CHOOSE(CONTROL!$C$27, $C$14, 100%, $E$14)</f>
        <v>11.2827</v>
      </c>
      <c r="M629" s="59">
        <f>11.2877 * CHOOSE(CONTROL!$C$27, $C$14, 100%, $E$14)</f>
        <v>11.287699999999999</v>
      </c>
      <c r="N629" s="59">
        <f>11.2827 * CHOOSE(CONTROL!$C$27, $C$14, 100%, $E$14)</f>
        <v>11.2827</v>
      </c>
      <c r="O629" s="59">
        <f>11.2877 * CHOOSE(CONTROL!$C$27, $C$14, 100%, $E$14)</f>
        <v>11.287699999999999</v>
      </c>
    </row>
    <row r="630" spans="1:15" ht="15">
      <c r="A630" s="11">
        <v>60268</v>
      </c>
      <c r="B630" s="58">
        <f>9.8385 * CHOOSE(CONTROL!$C$27, $C$14, 100%, $E$14)</f>
        <v>9.8384999999999998</v>
      </c>
      <c r="C630" s="58">
        <f>9.8385 * CHOOSE(CONTROL!$C$27, $C$14, 100%, $E$14)</f>
        <v>9.8384999999999998</v>
      </c>
      <c r="D630" s="58">
        <f>9.8425 * CHOOSE(CONTROL!$C$27, $C$14, 100%, $E$14)</f>
        <v>9.8424999999999994</v>
      </c>
      <c r="E630" s="59">
        <f>11.4279 * CHOOSE(CONTROL!$C$27, $C$14, 100%, $E$14)</f>
        <v>11.427899999999999</v>
      </c>
      <c r="F630" s="59">
        <f>11.4279 * CHOOSE(CONTROL!$C$27, $C$14, 100%, $E$14)</f>
        <v>11.427899999999999</v>
      </c>
      <c r="G630" s="59">
        <f>11.4328 * CHOOSE(CONTROL!$C$27, $C$14, 100%, $E$14)</f>
        <v>11.4328</v>
      </c>
      <c r="H630" s="59">
        <f>21.0119* CHOOSE(CONTROL!$C$27, $C$14, 100%, $E$14)</f>
        <v>21.011900000000001</v>
      </c>
      <c r="I630" s="59">
        <f>21.0168 * CHOOSE(CONTROL!$C$27, $C$14, 100%, $E$14)</f>
        <v>21.0168</v>
      </c>
      <c r="J630" s="59">
        <f>21.0119 * CHOOSE(CONTROL!$C$27, $C$14, 100%, $E$14)</f>
        <v>21.011900000000001</v>
      </c>
      <c r="K630" s="59">
        <f>21.0168 * CHOOSE(CONTROL!$C$27, $C$14, 100%, $E$14)</f>
        <v>21.0168</v>
      </c>
      <c r="L630" s="59">
        <f>11.4279 * CHOOSE(CONTROL!$C$27, $C$14, 100%, $E$14)</f>
        <v>11.427899999999999</v>
      </c>
      <c r="M630" s="59">
        <f>11.4328 * CHOOSE(CONTROL!$C$27, $C$14, 100%, $E$14)</f>
        <v>11.4328</v>
      </c>
      <c r="N630" s="59">
        <f>11.4279 * CHOOSE(CONTROL!$C$27, $C$14, 100%, $E$14)</f>
        <v>11.427899999999999</v>
      </c>
      <c r="O630" s="59">
        <f>11.4328 * CHOOSE(CONTROL!$C$27, $C$14, 100%, $E$14)</f>
        <v>11.4328</v>
      </c>
    </row>
    <row r="631" spans="1:15" ht="15">
      <c r="A631" s="11">
        <v>60299</v>
      </c>
      <c r="B631" s="58">
        <f>9.8354 * CHOOSE(CONTROL!$C$27, $C$14, 100%, $E$14)</f>
        <v>9.8353999999999999</v>
      </c>
      <c r="C631" s="58">
        <f>9.8354 * CHOOSE(CONTROL!$C$27, $C$14, 100%, $E$14)</f>
        <v>9.8353999999999999</v>
      </c>
      <c r="D631" s="58">
        <f>9.8394 * CHOOSE(CONTROL!$C$27, $C$14, 100%, $E$14)</f>
        <v>9.8393999999999995</v>
      </c>
      <c r="E631" s="59">
        <f>11.2301 * CHOOSE(CONTROL!$C$27, $C$14, 100%, $E$14)</f>
        <v>11.2301</v>
      </c>
      <c r="F631" s="59">
        <f>11.2301 * CHOOSE(CONTROL!$C$27, $C$14, 100%, $E$14)</f>
        <v>11.2301</v>
      </c>
      <c r="G631" s="59">
        <f>11.235 * CHOOSE(CONTROL!$C$27, $C$14, 100%, $E$14)</f>
        <v>11.234999999999999</v>
      </c>
      <c r="H631" s="59">
        <f>21.0557* CHOOSE(CONTROL!$C$27, $C$14, 100%, $E$14)</f>
        <v>21.055700000000002</v>
      </c>
      <c r="I631" s="59">
        <f>21.0606 * CHOOSE(CONTROL!$C$27, $C$14, 100%, $E$14)</f>
        <v>21.060600000000001</v>
      </c>
      <c r="J631" s="59">
        <f>21.0557 * CHOOSE(CONTROL!$C$27, $C$14, 100%, $E$14)</f>
        <v>21.055700000000002</v>
      </c>
      <c r="K631" s="59">
        <f>21.0606 * CHOOSE(CONTROL!$C$27, $C$14, 100%, $E$14)</f>
        <v>21.060600000000001</v>
      </c>
      <c r="L631" s="59">
        <f>11.2301 * CHOOSE(CONTROL!$C$27, $C$14, 100%, $E$14)</f>
        <v>11.2301</v>
      </c>
      <c r="M631" s="59">
        <f>11.235 * CHOOSE(CONTROL!$C$27, $C$14, 100%, $E$14)</f>
        <v>11.234999999999999</v>
      </c>
      <c r="N631" s="59">
        <f>11.2301 * CHOOSE(CONTROL!$C$27, $C$14, 100%, $E$14)</f>
        <v>11.2301</v>
      </c>
      <c r="O631" s="59">
        <f>11.235 * CHOOSE(CONTROL!$C$27, $C$14, 100%, $E$14)</f>
        <v>11.234999999999999</v>
      </c>
    </row>
    <row r="632" spans="1:15" ht="15">
      <c r="A632" s="11">
        <v>60327</v>
      </c>
      <c r="B632" s="58">
        <f>9.8324 * CHOOSE(CONTROL!$C$27, $C$14, 100%, $E$14)</f>
        <v>9.8323999999999998</v>
      </c>
      <c r="C632" s="58">
        <f>9.8324 * CHOOSE(CONTROL!$C$27, $C$14, 100%, $E$14)</f>
        <v>9.8323999999999998</v>
      </c>
      <c r="D632" s="58">
        <f>9.8364 * CHOOSE(CONTROL!$C$27, $C$14, 100%, $E$14)</f>
        <v>9.8363999999999994</v>
      </c>
      <c r="E632" s="59">
        <f>11.3823 * CHOOSE(CONTROL!$C$27, $C$14, 100%, $E$14)</f>
        <v>11.382300000000001</v>
      </c>
      <c r="F632" s="59">
        <f>11.3823 * CHOOSE(CONTROL!$C$27, $C$14, 100%, $E$14)</f>
        <v>11.382300000000001</v>
      </c>
      <c r="G632" s="59">
        <f>11.3872 * CHOOSE(CONTROL!$C$27, $C$14, 100%, $E$14)</f>
        <v>11.3872</v>
      </c>
      <c r="H632" s="59">
        <f>21.0995* CHOOSE(CONTROL!$C$27, $C$14, 100%, $E$14)</f>
        <v>21.099499999999999</v>
      </c>
      <c r="I632" s="59">
        <f>21.1045 * CHOOSE(CONTROL!$C$27, $C$14, 100%, $E$14)</f>
        <v>21.104500000000002</v>
      </c>
      <c r="J632" s="59">
        <f>21.0995 * CHOOSE(CONTROL!$C$27, $C$14, 100%, $E$14)</f>
        <v>21.099499999999999</v>
      </c>
      <c r="K632" s="59">
        <f>21.1045 * CHOOSE(CONTROL!$C$27, $C$14, 100%, $E$14)</f>
        <v>21.104500000000002</v>
      </c>
      <c r="L632" s="59">
        <f>11.3823 * CHOOSE(CONTROL!$C$27, $C$14, 100%, $E$14)</f>
        <v>11.382300000000001</v>
      </c>
      <c r="M632" s="59">
        <f>11.3872 * CHOOSE(CONTROL!$C$27, $C$14, 100%, $E$14)</f>
        <v>11.3872</v>
      </c>
      <c r="N632" s="59">
        <f>11.3823 * CHOOSE(CONTROL!$C$27, $C$14, 100%, $E$14)</f>
        <v>11.382300000000001</v>
      </c>
      <c r="O632" s="59">
        <f>11.3872 * CHOOSE(CONTROL!$C$27, $C$14, 100%, $E$14)</f>
        <v>11.3872</v>
      </c>
    </row>
    <row r="633" spans="1:15" ht="15">
      <c r="A633" s="11">
        <v>60358</v>
      </c>
      <c r="B633" s="58">
        <f>9.835 * CHOOSE(CONTROL!$C$27, $C$14, 100%, $E$14)</f>
        <v>9.8350000000000009</v>
      </c>
      <c r="C633" s="58">
        <f>9.835 * CHOOSE(CONTROL!$C$27, $C$14, 100%, $E$14)</f>
        <v>9.8350000000000009</v>
      </c>
      <c r="D633" s="58">
        <f>9.839 * CHOOSE(CONTROL!$C$27, $C$14, 100%, $E$14)</f>
        <v>9.8390000000000004</v>
      </c>
      <c r="E633" s="59">
        <f>11.5437 * CHOOSE(CONTROL!$C$27, $C$14, 100%, $E$14)</f>
        <v>11.543699999999999</v>
      </c>
      <c r="F633" s="59">
        <f>11.5437 * CHOOSE(CONTROL!$C$27, $C$14, 100%, $E$14)</f>
        <v>11.543699999999999</v>
      </c>
      <c r="G633" s="59">
        <f>11.5486 * CHOOSE(CONTROL!$C$27, $C$14, 100%, $E$14)</f>
        <v>11.5486</v>
      </c>
      <c r="H633" s="59">
        <f>21.1435* CHOOSE(CONTROL!$C$27, $C$14, 100%, $E$14)</f>
        <v>21.1435</v>
      </c>
      <c r="I633" s="59">
        <f>21.1484 * CHOOSE(CONTROL!$C$27, $C$14, 100%, $E$14)</f>
        <v>21.148399999999999</v>
      </c>
      <c r="J633" s="59">
        <f>21.1435 * CHOOSE(CONTROL!$C$27, $C$14, 100%, $E$14)</f>
        <v>21.1435</v>
      </c>
      <c r="K633" s="59">
        <f>21.1484 * CHOOSE(CONTROL!$C$27, $C$14, 100%, $E$14)</f>
        <v>21.148399999999999</v>
      </c>
      <c r="L633" s="59">
        <f>11.5437 * CHOOSE(CONTROL!$C$27, $C$14, 100%, $E$14)</f>
        <v>11.543699999999999</v>
      </c>
      <c r="M633" s="59">
        <f>11.5486 * CHOOSE(CONTROL!$C$27, $C$14, 100%, $E$14)</f>
        <v>11.5486</v>
      </c>
      <c r="N633" s="59">
        <f>11.5437 * CHOOSE(CONTROL!$C$27, $C$14, 100%, $E$14)</f>
        <v>11.543699999999999</v>
      </c>
      <c r="O633" s="59">
        <f>11.5486 * CHOOSE(CONTROL!$C$27, $C$14, 100%, $E$14)</f>
        <v>11.5486</v>
      </c>
    </row>
    <row r="634" spans="1:15" ht="15">
      <c r="A634" s="11">
        <v>60388</v>
      </c>
      <c r="B634" s="58">
        <f>9.835 * CHOOSE(CONTROL!$C$27, $C$14, 100%, $E$14)</f>
        <v>9.8350000000000009</v>
      </c>
      <c r="C634" s="58">
        <f>9.835 * CHOOSE(CONTROL!$C$27, $C$14, 100%, $E$14)</f>
        <v>9.8350000000000009</v>
      </c>
      <c r="D634" s="58">
        <f>9.8406 * CHOOSE(CONTROL!$C$27, $C$14, 100%, $E$14)</f>
        <v>9.8406000000000002</v>
      </c>
      <c r="E634" s="59">
        <f>11.6059 * CHOOSE(CONTROL!$C$27, $C$14, 100%, $E$14)</f>
        <v>11.6059</v>
      </c>
      <c r="F634" s="59">
        <f>11.6059 * CHOOSE(CONTROL!$C$27, $C$14, 100%, $E$14)</f>
        <v>11.6059</v>
      </c>
      <c r="G634" s="59">
        <f>11.6127 * CHOOSE(CONTROL!$C$27, $C$14, 100%, $E$14)</f>
        <v>11.6127</v>
      </c>
      <c r="H634" s="59">
        <f>21.1875* CHOOSE(CONTROL!$C$27, $C$14, 100%, $E$14)</f>
        <v>21.1875</v>
      </c>
      <c r="I634" s="59">
        <f>21.1944 * CHOOSE(CONTROL!$C$27, $C$14, 100%, $E$14)</f>
        <v>21.194400000000002</v>
      </c>
      <c r="J634" s="59">
        <f>21.1875 * CHOOSE(CONTROL!$C$27, $C$14, 100%, $E$14)</f>
        <v>21.1875</v>
      </c>
      <c r="K634" s="59">
        <f>21.1944 * CHOOSE(CONTROL!$C$27, $C$14, 100%, $E$14)</f>
        <v>21.194400000000002</v>
      </c>
      <c r="L634" s="59">
        <f>11.6059 * CHOOSE(CONTROL!$C$27, $C$14, 100%, $E$14)</f>
        <v>11.6059</v>
      </c>
      <c r="M634" s="59">
        <f>11.6127 * CHOOSE(CONTROL!$C$27, $C$14, 100%, $E$14)</f>
        <v>11.6127</v>
      </c>
      <c r="N634" s="59">
        <f>11.6059 * CHOOSE(CONTROL!$C$27, $C$14, 100%, $E$14)</f>
        <v>11.6059</v>
      </c>
      <c r="O634" s="59">
        <f>11.6127 * CHOOSE(CONTROL!$C$27, $C$14, 100%, $E$14)</f>
        <v>11.6127</v>
      </c>
    </row>
    <row r="635" spans="1:15" ht="15">
      <c r="A635" s="11">
        <v>60419</v>
      </c>
      <c r="B635" s="58">
        <f>9.841 * CHOOSE(CONTROL!$C$27, $C$14, 100%, $E$14)</f>
        <v>9.8409999999999993</v>
      </c>
      <c r="C635" s="58">
        <f>9.841 * CHOOSE(CONTROL!$C$27, $C$14, 100%, $E$14)</f>
        <v>9.8409999999999993</v>
      </c>
      <c r="D635" s="58">
        <f>9.8467 * CHOOSE(CONTROL!$C$27, $C$14, 100%, $E$14)</f>
        <v>9.8467000000000002</v>
      </c>
      <c r="E635" s="59">
        <f>11.548 * CHOOSE(CONTROL!$C$27, $C$14, 100%, $E$14)</f>
        <v>11.548</v>
      </c>
      <c r="F635" s="59">
        <f>11.548 * CHOOSE(CONTROL!$C$27, $C$14, 100%, $E$14)</f>
        <v>11.548</v>
      </c>
      <c r="G635" s="59">
        <f>11.5548 * CHOOSE(CONTROL!$C$27, $C$14, 100%, $E$14)</f>
        <v>11.5548</v>
      </c>
      <c r="H635" s="59">
        <f>21.2317* CHOOSE(CONTROL!$C$27, $C$14, 100%, $E$14)</f>
        <v>21.2317</v>
      </c>
      <c r="I635" s="59">
        <f>21.2386 * CHOOSE(CONTROL!$C$27, $C$14, 100%, $E$14)</f>
        <v>21.238600000000002</v>
      </c>
      <c r="J635" s="59">
        <f>21.2317 * CHOOSE(CONTROL!$C$27, $C$14, 100%, $E$14)</f>
        <v>21.2317</v>
      </c>
      <c r="K635" s="59">
        <f>21.2386 * CHOOSE(CONTROL!$C$27, $C$14, 100%, $E$14)</f>
        <v>21.238600000000002</v>
      </c>
      <c r="L635" s="59">
        <f>11.548 * CHOOSE(CONTROL!$C$27, $C$14, 100%, $E$14)</f>
        <v>11.548</v>
      </c>
      <c r="M635" s="59">
        <f>11.5548 * CHOOSE(CONTROL!$C$27, $C$14, 100%, $E$14)</f>
        <v>11.5548</v>
      </c>
      <c r="N635" s="59">
        <f>11.548 * CHOOSE(CONTROL!$C$27, $C$14, 100%, $E$14)</f>
        <v>11.548</v>
      </c>
      <c r="O635" s="59">
        <f>11.5548 * CHOOSE(CONTROL!$C$27, $C$14, 100%, $E$14)</f>
        <v>11.5548</v>
      </c>
    </row>
    <row r="636" spans="1:15" ht="15">
      <c r="A636" s="11">
        <v>60449</v>
      </c>
      <c r="B636" s="58">
        <f>9.9932 * CHOOSE(CONTROL!$C$27, $C$14, 100%, $E$14)</f>
        <v>9.9931999999999999</v>
      </c>
      <c r="C636" s="58">
        <f>9.9932 * CHOOSE(CONTROL!$C$27, $C$14, 100%, $E$14)</f>
        <v>9.9931999999999999</v>
      </c>
      <c r="D636" s="58">
        <f>9.9988 * CHOOSE(CONTROL!$C$27, $C$14, 100%, $E$14)</f>
        <v>9.9987999999999992</v>
      </c>
      <c r="E636" s="59">
        <f>11.735 * CHOOSE(CONTROL!$C$27, $C$14, 100%, $E$14)</f>
        <v>11.734999999999999</v>
      </c>
      <c r="F636" s="59">
        <f>11.735 * CHOOSE(CONTROL!$C$27, $C$14, 100%, $E$14)</f>
        <v>11.734999999999999</v>
      </c>
      <c r="G636" s="59">
        <f>11.7419 * CHOOSE(CONTROL!$C$27, $C$14, 100%, $E$14)</f>
        <v>11.741899999999999</v>
      </c>
      <c r="H636" s="59">
        <f>21.2759* CHOOSE(CONTROL!$C$27, $C$14, 100%, $E$14)</f>
        <v>21.2759</v>
      </c>
      <c r="I636" s="59">
        <f>21.2828 * CHOOSE(CONTROL!$C$27, $C$14, 100%, $E$14)</f>
        <v>21.282800000000002</v>
      </c>
      <c r="J636" s="59">
        <f>21.2759 * CHOOSE(CONTROL!$C$27, $C$14, 100%, $E$14)</f>
        <v>21.2759</v>
      </c>
      <c r="K636" s="59">
        <f>21.2828 * CHOOSE(CONTROL!$C$27, $C$14, 100%, $E$14)</f>
        <v>21.282800000000002</v>
      </c>
      <c r="L636" s="59">
        <f>11.735 * CHOOSE(CONTROL!$C$27, $C$14, 100%, $E$14)</f>
        <v>11.734999999999999</v>
      </c>
      <c r="M636" s="59">
        <f>11.7419 * CHOOSE(CONTROL!$C$27, $C$14, 100%, $E$14)</f>
        <v>11.741899999999999</v>
      </c>
      <c r="N636" s="59">
        <f>11.735 * CHOOSE(CONTROL!$C$27, $C$14, 100%, $E$14)</f>
        <v>11.734999999999999</v>
      </c>
      <c r="O636" s="59">
        <f>11.7419 * CHOOSE(CONTROL!$C$27, $C$14, 100%, $E$14)</f>
        <v>11.741899999999999</v>
      </c>
    </row>
    <row r="637" spans="1:15" ht="15">
      <c r="A637" s="11">
        <v>60480</v>
      </c>
      <c r="B637" s="58">
        <f>9.9999 * CHOOSE(CONTROL!$C$27, $C$14, 100%, $E$14)</f>
        <v>9.9999000000000002</v>
      </c>
      <c r="C637" s="58">
        <f>9.9999 * CHOOSE(CONTROL!$C$27, $C$14, 100%, $E$14)</f>
        <v>9.9999000000000002</v>
      </c>
      <c r="D637" s="58">
        <f>10.0055 * CHOOSE(CONTROL!$C$27, $C$14, 100%, $E$14)</f>
        <v>10.0055</v>
      </c>
      <c r="E637" s="59">
        <f>11.5532 * CHOOSE(CONTROL!$C$27, $C$14, 100%, $E$14)</f>
        <v>11.5532</v>
      </c>
      <c r="F637" s="59">
        <f>11.5532 * CHOOSE(CONTROL!$C$27, $C$14, 100%, $E$14)</f>
        <v>11.5532</v>
      </c>
      <c r="G637" s="59">
        <f>11.5601 * CHOOSE(CONTROL!$C$27, $C$14, 100%, $E$14)</f>
        <v>11.5601</v>
      </c>
      <c r="H637" s="59">
        <f>21.3202* CHOOSE(CONTROL!$C$27, $C$14, 100%, $E$14)</f>
        <v>21.3202</v>
      </c>
      <c r="I637" s="59">
        <f>21.3271 * CHOOSE(CONTROL!$C$27, $C$14, 100%, $E$14)</f>
        <v>21.327100000000002</v>
      </c>
      <c r="J637" s="59">
        <f>21.3202 * CHOOSE(CONTROL!$C$27, $C$14, 100%, $E$14)</f>
        <v>21.3202</v>
      </c>
      <c r="K637" s="59">
        <f>21.3271 * CHOOSE(CONTROL!$C$27, $C$14, 100%, $E$14)</f>
        <v>21.327100000000002</v>
      </c>
      <c r="L637" s="59">
        <f>11.5532 * CHOOSE(CONTROL!$C$27, $C$14, 100%, $E$14)</f>
        <v>11.5532</v>
      </c>
      <c r="M637" s="59">
        <f>11.5601 * CHOOSE(CONTROL!$C$27, $C$14, 100%, $E$14)</f>
        <v>11.5601</v>
      </c>
      <c r="N637" s="59">
        <f>11.5532 * CHOOSE(CONTROL!$C$27, $C$14, 100%, $E$14)</f>
        <v>11.5532</v>
      </c>
      <c r="O637" s="59">
        <f>11.5601 * CHOOSE(CONTROL!$C$27, $C$14, 100%, $E$14)</f>
        <v>11.5601</v>
      </c>
    </row>
    <row r="638" spans="1:15" ht="15">
      <c r="A638" s="11">
        <v>60511</v>
      </c>
      <c r="B638" s="58">
        <f>9.9968 * CHOOSE(CONTROL!$C$27, $C$14, 100%, $E$14)</f>
        <v>9.9968000000000004</v>
      </c>
      <c r="C638" s="58">
        <f>9.9968 * CHOOSE(CONTROL!$C$27, $C$14, 100%, $E$14)</f>
        <v>9.9968000000000004</v>
      </c>
      <c r="D638" s="58">
        <f>10.0025 * CHOOSE(CONTROL!$C$27, $C$14, 100%, $E$14)</f>
        <v>10.0025</v>
      </c>
      <c r="E638" s="59">
        <f>11.5304 * CHOOSE(CONTROL!$C$27, $C$14, 100%, $E$14)</f>
        <v>11.5304</v>
      </c>
      <c r="F638" s="59">
        <f>11.5304 * CHOOSE(CONTROL!$C$27, $C$14, 100%, $E$14)</f>
        <v>11.5304</v>
      </c>
      <c r="G638" s="59">
        <f>11.5373 * CHOOSE(CONTROL!$C$27, $C$14, 100%, $E$14)</f>
        <v>11.5373</v>
      </c>
      <c r="H638" s="59">
        <f>21.3647* CHOOSE(CONTROL!$C$27, $C$14, 100%, $E$14)</f>
        <v>21.364699999999999</v>
      </c>
      <c r="I638" s="59">
        <f>21.3715 * CHOOSE(CONTROL!$C$27, $C$14, 100%, $E$14)</f>
        <v>21.371500000000001</v>
      </c>
      <c r="J638" s="59">
        <f>21.3647 * CHOOSE(CONTROL!$C$27, $C$14, 100%, $E$14)</f>
        <v>21.364699999999999</v>
      </c>
      <c r="K638" s="59">
        <f>21.3715 * CHOOSE(CONTROL!$C$27, $C$14, 100%, $E$14)</f>
        <v>21.371500000000001</v>
      </c>
      <c r="L638" s="59">
        <f>11.5304 * CHOOSE(CONTROL!$C$27, $C$14, 100%, $E$14)</f>
        <v>11.5304</v>
      </c>
      <c r="M638" s="59">
        <f>11.5373 * CHOOSE(CONTROL!$C$27, $C$14, 100%, $E$14)</f>
        <v>11.5373</v>
      </c>
      <c r="N638" s="59">
        <f>11.5304 * CHOOSE(CONTROL!$C$27, $C$14, 100%, $E$14)</f>
        <v>11.5304</v>
      </c>
      <c r="O638" s="59">
        <f>11.5373 * CHOOSE(CONTROL!$C$27, $C$14, 100%, $E$14)</f>
        <v>11.5373</v>
      </c>
    </row>
    <row r="639" spans="1:15" ht="15">
      <c r="A639" s="11">
        <v>60541</v>
      </c>
      <c r="B639" s="58">
        <f>10.0114 * CHOOSE(CONTROL!$C$27, $C$14, 100%, $E$14)</f>
        <v>10.0114</v>
      </c>
      <c r="C639" s="58">
        <f>10.0114 * CHOOSE(CONTROL!$C$27, $C$14, 100%, $E$14)</f>
        <v>10.0114</v>
      </c>
      <c r="D639" s="58">
        <f>10.0154 * CHOOSE(CONTROL!$C$27, $C$14, 100%, $E$14)</f>
        <v>10.0154</v>
      </c>
      <c r="E639" s="59">
        <f>11.5998 * CHOOSE(CONTROL!$C$27, $C$14, 100%, $E$14)</f>
        <v>11.5998</v>
      </c>
      <c r="F639" s="59">
        <f>11.5998 * CHOOSE(CONTROL!$C$27, $C$14, 100%, $E$14)</f>
        <v>11.5998</v>
      </c>
      <c r="G639" s="59">
        <f>11.6047 * CHOOSE(CONTROL!$C$27, $C$14, 100%, $E$14)</f>
        <v>11.604699999999999</v>
      </c>
      <c r="H639" s="59">
        <f>21.4092* CHOOSE(CONTROL!$C$27, $C$14, 100%, $E$14)</f>
        <v>21.409199999999998</v>
      </c>
      <c r="I639" s="59">
        <f>21.4141 * CHOOSE(CONTROL!$C$27, $C$14, 100%, $E$14)</f>
        <v>21.414100000000001</v>
      </c>
      <c r="J639" s="59">
        <f>21.4092 * CHOOSE(CONTROL!$C$27, $C$14, 100%, $E$14)</f>
        <v>21.409199999999998</v>
      </c>
      <c r="K639" s="59">
        <f>21.4141 * CHOOSE(CONTROL!$C$27, $C$14, 100%, $E$14)</f>
        <v>21.414100000000001</v>
      </c>
      <c r="L639" s="59">
        <f>11.5998 * CHOOSE(CONTROL!$C$27, $C$14, 100%, $E$14)</f>
        <v>11.5998</v>
      </c>
      <c r="M639" s="59">
        <f>11.6047 * CHOOSE(CONTROL!$C$27, $C$14, 100%, $E$14)</f>
        <v>11.604699999999999</v>
      </c>
      <c r="N639" s="59">
        <f>11.5998 * CHOOSE(CONTROL!$C$27, $C$14, 100%, $E$14)</f>
        <v>11.5998</v>
      </c>
      <c r="O639" s="59">
        <f>11.6047 * CHOOSE(CONTROL!$C$27, $C$14, 100%, $E$14)</f>
        <v>11.604699999999999</v>
      </c>
    </row>
    <row r="640" spans="1:15" ht="15">
      <c r="A640" s="11">
        <v>60572</v>
      </c>
      <c r="B640" s="58">
        <f>10.0144 * CHOOSE(CONTROL!$C$27, $C$14, 100%, $E$14)</f>
        <v>10.0144</v>
      </c>
      <c r="C640" s="58">
        <f>10.0144 * CHOOSE(CONTROL!$C$27, $C$14, 100%, $E$14)</f>
        <v>10.0144</v>
      </c>
      <c r="D640" s="58">
        <f>10.0184 * CHOOSE(CONTROL!$C$27, $C$14, 100%, $E$14)</f>
        <v>10.0184</v>
      </c>
      <c r="E640" s="59">
        <f>11.6434 * CHOOSE(CONTROL!$C$27, $C$14, 100%, $E$14)</f>
        <v>11.6434</v>
      </c>
      <c r="F640" s="59">
        <f>11.6434 * CHOOSE(CONTROL!$C$27, $C$14, 100%, $E$14)</f>
        <v>11.6434</v>
      </c>
      <c r="G640" s="59">
        <f>11.6483 * CHOOSE(CONTROL!$C$27, $C$14, 100%, $E$14)</f>
        <v>11.648300000000001</v>
      </c>
      <c r="H640" s="59">
        <f>21.4538* CHOOSE(CONTROL!$C$27, $C$14, 100%, $E$14)</f>
        <v>21.453800000000001</v>
      </c>
      <c r="I640" s="59">
        <f>21.4587 * CHOOSE(CONTROL!$C$27, $C$14, 100%, $E$14)</f>
        <v>21.4587</v>
      </c>
      <c r="J640" s="59">
        <f>21.4538 * CHOOSE(CONTROL!$C$27, $C$14, 100%, $E$14)</f>
        <v>21.453800000000001</v>
      </c>
      <c r="K640" s="59">
        <f>21.4587 * CHOOSE(CONTROL!$C$27, $C$14, 100%, $E$14)</f>
        <v>21.4587</v>
      </c>
      <c r="L640" s="59">
        <f>11.6434 * CHOOSE(CONTROL!$C$27, $C$14, 100%, $E$14)</f>
        <v>11.6434</v>
      </c>
      <c r="M640" s="59">
        <f>11.6483 * CHOOSE(CONTROL!$C$27, $C$14, 100%, $E$14)</f>
        <v>11.648300000000001</v>
      </c>
      <c r="N640" s="59">
        <f>11.6434 * CHOOSE(CONTROL!$C$27, $C$14, 100%, $E$14)</f>
        <v>11.6434</v>
      </c>
      <c r="O640" s="59">
        <f>11.6483 * CHOOSE(CONTROL!$C$27, $C$14, 100%, $E$14)</f>
        <v>11.648300000000001</v>
      </c>
    </row>
    <row r="641" spans="1:15" ht="15">
      <c r="A641" s="11">
        <v>60602</v>
      </c>
      <c r="B641" s="58">
        <f>10.0144 * CHOOSE(CONTROL!$C$27, $C$14, 100%, $E$14)</f>
        <v>10.0144</v>
      </c>
      <c r="C641" s="58">
        <f>10.0144 * CHOOSE(CONTROL!$C$27, $C$14, 100%, $E$14)</f>
        <v>10.0144</v>
      </c>
      <c r="D641" s="58">
        <f>10.0184 * CHOOSE(CONTROL!$C$27, $C$14, 100%, $E$14)</f>
        <v>10.0184</v>
      </c>
      <c r="E641" s="59">
        <f>11.5398 * CHOOSE(CONTROL!$C$27, $C$14, 100%, $E$14)</f>
        <v>11.5398</v>
      </c>
      <c r="F641" s="59">
        <f>11.5398 * CHOOSE(CONTROL!$C$27, $C$14, 100%, $E$14)</f>
        <v>11.5398</v>
      </c>
      <c r="G641" s="59">
        <f>11.5447 * CHOOSE(CONTROL!$C$27, $C$14, 100%, $E$14)</f>
        <v>11.544700000000001</v>
      </c>
      <c r="H641" s="59">
        <f>21.4985* CHOOSE(CONTROL!$C$27, $C$14, 100%, $E$14)</f>
        <v>21.4985</v>
      </c>
      <c r="I641" s="59">
        <f>21.5034 * CHOOSE(CONTROL!$C$27, $C$14, 100%, $E$14)</f>
        <v>21.503399999999999</v>
      </c>
      <c r="J641" s="59">
        <f>21.4985 * CHOOSE(CONTROL!$C$27, $C$14, 100%, $E$14)</f>
        <v>21.4985</v>
      </c>
      <c r="K641" s="59">
        <f>21.5034 * CHOOSE(CONTROL!$C$27, $C$14, 100%, $E$14)</f>
        <v>21.503399999999999</v>
      </c>
      <c r="L641" s="59">
        <f>11.5398 * CHOOSE(CONTROL!$C$27, $C$14, 100%, $E$14)</f>
        <v>11.5398</v>
      </c>
      <c r="M641" s="59">
        <f>11.5447 * CHOOSE(CONTROL!$C$27, $C$14, 100%, $E$14)</f>
        <v>11.544700000000001</v>
      </c>
      <c r="N641" s="59">
        <f>11.5398 * CHOOSE(CONTROL!$C$27, $C$14, 100%, $E$14)</f>
        <v>11.5398</v>
      </c>
      <c r="O641" s="59">
        <f>11.5447 * CHOOSE(CONTROL!$C$27, $C$14, 100%, $E$14)</f>
        <v>11.544700000000001</v>
      </c>
    </row>
    <row r="642" spans="1:15" ht="15">
      <c r="A642" s="11">
        <v>60633</v>
      </c>
      <c r="B642" s="58">
        <f>10.074 * CHOOSE(CONTROL!$C$27, $C$14, 100%, $E$14)</f>
        <v>10.074</v>
      </c>
      <c r="C642" s="58">
        <f>10.074 * CHOOSE(CONTROL!$C$27, $C$14, 100%, $E$14)</f>
        <v>10.074</v>
      </c>
      <c r="D642" s="58">
        <f>10.078 * CHOOSE(CONTROL!$C$27, $C$14, 100%, $E$14)</f>
        <v>10.077999999999999</v>
      </c>
      <c r="E642" s="59">
        <f>11.6826 * CHOOSE(CONTROL!$C$27, $C$14, 100%, $E$14)</f>
        <v>11.682600000000001</v>
      </c>
      <c r="F642" s="59">
        <f>11.6826 * CHOOSE(CONTROL!$C$27, $C$14, 100%, $E$14)</f>
        <v>11.682600000000001</v>
      </c>
      <c r="G642" s="59">
        <f>11.6876 * CHOOSE(CONTROL!$C$27, $C$14, 100%, $E$14)</f>
        <v>11.6876</v>
      </c>
      <c r="H642" s="59">
        <f>21.4944* CHOOSE(CONTROL!$C$27, $C$14, 100%, $E$14)</f>
        <v>21.494399999999999</v>
      </c>
      <c r="I642" s="59">
        <f>21.4994 * CHOOSE(CONTROL!$C$27, $C$14, 100%, $E$14)</f>
        <v>21.499400000000001</v>
      </c>
      <c r="J642" s="59">
        <f>21.4944 * CHOOSE(CONTROL!$C$27, $C$14, 100%, $E$14)</f>
        <v>21.494399999999999</v>
      </c>
      <c r="K642" s="59">
        <f>21.4994 * CHOOSE(CONTROL!$C$27, $C$14, 100%, $E$14)</f>
        <v>21.499400000000001</v>
      </c>
      <c r="L642" s="59">
        <f>11.6826 * CHOOSE(CONTROL!$C$27, $C$14, 100%, $E$14)</f>
        <v>11.682600000000001</v>
      </c>
      <c r="M642" s="59">
        <f>11.6876 * CHOOSE(CONTROL!$C$27, $C$14, 100%, $E$14)</f>
        <v>11.6876</v>
      </c>
      <c r="N642" s="59">
        <f>11.6826 * CHOOSE(CONTROL!$C$27, $C$14, 100%, $E$14)</f>
        <v>11.682600000000001</v>
      </c>
      <c r="O642" s="59">
        <f>11.6876 * CHOOSE(CONTROL!$C$27, $C$14, 100%, $E$14)</f>
        <v>11.6876</v>
      </c>
    </row>
    <row r="643" spans="1:15" ht="15">
      <c r="A643" s="11">
        <v>60664</v>
      </c>
      <c r="B643" s="58">
        <f>10.071 * CHOOSE(CONTROL!$C$27, $C$14, 100%, $E$14)</f>
        <v>10.071</v>
      </c>
      <c r="C643" s="58">
        <f>10.071 * CHOOSE(CONTROL!$C$27, $C$14, 100%, $E$14)</f>
        <v>10.071</v>
      </c>
      <c r="D643" s="58">
        <f>10.075 * CHOOSE(CONTROL!$C$27, $C$14, 100%, $E$14)</f>
        <v>10.074999999999999</v>
      </c>
      <c r="E643" s="59">
        <f>11.4799 * CHOOSE(CONTROL!$C$27, $C$14, 100%, $E$14)</f>
        <v>11.479900000000001</v>
      </c>
      <c r="F643" s="59">
        <f>11.4799 * CHOOSE(CONTROL!$C$27, $C$14, 100%, $E$14)</f>
        <v>11.479900000000001</v>
      </c>
      <c r="G643" s="59">
        <f>11.4848 * CHOOSE(CONTROL!$C$27, $C$14, 100%, $E$14)</f>
        <v>11.4848</v>
      </c>
      <c r="H643" s="59">
        <f>21.5392* CHOOSE(CONTROL!$C$27, $C$14, 100%, $E$14)</f>
        <v>21.539200000000001</v>
      </c>
      <c r="I643" s="59">
        <f>21.5441 * CHOOSE(CONTROL!$C$27, $C$14, 100%, $E$14)</f>
        <v>21.5441</v>
      </c>
      <c r="J643" s="59">
        <f>21.5392 * CHOOSE(CONTROL!$C$27, $C$14, 100%, $E$14)</f>
        <v>21.539200000000001</v>
      </c>
      <c r="K643" s="59">
        <f>21.5441 * CHOOSE(CONTROL!$C$27, $C$14, 100%, $E$14)</f>
        <v>21.5441</v>
      </c>
      <c r="L643" s="59">
        <f>11.4799 * CHOOSE(CONTROL!$C$27, $C$14, 100%, $E$14)</f>
        <v>11.479900000000001</v>
      </c>
      <c r="M643" s="59">
        <f>11.4848 * CHOOSE(CONTROL!$C$27, $C$14, 100%, $E$14)</f>
        <v>11.4848</v>
      </c>
      <c r="N643" s="59">
        <f>11.4799 * CHOOSE(CONTROL!$C$27, $C$14, 100%, $E$14)</f>
        <v>11.479900000000001</v>
      </c>
      <c r="O643" s="59">
        <f>11.4848 * CHOOSE(CONTROL!$C$27, $C$14, 100%, $E$14)</f>
        <v>11.4848</v>
      </c>
    </row>
    <row r="644" spans="1:15" ht="15">
      <c r="A644" s="11">
        <v>60692</v>
      </c>
      <c r="B644" s="58">
        <f>10.068 * CHOOSE(CONTROL!$C$27, $C$14, 100%, $E$14)</f>
        <v>10.068</v>
      </c>
      <c r="C644" s="58">
        <f>10.068 * CHOOSE(CONTROL!$C$27, $C$14, 100%, $E$14)</f>
        <v>10.068</v>
      </c>
      <c r="D644" s="58">
        <f>10.072 * CHOOSE(CONTROL!$C$27, $C$14, 100%, $E$14)</f>
        <v>10.071999999999999</v>
      </c>
      <c r="E644" s="59">
        <f>11.6359 * CHOOSE(CONTROL!$C$27, $C$14, 100%, $E$14)</f>
        <v>11.635899999999999</v>
      </c>
      <c r="F644" s="59">
        <f>11.6359 * CHOOSE(CONTROL!$C$27, $C$14, 100%, $E$14)</f>
        <v>11.635899999999999</v>
      </c>
      <c r="G644" s="59">
        <f>11.6409 * CHOOSE(CONTROL!$C$27, $C$14, 100%, $E$14)</f>
        <v>11.6409</v>
      </c>
      <c r="H644" s="59">
        <f>21.5841* CHOOSE(CONTROL!$C$27, $C$14, 100%, $E$14)</f>
        <v>21.584099999999999</v>
      </c>
      <c r="I644" s="59">
        <f>21.589 * CHOOSE(CONTROL!$C$27, $C$14, 100%, $E$14)</f>
        <v>21.588999999999999</v>
      </c>
      <c r="J644" s="59">
        <f>21.5841 * CHOOSE(CONTROL!$C$27, $C$14, 100%, $E$14)</f>
        <v>21.584099999999999</v>
      </c>
      <c r="K644" s="59">
        <f>21.589 * CHOOSE(CONTROL!$C$27, $C$14, 100%, $E$14)</f>
        <v>21.588999999999999</v>
      </c>
      <c r="L644" s="59">
        <f>11.6359 * CHOOSE(CONTROL!$C$27, $C$14, 100%, $E$14)</f>
        <v>11.635899999999999</v>
      </c>
      <c r="M644" s="59">
        <f>11.6409 * CHOOSE(CONTROL!$C$27, $C$14, 100%, $E$14)</f>
        <v>11.6409</v>
      </c>
      <c r="N644" s="59">
        <f>11.6359 * CHOOSE(CONTROL!$C$27, $C$14, 100%, $E$14)</f>
        <v>11.635899999999999</v>
      </c>
      <c r="O644" s="59">
        <f>11.6409 * CHOOSE(CONTROL!$C$27, $C$14, 100%, $E$14)</f>
        <v>11.6409</v>
      </c>
    </row>
    <row r="645" spans="1:15" ht="15">
      <c r="A645" s="11">
        <v>60723</v>
      </c>
      <c r="B645" s="58">
        <f>10.0707 * CHOOSE(CONTROL!$C$27, $C$14, 100%, $E$14)</f>
        <v>10.0707</v>
      </c>
      <c r="C645" s="58">
        <f>10.0707 * CHOOSE(CONTROL!$C$27, $C$14, 100%, $E$14)</f>
        <v>10.0707</v>
      </c>
      <c r="D645" s="58">
        <f>10.0747 * CHOOSE(CONTROL!$C$27, $C$14, 100%, $E$14)</f>
        <v>10.0747</v>
      </c>
      <c r="E645" s="59">
        <f>11.8016 * CHOOSE(CONTROL!$C$27, $C$14, 100%, $E$14)</f>
        <v>11.801600000000001</v>
      </c>
      <c r="F645" s="59">
        <f>11.8016 * CHOOSE(CONTROL!$C$27, $C$14, 100%, $E$14)</f>
        <v>11.801600000000001</v>
      </c>
      <c r="G645" s="59">
        <f>11.8065 * CHOOSE(CONTROL!$C$27, $C$14, 100%, $E$14)</f>
        <v>11.8065</v>
      </c>
      <c r="H645" s="59">
        <f>21.6291* CHOOSE(CONTROL!$C$27, $C$14, 100%, $E$14)</f>
        <v>21.629100000000001</v>
      </c>
      <c r="I645" s="59">
        <f>21.634 * CHOOSE(CONTROL!$C$27, $C$14, 100%, $E$14)</f>
        <v>21.634</v>
      </c>
      <c r="J645" s="59">
        <f>21.6291 * CHOOSE(CONTROL!$C$27, $C$14, 100%, $E$14)</f>
        <v>21.629100000000001</v>
      </c>
      <c r="K645" s="59">
        <f>21.634 * CHOOSE(CONTROL!$C$27, $C$14, 100%, $E$14)</f>
        <v>21.634</v>
      </c>
      <c r="L645" s="59">
        <f>11.8016 * CHOOSE(CONTROL!$C$27, $C$14, 100%, $E$14)</f>
        <v>11.801600000000001</v>
      </c>
      <c r="M645" s="59">
        <f>11.8065 * CHOOSE(CONTROL!$C$27, $C$14, 100%, $E$14)</f>
        <v>11.8065</v>
      </c>
      <c r="N645" s="59">
        <f>11.8016 * CHOOSE(CONTROL!$C$27, $C$14, 100%, $E$14)</f>
        <v>11.801600000000001</v>
      </c>
      <c r="O645" s="59">
        <f>11.8065 * CHOOSE(CONTROL!$C$27, $C$14, 100%, $E$14)</f>
        <v>11.8065</v>
      </c>
    </row>
    <row r="646" spans="1:15" ht="15">
      <c r="A646" s="11">
        <v>60753</v>
      </c>
      <c r="B646" s="58">
        <f>10.0707 * CHOOSE(CONTROL!$C$27, $C$14, 100%, $E$14)</f>
        <v>10.0707</v>
      </c>
      <c r="C646" s="58">
        <f>10.0707 * CHOOSE(CONTROL!$C$27, $C$14, 100%, $E$14)</f>
        <v>10.0707</v>
      </c>
      <c r="D646" s="58">
        <f>10.0764 * CHOOSE(CONTROL!$C$27, $C$14, 100%, $E$14)</f>
        <v>10.0764</v>
      </c>
      <c r="E646" s="59">
        <f>11.8653 * CHOOSE(CONTROL!$C$27, $C$14, 100%, $E$14)</f>
        <v>11.8653</v>
      </c>
      <c r="F646" s="59">
        <f>11.8653 * CHOOSE(CONTROL!$C$27, $C$14, 100%, $E$14)</f>
        <v>11.8653</v>
      </c>
      <c r="G646" s="59">
        <f>11.8722 * CHOOSE(CONTROL!$C$27, $C$14, 100%, $E$14)</f>
        <v>11.872199999999999</v>
      </c>
      <c r="H646" s="59">
        <f>21.6741* CHOOSE(CONTROL!$C$27, $C$14, 100%, $E$14)</f>
        <v>21.674099999999999</v>
      </c>
      <c r="I646" s="59">
        <f>21.681 * CHOOSE(CONTROL!$C$27, $C$14, 100%, $E$14)</f>
        <v>21.681000000000001</v>
      </c>
      <c r="J646" s="59">
        <f>21.6741 * CHOOSE(CONTROL!$C$27, $C$14, 100%, $E$14)</f>
        <v>21.674099999999999</v>
      </c>
      <c r="K646" s="59">
        <f>21.681 * CHOOSE(CONTROL!$C$27, $C$14, 100%, $E$14)</f>
        <v>21.681000000000001</v>
      </c>
      <c r="L646" s="59">
        <f>11.8653 * CHOOSE(CONTROL!$C$27, $C$14, 100%, $E$14)</f>
        <v>11.8653</v>
      </c>
      <c r="M646" s="59">
        <f>11.8722 * CHOOSE(CONTROL!$C$27, $C$14, 100%, $E$14)</f>
        <v>11.872199999999999</v>
      </c>
      <c r="N646" s="59">
        <f>11.8653 * CHOOSE(CONTROL!$C$27, $C$14, 100%, $E$14)</f>
        <v>11.8653</v>
      </c>
      <c r="O646" s="59">
        <f>11.8722 * CHOOSE(CONTROL!$C$27, $C$14, 100%, $E$14)</f>
        <v>11.872199999999999</v>
      </c>
    </row>
    <row r="647" spans="1:15" ht="15">
      <c r="A647" s="11">
        <v>60784</v>
      </c>
      <c r="B647" s="58">
        <f>10.0768 * CHOOSE(CONTROL!$C$27, $C$14, 100%, $E$14)</f>
        <v>10.0768</v>
      </c>
      <c r="C647" s="58">
        <f>10.0768 * CHOOSE(CONTROL!$C$27, $C$14, 100%, $E$14)</f>
        <v>10.0768</v>
      </c>
      <c r="D647" s="58">
        <f>10.0824 * CHOOSE(CONTROL!$C$27, $C$14, 100%, $E$14)</f>
        <v>10.0824</v>
      </c>
      <c r="E647" s="59">
        <f>11.8058 * CHOOSE(CONTROL!$C$27, $C$14, 100%, $E$14)</f>
        <v>11.8058</v>
      </c>
      <c r="F647" s="59">
        <f>11.8058 * CHOOSE(CONTROL!$C$27, $C$14, 100%, $E$14)</f>
        <v>11.8058</v>
      </c>
      <c r="G647" s="59">
        <f>11.8127 * CHOOSE(CONTROL!$C$27, $C$14, 100%, $E$14)</f>
        <v>11.8127</v>
      </c>
      <c r="H647" s="59">
        <f>21.7193* CHOOSE(CONTROL!$C$27, $C$14, 100%, $E$14)</f>
        <v>21.7193</v>
      </c>
      <c r="I647" s="59">
        <f>21.7262 * CHOOSE(CONTROL!$C$27, $C$14, 100%, $E$14)</f>
        <v>21.726199999999999</v>
      </c>
      <c r="J647" s="59">
        <f>21.7193 * CHOOSE(CONTROL!$C$27, $C$14, 100%, $E$14)</f>
        <v>21.7193</v>
      </c>
      <c r="K647" s="59">
        <f>21.7262 * CHOOSE(CONTROL!$C$27, $C$14, 100%, $E$14)</f>
        <v>21.726199999999999</v>
      </c>
      <c r="L647" s="59">
        <f>11.8058 * CHOOSE(CONTROL!$C$27, $C$14, 100%, $E$14)</f>
        <v>11.8058</v>
      </c>
      <c r="M647" s="59">
        <f>11.8127 * CHOOSE(CONTROL!$C$27, $C$14, 100%, $E$14)</f>
        <v>11.8127</v>
      </c>
      <c r="N647" s="59">
        <f>11.8058 * CHOOSE(CONTROL!$C$27, $C$14, 100%, $E$14)</f>
        <v>11.8058</v>
      </c>
      <c r="O647" s="59">
        <f>11.8127 * CHOOSE(CONTROL!$C$27, $C$14, 100%, $E$14)</f>
        <v>11.8127</v>
      </c>
    </row>
    <row r="648" spans="1:15" ht="15">
      <c r="A648" s="11">
        <v>60814</v>
      </c>
      <c r="B648" s="58">
        <f>10.2324 * CHOOSE(CONTROL!$C$27, $C$14, 100%, $E$14)</f>
        <v>10.2324</v>
      </c>
      <c r="C648" s="58">
        <f>10.2324 * CHOOSE(CONTROL!$C$27, $C$14, 100%, $E$14)</f>
        <v>10.2324</v>
      </c>
      <c r="D648" s="58">
        <f>10.238 * CHOOSE(CONTROL!$C$27, $C$14, 100%, $E$14)</f>
        <v>10.238</v>
      </c>
      <c r="E648" s="59">
        <f>11.9967 * CHOOSE(CONTROL!$C$27, $C$14, 100%, $E$14)</f>
        <v>11.996700000000001</v>
      </c>
      <c r="F648" s="59">
        <f>11.9967 * CHOOSE(CONTROL!$C$27, $C$14, 100%, $E$14)</f>
        <v>11.996700000000001</v>
      </c>
      <c r="G648" s="59">
        <f>12.0036 * CHOOSE(CONTROL!$C$27, $C$14, 100%, $E$14)</f>
        <v>12.0036</v>
      </c>
      <c r="H648" s="59">
        <f>21.7645* CHOOSE(CONTROL!$C$27, $C$14, 100%, $E$14)</f>
        <v>21.764500000000002</v>
      </c>
      <c r="I648" s="59">
        <f>21.7714 * CHOOSE(CONTROL!$C$27, $C$14, 100%, $E$14)</f>
        <v>21.7714</v>
      </c>
      <c r="J648" s="59">
        <f>21.7645 * CHOOSE(CONTROL!$C$27, $C$14, 100%, $E$14)</f>
        <v>21.764500000000002</v>
      </c>
      <c r="K648" s="59">
        <f>21.7714 * CHOOSE(CONTROL!$C$27, $C$14, 100%, $E$14)</f>
        <v>21.7714</v>
      </c>
      <c r="L648" s="59">
        <f>11.9967 * CHOOSE(CONTROL!$C$27, $C$14, 100%, $E$14)</f>
        <v>11.996700000000001</v>
      </c>
      <c r="M648" s="59">
        <f>12.0036 * CHOOSE(CONTROL!$C$27, $C$14, 100%, $E$14)</f>
        <v>12.0036</v>
      </c>
      <c r="N648" s="59">
        <f>11.9967 * CHOOSE(CONTROL!$C$27, $C$14, 100%, $E$14)</f>
        <v>11.996700000000001</v>
      </c>
      <c r="O648" s="59">
        <f>12.0036 * CHOOSE(CONTROL!$C$27, $C$14, 100%, $E$14)</f>
        <v>12.0036</v>
      </c>
    </row>
    <row r="649" spans="1:15" ht="15">
      <c r="A649" s="11">
        <v>60845</v>
      </c>
      <c r="B649" s="58">
        <f>10.2391 * CHOOSE(CONTROL!$C$27, $C$14, 100%, $E$14)</f>
        <v>10.239100000000001</v>
      </c>
      <c r="C649" s="58">
        <f>10.2391 * CHOOSE(CONTROL!$C$27, $C$14, 100%, $E$14)</f>
        <v>10.239100000000001</v>
      </c>
      <c r="D649" s="58">
        <f>10.2447 * CHOOSE(CONTROL!$C$27, $C$14, 100%, $E$14)</f>
        <v>10.2447</v>
      </c>
      <c r="E649" s="59">
        <f>11.8103 * CHOOSE(CONTROL!$C$27, $C$14, 100%, $E$14)</f>
        <v>11.8103</v>
      </c>
      <c r="F649" s="59">
        <f>11.8103 * CHOOSE(CONTROL!$C$27, $C$14, 100%, $E$14)</f>
        <v>11.8103</v>
      </c>
      <c r="G649" s="59">
        <f>11.8172 * CHOOSE(CONTROL!$C$27, $C$14, 100%, $E$14)</f>
        <v>11.8172</v>
      </c>
      <c r="H649" s="59">
        <f>21.8099* CHOOSE(CONTROL!$C$27, $C$14, 100%, $E$14)</f>
        <v>21.809899999999999</v>
      </c>
      <c r="I649" s="59">
        <f>21.8168 * CHOOSE(CONTROL!$C$27, $C$14, 100%, $E$14)</f>
        <v>21.816800000000001</v>
      </c>
      <c r="J649" s="59">
        <f>21.8099 * CHOOSE(CONTROL!$C$27, $C$14, 100%, $E$14)</f>
        <v>21.809899999999999</v>
      </c>
      <c r="K649" s="59">
        <f>21.8168 * CHOOSE(CONTROL!$C$27, $C$14, 100%, $E$14)</f>
        <v>21.816800000000001</v>
      </c>
      <c r="L649" s="59">
        <f>11.8103 * CHOOSE(CONTROL!$C$27, $C$14, 100%, $E$14)</f>
        <v>11.8103</v>
      </c>
      <c r="M649" s="59">
        <f>11.8172 * CHOOSE(CONTROL!$C$27, $C$14, 100%, $E$14)</f>
        <v>11.8172</v>
      </c>
      <c r="N649" s="59">
        <f>11.8103 * CHOOSE(CONTROL!$C$27, $C$14, 100%, $E$14)</f>
        <v>11.8103</v>
      </c>
      <c r="O649" s="59">
        <f>11.8172 * CHOOSE(CONTROL!$C$27, $C$14, 100%, $E$14)</f>
        <v>11.8172</v>
      </c>
    </row>
    <row r="650" spans="1:15" ht="15">
      <c r="A650" s="11">
        <v>60876</v>
      </c>
      <c r="B650" s="58">
        <f>10.236 * CHOOSE(CONTROL!$C$27, $C$14, 100%, $E$14)</f>
        <v>10.236000000000001</v>
      </c>
      <c r="C650" s="58">
        <f>10.236 * CHOOSE(CONTROL!$C$27, $C$14, 100%, $E$14)</f>
        <v>10.236000000000001</v>
      </c>
      <c r="D650" s="58">
        <f>10.2417 * CHOOSE(CONTROL!$C$27, $C$14, 100%, $E$14)</f>
        <v>10.2417</v>
      </c>
      <c r="E650" s="59">
        <f>11.7869 * CHOOSE(CONTROL!$C$27, $C$14, 100%, $E$14)</f>
        <v>11.786899999999999</v>
      </c>
      <c r="F650" s="59">
        <f>11.7869 * CHOOSE(CONTROL!$C$27, $C$14, 100%, $E$14)</f>
        <v>11.786899999999999</v>
      </c>
      <c r="G650" s="59">
        <f>11.7938 * CHOOSE(CONTROL!$C$27, $C$14, 100%, $E$14)</f>
        <v>11.793799999999999</v>
      </c>
      <c r="H650" s="59">
        <f>21.8553* CHOOSE(CONTROL!$C$27, $C$14, 100%, $E$14)</f>
        <v>21.8553</v>
      </c>
      <c r="I650" s="59">
        <f>21.8622 * CHOOSE(CONTROL!$C$27, $C$14, 100%, $E$14)</f>
        <v>21.862200000000001</v>
      </c>
      <c r="J650" s="59">
        <f>21.8553 * CHOOSE(CONTROL!$C$27, $C$14, 100%, $E$14)</f>
        <v>21.8553</v>
      </c>
      <c r="K650" s="59">
        <f>21.8622 * CHOOSE(CONTROL!$C$27, $C$14, 100%, $E$14)</f>
        <v>21.862200000000001</v>
      </c>
      <c r="L650" s="59">
        <f>11.7869 * CHOOSE(CONTROL!$C$27, $C$14, 100%, $E$14)</f>
        <v>11.786899999999999</v>
      </c>
      <c r="M650" s="59">
        <f>11.7938 * CHOOSE(CONTROL!$C$27, $C$14, 100%, $E$14)</f>
        <v>11.793799999999999</v>
      </c>
      <c r="N650" s="59">
        <f>11.7869 * CHOOSE(CONTROL!$C$27, $C$14, 100%, $E$14)</f>
        <v>11.786899999999999</v>
      </c>
      <c r="O650" s="59">
        <f>11.7938 * CHOOSE(CONTROL!$C$27, $C$14, 100%, $E$14)</f>
        <v>11.793799999999999</v>
      </c>
    </row>
    <row r="651" spans="1:15" ht="15">
      <c r="A651" s="11">
        <v>60906</v>
      </c>
      <c r="B651" s="58">
        <f>10.2513 * CHOOSE(CONTROL!$C$27, $C$14, 100%, $E$14)</f>
        <v>10.251300000000001</v>
      </c>
      <c r="C651" s="58">
        <f>10.2513 * CHOOSE(CONTROL!$C$27, $C$14, 100%, $E$14)</f>
        <v>10.251300000000001</v>
      </c>
      <c r="D651" s="58">
        <f>10.2553 * CHOOSE(CONTROL!$C$27, $C$14, 100%, $E$14)</f>
        <v>10.2553</v>
      </c>
      <c r="E651" s="59">
        <f>11.8585 * CHOOSE(CONTROL!$C$27, $C$14, 100%, $E$14)</f>
        <v>11.858499999999999</v>
      </c>
      <c r="F651" s="59">
        <f>11.8585 * CHOOSE(CONTROL!$C$27, $C$14, 100%, $E$14)</f>
        <v>11.858499999999999</v>
      </c>
      <c r="G651" s="59">
        <f>11.8634 * CHOOSE(CONTROL!$C$27, $C$14, 100%, $E$14)</f>
        <v>11.8634</v>
      </c>
      <c r="H651" s="59">
        <f>21.9008* CHOOSE(CONTROL!$C$27, $C$14, 100%, $E$14)</f>
        <v>21.9008</v>
      </c>
      <c r="I651" s="59">
        <f>21.9058 * CHOOSE(CONTROL!$C$27, $C$14, 100%, $E$14)</f>
        <v>21.905799999999999</v>
      </c>
      <c r="J651" s="59">
        <f>21.9008 * CHOOSE(CONTROL!$C$27, $C$14, 100%, $E$14)</f>
        <v>21.9008</v>
      </c>
      <c r="K651" s="59">
        <f>21.9058 * CHOOSE(CONTROL!$C$27, $C$14, 100%, $E$14)</f>
        <v>21.905799999999999</v>
      </c>
      <c r="L651" s="59">
        <f>11.8585 * CHOOSE(CONTROL!$C$27, $C$14, 100%, $E$14)</f>
        <v>11.858499999999999</v>
      </c>
      <c r="M651" s="59">
        <f>11.8634 * CHOOSE(CONTROL!$C$27, $C$14, 100%, $E$14)</f>
        <v>11.8634</v>
      </c>
      <c r="N651" s="59">
        <f>11.8585 * CHOOSE(CONTROL!$C$27, $C$14, 100%, $E$14)</f>
        <v>11.858499999999999</v>
      </c>
      <c r="O651" s="59">
        <f>11.8634 * CHOOSE(CONTROL!$C$27, $C$14, 100%, $E$14)</f>
        <v>11.8634</v>
      </c>
    </row>
    <row r="652" spans="1:15" ht="15">
      <c r="A652" s="11">
        <v>60937</v>
      </c>
      <c r="B652" s="58">
        <f>10.2544 * CHOOSE(CONTROL!$C$27, $C$14, 100%, $E$14)</f>
        <v>10.2544</v>
      </c>
      <c r="C652" s="58">
        <f>10.2544 * CHOOSE(CONTROL!$C$27, $C$14, 100%, $E$14)</f>
        <v>10.2544</v>
      </c>
      <c r="D652" s="58">
        <f>10.2584 * CHOOSE(CONTROL!$C$27, $C$14, 100%, $E$14)</f>
        <v>10.2584</v>
      </c>
      <c r="E652" s="59">
        <f>11.903 * CHOOSE(CONTROL!$C$27, $C$14, 100%, $E$14)</f>
        <v>11.903</v>
      </c>
      <c r="F652" s="59">
        <f>11.903 * CHOOSE(CONTROL!$C$27, $C$14, 100%, $E$14)</f>
        <v>11.903</v>
      </c>
      <c r="G652" s="59">
        <f>11.908 * CHOOSE(CONTROL!$C$27, $C$14, 100%, $E$14)</f>
        <v>11.907999999999999</v>
      </c>
      <c r="H652" s="59">
        <f>21.9465* CHOOSE(CONTROL!$C$27, $C$14, 100%, $E$14)</f>
        <v>21.9465</v>
      </c>
      <c r="I652" s="59">
        <f>21.9514 * CHOOSE(CONTROL!$C$27, $C$14, 100%, $E$14)</f>
        <v>21.9514</v>
      </c>
      <c r="J652" s="59">
        <f>21.9465 * CHOOSE(CONTROL!$C$27, $C$14, 100%, $E$14)</f>
        <v>21.9465</v>
      </c>
      <c r="K652" s="59">
        <f>21.9514 * CHOOSE(CONTROL!$C$27, $C$14, 100%, $E$14)</f>
        <v>21.9514</v>
      </c>
      <c r="L652" s="59">
        <f>11.903 * CHOOSE(CONTROL!$C$27, $C$14, 100%, $E$14)</f>
        <v>11.903</v>
      </c>
      <c r="M652" s="59">
        <f>11.908 * CHOOSE(CONTROL!$C$27, $C$14, 100%, $E$14)</f>
        <v>11.907999999999999</v>
      </c>
      <c r="N652" s="59">
        <f>11.903 * CHOOSE(CONTROL!$C$27, $C$14, 100%, $E$14)</f>
        <v>11.903</v>
      </c>
      <c r="O652" s="59">
        <f>11.908 * CHOOSE(CONTROL!$C$27, $C$14, 100%, $E$14)</f>
        <v>11.907999999999999</v>
      </c>
    </row>
    <row r="653" spans="1:15" ht="15">
      <c r="A653" s="11">
        <v>60967</v>
      </c>
      <c r="B653" s="58">
        <f>10.2544 * CHOOSE(CONTROL!$C$27, $C$14, 100%, $E$14)</f>
        <v>10.2544</v>
      </c>
      <c r="C653" s="58">
        <f>10.2544 * CHOOSE(CONTROL!$C$27, $C$14, 100%, $E$14)</f>
        <v>10.2544</v>
      </c>
      <c r="D653" s="58">
        <f>10.2584 * CHOOSE(CONTROL!$C$27, $C$14, 100%, $E$14)</f>
        <v>10.2584</v>
      </c>
      <c r="E653" s="59">
        <f>11.7969 * CHOOSE(CONTROL!$C$27, $C$14, 100%, $E$14)</f>
        <v>11.796900000000001</v>
      </c>
      <c r="F653" s="59">
        <f>11.7969 * CHOOSE(CONTROL!$C$27, $C$14, 100%, $E$14)</f>
        <v>11.796900000000001</v>
      </c>
      <c r="G653" s="59">
        <f>11.8018 * CHOOSE(CONTROL!$C$27, $C$14, 100%, $E$14)</f>
        <v>11.8018</v>
      </c>
      <c r="H653" s="59">
        <f>21.9922* CHOOSE(CONTROL!$C$27, $C$14, 100%, $E$14)</f>
        <v>21.9922</v>
      </c>
      <c r="I653" s="59">
        <f>21.9971 * CHOOSE(CONTROL!$C$27, $C$14, 100%, $E$14)</f>
        <v>21.9971</v>
      </c>
      <c r="J653" s="59">
        <f>21.9922 * CHOOSE(CONTROL!$C$27, $C$14, 100%, $E$14)</f>
        <v>21.9922</v>
      </c>
      <c r="K653" s="59">
        <f>21.9971 * CHOOSE(CONTROL!$C$27, $C$14, 100%, $E$14)</f>
        <v>21.9971</v>
      </c>
      <c r="L653" s="59">
        <f>11.7969 * CHOOSE(CONTROL!$C$27, $C$14, 100%, $E$14)</f>
        <v>11.796900000000001</v>
      </c>
      <c r="M653" s="59">
        <f>11.8018 * CHOOSE(CONTROL!$C$27, $C$14, 100%, $E$14)</f>
        <v>11.8018</v>
      </c>
      <c r="N653" s="59">
        <f>11.7969 * CHOOSE(CONTROL!$C$27, $C$14, 100%, $E$14)</f>
        <v>11.796900000000001</v>
      </c>
      <c r="O653" s="59">
        <f>11.8018 * CHOOSE(CONTROL!$C$27, $C$14, 100%, $E$14)</f>
        <v>11.8018</v>
      </c>
    </row>
    <row r="654" spans="1:15" ht="15">
      <c r="A654" s="11">
        <v>60998</v>
      </c>
      <c r="B654" s="58">
        <f>10.3096 * CHOOSE(CONTROL!$C$27, $C$14, 100%, $E$14)</f>
        <v>10.3096</v>
      </c>
      <c r="C654" s="58">
        <f>10.3096 * CHOOSE(CONTROL!$C$27, $C$14, 100%, $E$14)</f>
        <v>10.3096</v>
      </c>
      <c r="D654" s="58">
        <f>10.3136 * CHOOSE(CONTROL!$C$27, $C$14, 100%, $E$14)</f>
        <v>10.313599999999999</v>
      </c>
      <c r="E654" s="59">
        <f>11.9374 * CHOOSE(CONTROL!$C$27, $C$14, 100%, $E$14)</f>
        <v>11.9374</v>
      </c>
      <c r="F654" s="59">
        <f>11.9374 * CHOOSE(CONTROL!$C$27, $C$14, 100%, $E$14)</f>
        <v>11.9374</v>
      </c>
      <c r="G654" s="59">
        <f>11.9423 * CHOOSE(CONTROL!$C$27, $C$14, 100%, $E$14)</f>
        <v>11.942299999999999</v>
      </c>
      <c r="H654" s="59">
        <f>21.977* CHOOSE(CONTROL!$C$27, $C$14, 100%, $E$14)</f>
        <v>21.977</v>
      </c>
      <c r="I654" s="59">
        <f>21.9819 * CHOOSE(CONTROL!$C$27, $C$14, 100%, $E$14)</f>
        <v>21.9819</v>
      </c>
      <c r="J654" s="59">
        <f>21.977 * CHOOSE(CONTROL!$C$27, $C$14, 100%, $E$14)</f>
        <v>21.977</v>
      </c>
      <c r="K654" s="59">
        <f>21.9819 * CHOOSE(CONTROL!$C$27, $C$14, 100%, $E$14)</f>
        <v>21.9819</v>
      </c>
      <c r="L654" s="59">
        <f>11.9374 * CHOOSE(CONTROL!$C$27, $C$14, 100%, $E$14)</f>
        <v>11.9374</v>
      </c>
      <c r="M654" s="59">
        <f>11.9423 * CHOOSE(CONTROL!$C$27, $C$14, 100%, $E$14)</f>
        <v>11.942299999999999</v>
      </c>
      <c r="N654" s="59">
        <f>11.9374 * CHOOSE(CONTROL!$C$27, $C$14, 100%, $E$14)</f>
        <v>11.9374</v>
      </c>
      <c r="O654" s="59">
        <f>11.9423 * CHOOSE(CONTROL!$C$27, $C$14, 100%, $E$14)</f>
        <v>11.942299999999999</v>
      </c>
    </row>
    <row r="655" spans="1:15" ht="15">
      <c r="A655" s="11">
        <v>61029</v>
      </c>
      <c r="B655" s="58">
        <f>10.3066 * CHOOSE(CONTROL!$C$27, $C$14, 100%, $E$14)</f>
        <v>10.3066</v>
      </c>
      <c r="C655" s="58">
        <f>10.3066 * CHOOSE(CONTROL!$C$27, $C$14, 100%, $E$14)</f>
        <v>10.3066</v>
      </c>
      <c r="D655" s="58">
        <f>10.3106 * CHOOSE(CONTROL!$C$27, $C$14, 100%, $E$14)</f>
        <v>10.310600000000001</v>
      </c>
      <c r="E655" s="59">
        <f>11.7297 * CHOOSE(CONTROL!$C$27, $C$14, 100%, $E$14)</f>
        <v>11.729699999999999</v>
      </c>
      <c r="F655" s="59">
        <f>11.7297 * CHOOSE(CONTROL!$C$27, $C$14, 100%, $E$14)</f>
        <v>11.729699999999999</v>
      </c>
      <c r="G655" s="59">
        <f>11.7346 * CHOOSE(CONTROL!$C$27, $C$14, 100%, $E$14)</f>
        <v>11.7346</v>
      </c>
      <c r="H655" s="59">
        <f>22.0228* CHOOSE(CONTROL!$C$27, $C$14, 100%, $E$14)</f>
        <v>22.0228</v>
      </c>
      <c r="I655" s="59">
        <f>22.0277 * CHOOSE(CONTROL!$C$27, $C$14, 100%, $E$14)</f>
        <v>22.027699999999999</v>
      </c>
      <c r="J655" s="59">
        <f>22.0228 * CHOOSE(CONTROL!$C$27, $C$14, 100%, $E$14)</f>
        <v>22.0228</v>
      </c>
      <c r="K655" s="59">
        <f>22.0277 * CHOOSE(CONTROL!$C$27, $C$14, 100%, $E$14)</f>
        <v>22.027699999999999</v>
      </c>
      <c r="L655" s="59">
        <f>11.7297 * CHOOSE(CONTROL!$C$27, $C$14, 100%, $E$14)</f>
        <v>11.729699999999999</v>
      </c>
      <c r="M655" s="59">
        <f>11.7346 * CHOOSE(CONTROL!$C$27, $C$14, 100%, $E$14)</f>
        <v>11.7346</v>
      </c>
      <c r="N655" s="59">
        <f>11.7297 * CHOOSE(CONTROL!$C$27, $C$14, 100%, $E$14)</f>
        <v>11.729699999999999</v>
      </c>
      <c r="O655" s="59">
        <f>11.7346 * CHOOSE(CONTROL!$C$27, $C$14, 100%, $E$14)</f>
        <v>11.7346</v>
      </c>
    </row>
    <row r="656" spans="1:15" ht="15">
      <c r="A656" s="11">
        <v>61057</v>
      </c>
      <c r="B656" s="58">
        <f>10.3035 * CHOOSE(CONTROL!$C$27, $C$14, 100%, $E$14)</f>
        <v>10.3035</v>
      </c>
      <c r="C656" s="58">
        <f>10.3035 * CHOOSE(CONTROL!$C$27, $C$14, 100%, $E$14)</f>
        <v>10.3035</v>
      </c>
      <c r="D656" s="58">
        <f>10.3075 * CHOOSE(CONTROL!$C$27, $C$14, 100%, $E$14)</f>
        <v>10.307499999999999</v>
      </c>
      <c r="E656" s="59">
        <f>11.8896 * CHOOSE(CONTROL!$C$27, $C$14, 100%, $E$14)</f>
        <v>11.8896</v>
      </c>
      <c r="F656" s="59">
        <f>11.8896 * CHOOSE(CONTROL!$C$27, $C$14, 100%, $E$14)</f>
        <v>11.8896</v>
      </c>
      <c r="G656" s="59">
        <f>11.8945 * CHOOSE(CONTROL!$C$27, $C$14, 100%, $E$14)</f>
        <v>11.894500000000001</v>
      </c>
      <c r="H656" s="59">
        <f>22.0687* CHOOSE(CONTROL!$C$27, $C$14, 100%, $E$14)</f>
        <v>22.0687</v>
      </c>
      <c r="I656" s="59">
        <f>22.0736 * CHOOSE(CONTROL!$C$27, $C$14, 100%, $E$14)</f>
        <v>22.073599999999999</v>
      </c>
      <c r="J656" s="59">
        <f>22.0687 * CHOOSE(CONTROL!$C$27, $C$14, 100%, $E$14)</f>
        <v>22.0687</v>
      </c>
      <c r="K656" s="59">
        <f>22.0736 * CHOOSE(CONTROL!$C$27, $C$14, 100%, $E$14)</f>
        <v>22.073599999999999</v>
      </c>
      <c r="L656" s="59">
        <f>11.8896 * CHOOSE(CONTROL!$C$27, $C$14, 100%, $E$14)</f>
        <v>11.8896</v>
      </c>
      <c r="M656" s="59">
        <f>11.8945 * CHOOSE(CONTROL!$C$27, $C$14, 100%, $E$14)</f>
        <v>11.894500000000001</v>
      </c>
      <c r="N656" s="59">
        <f>11.8896 * CHOOSE(CONTROL!$C$27, $C$14, 100%, $E$14)</f>
        <v>11.8896</v>
      </c>
      <c r="O656" s="59">
        <f>11.8945 * CHOOSE(CONTROL!$C$27, $C$14, 100%, $E$14)</f>
        <v>11.894500000000001</v>
      </c>
    </row>
    <row r="657" spans="1:15" ht="15">
      <c r="A657" s="11">
        <v>61088</v>
      </c>
      <c r="B657" s="58">
        <f>10.3065 * CHOOSE(CONTROL!$C$27, $C$14, 100%, $E$14)</f>
        <v>10.3065</v>
      </c>
      <c r="C657" s="58">
        <f>10.3065 * CHOOSE(CONTROL!$C$27, $C$14, 100%, $E$14)</f>
        <v>10.3065</v>
      </c>
      <c r="D657" s="58">
        <f>10.3105 * CHOOSE(CONTROL!$C$27, $C$14, 100%, $E$14)</f>
        <v>10.310499999999999</v>
      </c>
      <c r="E657" s="59">
        <f>12.0594 * CHOOSE(CONTROL!$C$27, $C$14, 100%, $E$14)</f>
        <v>12.0594</v>
      </c>
      <c r="F657" s="59">
        <f>12.0594 * CHOOSE(CONTROL!$C$27, $C$14, 100%, $E$14)</f>
        <v>12.0594</v>
      </c>
      <c r="G657" s="59">
        <f>12.0644 * CHOOSE(CONTROL!$C$27, $C$14, 100%, $E$14)</f>
        <v>12.064399999999999</v>
      </c>
      <c r="H657" s="59">
        <f>22.1146* CHOOSE(CONTROL!$C$27, $C$14, 100%, $E$14)</f>
        <v>22.114599999999999</v>
      </c>
      <c r="I657" s="59">
        <f>22.1196 * CHOOSE(CONTROL!$C$27, $C$14, 100%, $E$14)</f>
        <v>22.119599999999998</v>
      </c>
      <c r="J657" s="59">
        <f>22.1146 * CHOOSE(CONTROL!$C$27, $C$14, 100%, $E$14)</f>
        <v>22.114599999999999</v>
      </c>
      <c r="K657" s="59">
        <f>22.1196 * CHOOSE(CONTROL!$C$27, $C$14, 100%, $E$14)</f>
        <v>22.119599999999998</v>
      </c>
      <c r="L657" s="59">
        <f>12.0594 * CHOOSE(CONTROL!$C$27, $C$14, 100%, $E$14)</f>
        <v>12.0594</v>
      </c>
      <c r="M657" s="59">
        <f>12.0644 * CHOOSE(CONTROL!$C$27, $C$14, 100%, $E$14)</f>
        <v>12.064399999999999</v>
      </c>
      <c r="N657" s="59">
        <f>12.0594 * CHOOSE(CONTROL!$C$27, $C$14, 100%, $E$14)</f>
        <v>12.0594</v>
      </c>
      <c r="O657" s="59">
        <f>12.0644 * CHOOSE(CONTROL!$C$27, $C$14, 100%, $E$14)</f>
        <v>12.064399999999999</v>
      </c>
    </row>
    <row r="658" spans="1:15" ht="15">
      <c r="A658" s="11">
        <v>61118</v>
      </c>
      <c r="B658" s="58">
        <f>10.3065 * CHOOSE(CONTROL!$C$27, $C$14, 100%, $E$14)</f>
        <v>10.3065</v>
      </c>
      <c r="C658" s="58">
        <f>10.3065 * CHOOSE(CONTROL!$C$27, $C$14, 100%, $E$14)</f>
        <v>10.3065</v>
      </c>
      <c r="D658" s="58">
        <f>10.3121 * CHOOSE(CONTROL!$C$27, $C$14, 100%, $E$14)</f>
        <v>10.312099999999999</v>
      </c>
      <c r="E658" s="59">
        <f>12.1247 * CHOOSE(CONTROL!$C$27, $C$14, 100%, $E$14)</f>
        <v>12.124700000000001</v>
      </c>
      <c r="F658" s="59">
        <f>12.1247 * CHOOSE(CONTROL!$C$27, $C$14, 100%, $E$14)</f>
        <v>12.124700000000001</v>
      </c>
      <c r="G658" s="59">
        <f>12.1316 * CHOOSE(CONTROL!$C$27, $C$14, 100%, $E$14)</f>
        <v>12.131600000000001</v>
      </c>
      <c r="H658" s="59">
        <f>22.1607* CHOOSE(CONTROL!$C$27, $C$14, 100%, $E$14)</f>
        <v>22.160699999999999</v>
      </c>
      <c r="I658" s="59">
        <f>22.1676 * CHOOSE(CONTROL!$C$27, $C$14, 100%, $E$14)</f>
        <v>22.1676</v>
      </c>
      <c r="J658" s="59">
        <f>22.1607 * CHOOSE(CONTROL!$C$27, $C$14, 100%, $E$14)</f>
        <v>22.160699999999999</v>
      </c>
      <c r="K658" s="59">
        <f>22.1676 * CHOOSE(CONTROL!$C$27, $C$14, 100%, $E$14)</f>
        <v>22.1676</v>
      </c>
      <c r="L658" s="59">
        <f>12.1247 * CHOOSE(CONTROL!$C$27, $C$14, 100%, $E$14)</f>
        <v>12.124700000000001</v>
      </c>
      <c r="M658" s="59">
        <f>12.1316 * CHOOSE(CONTROL!$C$27, $C$14, 100%, $E$14)</f>
        <v>12.131600000000001</v>
      </c>
      <c r="N658" s="59">
        <f>12.1247 * CHOOSE(CONTROL!$C$27, $C$14, 100%, $E$14)</f>
        <v>12.124700000000001</v>
      </c>
      <c r="O658" s="59">
        <f>12.1316 * CHOOSE(CONTROL!$C$27, $C$14, 100%, $E$14)</f>
        <v>12.131600000000001</v>
      </c>
    </row>
    <row r="659" spans="1:15" ht="15">
      <c r="A659" s="11">
        <v>61149</v>
      </c>
      <c r="B659" s="58">
        <f>10.3126 * CHOOSE(CONTROL!$C$27, $C$14, 100%, $E$14)</f>
        <v>10.3126</v>
      </c>
      <c r="C659" s="58">
        <f>10.3126 * CHOOSE(CONTROL!$C$27, $C$14, 100%, $E$14)</f>
        <v>10.3126</v>
      </c>
      <c r="D659" s="58">
        <f>10.3182 * CHOOSE(CONTROL!$C$27, $C$14, 100%, $E$14)</f>
        <v>10.318199999999999</v>
      </c>
      <c r="E659" s="59">
        <f>12.0637 * CHOOSE(CONTROL!$C$27, $C$14, 100%, $E$14)</f>
        <v>12.063700000000001</v>
      </c>
      <c r="F659" s="59">
        <f>12.0637 * CHOOSE(CONTROL!$C$27, $C$14, 100%, $E$14)</f>
        <v>12.063700000000001</v>
      </c>
      <c r="G659" s="59">
        <f>12.0706 * CHOOSE(CONTROL!$C$27, $C$14, 100%, $E$14)</f>
        <v>12.070600000000001</v>
      </c>
      <c r="H659" s="59">
        <f>22.2069* CHOOSE(CONTROL!$C$27, $C$14, 100%, $E$14)</f>
        <v>22.206900000000001</v>
      </c>
      <c r="I659" s="59">
        <f>22.2138 * CHOOSE(CONTROL!$C$27, $C$14, 100%, $E$14)</f>
        <v>22.213799999999999</v>
      </c>
      <c r="J659" s="59">
        <f>22.2069 * CHOOSE(CONTROL!$C$27, $C$14, 100%, $E$14)</f>
        <v>22.206900000000001</v>
      </c>
      <c r="K659" s="59">
        <f>22.2138 * CHOOSE(CONTROL!$C$27, $C$14, 100%, $E$14)</f>
        <v>22.213799999999999</v>
      </c>
      <c r="L659" s="59">
        <f>12.0637 * CHOOSE(CONTROL!$C$27, $C$14, 100%, $E$14)</f>
        <v>12.063700000000001</v>
      </c>
      <c r="M659" s="59">
        <f>12.0706 * CHOOSE(CONTROL!$C$27, $C$14, 100%, $E$14)</f>
        <v>12.070600000000001</v>
      </c>
      <c r="N659" s="59">
        <f>12.0637 * CHOOSE(CONTROL!$C$27, $C$14, 100%, $E$14)</f>
        <v>12.063700000000001</v>
      </c>
      <c r="O659" s="59">
        <f>12.0706 * CHOOSE(CONTROL!$C$27, $C$14, 100%, $E$14)</f>
        <v>12.070600000000001</v>
      </c>
    </row>
    <row r="660" spans="1:15" ht="15">
      <c r="A660" s="11">
        <v>61179</v>
      </c>
      <c r="B660" s="58">
        <f>10.4716 * CHOOSE(CONTROL!$C$27, $C$14, 100%, $E$14)</f>
        <v>10.4716</v>
      </c>
      <c r="C660" s="58">
        <f>10.4716 * CHOOSE(CONTROL!$C$27, $C$14, 100%, $E$14)</f>
        <v>10.4716</v>
      </c>
      <c r="D660" s="58">
        <f>10.4772 * CHOOSE(CONTROL!$C$27, $C$14, 100%, $E$14)</f>
        <v>10.4772</v>
      </c>
      <c r="E660" s="59">
        <f>12.2585 * CHOOSE(CONTROL!$C$27, $C$14, 100%, $E$14)</f>
        <v>12.2585</v>
      </c>
      <c r="F660" s="59">
        <f>12.2585 * CHOOSE(CONTROL!$C$27, $C$14, 100%, $E$14)</f>
        <v>12.2585</v>
      </c>
      <c r="G660" s="59">
        <f>12.2654 * CHOOSE(CONTROL!$C$27, $C$14, 100%, $E$14)</f>
        <v>12.2654</v>
      </c>
      <c r="H660" s="59">
        <f>22.2531* CHOOSE(CONTROL!$C$27, $C$14, 100%, $E$14)</f>
        <v>22.2531</v>
      </c>
      <c r="I660" s="59">
        <f>22.26 * CHOOSE(CONTROL!$C$27, $C$14, 100%, $E$14)</f>
        <v>22.26</v>
      </c>
      <c r="J660" s="59">
        <f>22.2531 * CHOOSE(CONTROL!$C$27, $C$14, 100%, $E$14)</f>
        <v>22.2531</v>
      </c>
      <c r="K660" s="59">
        <f>22.26 * CHOOSE(CONTROL!$C$27, $C$14, 100%, $E$14)</f>
        <v>22.26</v>
      </c>
      <c r="L660" s="59">
        <f>12.2585 * CHOOSE(CONTROL!$C$27, $C$14, 100%, $E$14)</f>
        <v>12.2585</v>
      </c>
      <c r="M660" s="59">
        <f>12.2654 * CHOOSE(CONTROL!$C$27, $C$14, 100%, $E$14)</f>
        <v>12.2654</v>
      </c>
      <c r="N660" s="59">
        <f>12.2585 * CHOOSE(CONTROL!$C$27, $C$14, 100%, $E$14)</f>
        <v>12.2585</v>
      </c>
      <c r="O660" s="59">
        <f>12.2654 * CHOOSE(CONTROL!$C$27, $C$14, 100%, $E$14)</f>
        <v>12.2654</v>
      </c>
    </row>
    <row r="661" spans="1:15" ht="15">
      <c r="A661" s="11">
        <v>61210</v>
      </c>
      <c r="B661" s="58">
        <f>10.4782 * CHOOSE(CONTROL!$C$27, $C$14, 100%, $E$14)</f>
        <v>10.478199999999999</v>
      </c>
      <c r="C661" s="58">
        <f>10.4782 * CHOOSE(CONTROL!$C$27, $C$14, 100%, $E$14)</f>
        <v>10.478199999999999</v>
      </c>
      <c r="D661" s="58">
        <f>10.4839 * CHOOSE(CONTROL!$C$27, $C$14, 100%, $E$14)</f>
        <v>10.4839</v>
      </c>
      <c r="E661" s="59">
        <f>12.0674 * CHOOSE(CONTROL!$C$27, $C$14, 100%, $E$14)</f>
        <v>12.067399999999999</v>
      </c>
      <c r="F661" s="59">
        <f>12.0674 * CHOOSE(CONTROL!$C$27, $C$14, 100%, $E$14)</f>
        <v>12.067399999999999</v>
      </c>
      <c r="G661" s="59">
        <f>12.0743 * CHOOSE(CONTROL!$C$27, $C$14, 100%, $E$14)</f>
        <v>12.074299999999999</v>
      </c>
      <c r="H661" s="59">
        <f>22.2995* CHOOSE(CONTROL!$C$27, $C$14, 100%, $E$14)</f>
        <v>22.299499999999998</v>
      </c>
      <c r="I661" s="59">
        <f>22.3064 * CHOOSE(CONTROL!$C$27, $C$14, 100%, $E$14)</f>
        <v>22.3064</v>
      </c>
      <c r="J661" s="59">
        <f>22.2995 * CHOOSE(CONTROL!$C$27, $C$14, 100%, $E$14)</f>
        <v>22.299499999999998</v>
      </c>
      <c r="K661" s="59">
        <f>22.3064 * CHOOSE(CONTROL!$C$27, $C$14, 100%, $E$14)</f>
        <v>22.3064</v>
      </c>
      <c r="L661" s="59">
        <f>12.0674 * CHOOSE(CONTROL!$C$27, $C$14, 100%, $E$14)</f>
        <v>12.067399999999999</v>
      </c>
      <c r="M661" s="59">
        <f>12.0743 * CHOOSE(CONTROL!$C$27, $C$14, 100%, $E$14)</f>
        <v>12.074299999999999</v>
      </c>
      <c r="N661" s="59">
        <f>12.0674 * CHOOSE(CONTROL!$C$27, $C$14, 100%, $E$14)</f>
        <v>12.067399999999999</v>
      </c>
      <c r="O661" s="59">
        <f>12.0743 * CHOOSE(CONTROL!$C$27, $C$14, 100%, $E$14)</f>
        <v>12.074299999999999</v>
      </c>
    </row>
    <row r="662" spans="1:15" ht="15">
      <c r="A662" s="11">
        <v>61241</v>
      </c>
      <c r="B662" s="58">
        <f>10.4752 * CHOOSE(CONTROL!$C$27, $C$14, 100%, $E$14)</f>
        <v>10.475199999999999</v>
      </c>
      <c r="C662" s="58">
        <f>10.4752 * CHOOSE(CONTROL!$C$27, $C$14, 100%, $E$14)</f>
        <v>10.475199999999999</v>
      </c>
      <c r="D662" s="58">
        <f>10.4808 * CHOOSE(CONTROL!$C$27, $C$14, 100%, $E$14)</f>
        <v>10.4808</v>
      </c>
      <c r="E662" s="59">
        <f>12.0435 * CHOOSE(CONTROL!$C$27, $C$14, 100%, $E$14)</f>
        <v>12.0435</v>
      </c>
      <c r="F662" s="59">
        <f>12.0435 * CHOOSE(CONTROL!$C$27, $C$14, 100%, $E$14)</f>
        <v>12.0435</v>
      </c>
      <c r="G662" s="59">
        <f>12.0504 * CHOOSE(CONTROL!$C$27, $C$14, 100%, $E$14)</f>
        <v>12.0504</v>
      </c>
      <c r="H662" s="59">
        <f>22.346* CHOOSE(CONTROL!$C$27, $C$14, 100%, $E$14)</f>
        <v>22.346</v>
      </c>
      <c r="I662" s="59">
        <f>22.3528 * CHOOSE(CONTROL!$C$27, $C$14, 100%, $E$14)</f>
        <v>22.352799999999998</v>
      </c>
      <c r="J662" s="59">
        <f>22.346 * CHOOSE(CONTROL!$C$27, $C$14, 100%, $E$14)</f>
        <v>22.346</v>
      </c>
      <c r="K662" s="59">
        <f>22.3528 * CHOOSE(CONTROL!$C$27, $C$14, 100%, $E$14)</f>
        <v>22.352799999999998</v>
      </c>
      <c r="L662" s="59">
        <f>12.0435 * CHOOSE(CONTROL!$C$27, $C$14, 100%, $E$14)</f>
        <v>12.0435</v>
      </c>
      <c r="M662" s="59">
        <f>12.0504 * CHOOSE(CONTROL!$C$27, $C$14, 100%, $E$14)</f>
        <v>12.0504</v>
      </c>
      <c r="N662" s="59">
        <f>12.0435 * CHOOSE(CONTROL!$C$27, $C$14, 100%, $E$14)</f>
        <v>12.0435</v>
      </c>
      <c r="O662" s="59">
        <f>12.0504 * CHOOSE(CONTROL!$C$27, $C$14, 100%, $E$14)</f>
        <v>12.0504</v>
      </c>
    </row>
    <row r="663" spans="1:15" ht="15">
      <c r="A663" s="11">
        <v>61271</v>
      </c>
      <c r="B663" s="58">
        <f>10.4913 * CHOOSE(CONTROL!$C$27, $C$14, 100%, $E$14)</f>
        <v>10.491300000000001</v>
      </c>
      <c r="C663" s="58">
        <f>10.4913 * CHOOSE(CONTROL!$C$27, $C$14, 100%, $E$14)</f>
        <v>10.491300000000001</v>
      </c>
      <c r="D663" s="58">
        <f>10.4953 * CHOOSE(CONTROL!$C$27, $C$14, 100%, $E$14)</f>
        <v>10.4953</v>
      </c>
      <c r="E663" s="59">
        <f>12.1171 * CHOOSE(CONTROL!$C$27, $C$14, 100%, $E$14)</f>
        <v>12.117100000000001</v>
      </c>
      <c r="F663" s="59">
        <f>12.1171 * CHOOSE(CONTROL!$C$27, $C$14, 100%, $E$14)</f>
        <v>12.117100000000001</v>
      </c>
      <c r="G663" s="59">
        <f>12.122 * CHOOSE(CONTROL!$C$27, $C$14, 100%, $E$14)</f>
        <v>12.122</v>
      </c>
      <c r="H663" s="59">
        <f>22.3925* CHOOSE(CONTROL!$C$27, $C$14, 100%, $E$14)</f>
        <v>22.392499999999998</v>
      </c>
      <c r="I663" s="59">
        <f>22.3974 * CHOOSE(CONTROL!$C$27, $C$14, 100%, $E$14)</f>
        <v>22.397400000000001</v>
      </c>
      <c r="J663" s="59">
        <f>22.3925 * CHOOSE(CONTROL!$C$27, $C$14, 100%, $E$14)</f>
        <v>22.392499999999998</v>
      </c>
      <c r="K663" s="59">
        <f>22.3974 * CHOOSE(CONTROL!$C$27, $C$14, 100%, $E$14)</f>
        <v>22.397400000000001</v>
      </c>
      <c r="L663" s="59">
        <f>12.1171 * CHOOSE(CONTROL!$C$27, $C$14, 100%, $E$14)</f>
        <v>12.117100000000001</v>
      </c>
      <c r="M663" s="59">
        <f>12.122 * CHOOSE(CONTROL!$C$27, $C$14, 100%, $E$14)</f>
        <v>12.122</v>
      </c>
      <c r="N663" s="59">
        <f>12.1171 * CHOOSE(CONTROL!$C$27, $C$14, 100%, $E$14)</f>
        <v>12.117100000000001</v>
      </c>
      <c r="O663" s="59">
        <f>12.122 * CHOOSE(CONTROL!$C$27, $C$14, 100%, $E$14)</f>
        <v>12.122</v>
      </c>
    </row>
    <row r="664" spans="1:15" ht="15">
      <c r="A664" s="11">
        <v>61302</v>
      </c>
      <c r="B664" s="58">
        <f>10.4943 * CHOOSE(CONTROL!$C$27, $C$14, 100%, $E$14)</f>
        <v>10.494300000000001</v>
      </c>
      <c r="C664" s="58">
        <f>10.4943 * CHOOSE(CONTROL!$C$27, $C$14, 100%, $E$14)</f>
        <v>10.494300000000001</v>
      </c>
      <c r="D664" s="58">
        <f>10.4983 * CHOOSE(CONTROL!$C$27, $C$14, 100%, $E$14)</f>
        <v>10.4983</v>
      </c>
      <c r="E664" s="59">
        <f>12.1627 * CHOOSE(CONTROL!$C$27, $C$14, 100%, $E$14)</f>
        <v>12.162699999999999</v>
      </c>
      <c r="F664" s="59">
        <f>12.1627 * CHOOSE(CONTROL!$C$27, $C$14, 100%, $E$14)</f>
        <v>12.162699999999999</v>
      </c>
      <c r="G664" s="59">
        <f>12.1676 * CHOOSE(CONTROL!$C$27, $C$14, 100%, $E$14)</f>
        <v>12.1676</v>
      </c>
      <c r="H664" s="59">
        <f>22.4392* CHOOSE(CONTROL!$C$27, $C$14, 100%, $E$14)</f>
        <v>22.4392</v>
      </c>
      <c r="I664" s="59">
        <f>22.4441 * CHOOSE(CONTROL!$C$27, $C$14, 100%, $E$14)</f>
        <v>22.444099999999999</v>
      </c>
      <c r="J664" s="59">
        <f>22.4392 * CHOOSE(CONTROL!$C$27, $C$14, 100%, $E$14)</f>
        <v>22.4392</v>
      </c>
      <c r="K664" s="59">
        <f>22.4441 * CHOOSE(CONTROL!$C$27, $C$14, 100%, $E$14)</f>
        <v>22.444099999999999</v>
      </c>
      <c r="L664" s="59">
        <f>12.1627 * CHOOSE(CONTROL!$C$27, $C$14, 100%, $E$14)</f>
        <v>12.162699999999999</v>
      </c>
      <c r="M664" s="59">
        <f>12.1676 * CHOOSE(CONTROL!$C$27, $C$14, 100%, $E$14)</f>
        <v>12.1676</v>
      </c>
      <c r="N664" s="59">
        <f>12.1627 * CHOOSE(CONTROL!$C$27, $C$14, 100%, $E$14)</f>
        <v>12.162699999999999</v>
      </c>
      <c r="O664" s="59">
        <f>12.1676 * CHOOSE(CONTROL!$C$27, $C$14, 100%, $E$14)</f>
        <v>12.1676</v>
      </c>
    </row>
    <row r="665" spans="1:15" ht="15">
      <c r="A665" s="11">
        <v>61332</v>
      </c>
      <c r="B665" s="58">
        <f>10.4943 * CHOOSE(CONTROL!$C$27, $C$14, 100%, $E$14)</f>
        <v>10.494300000000001</v>
      </c>
      <c r="C665" s="58">
        <f>10.4943 * CHOOSE(CONTROL!$C$27, $C$14, 100%, $E$14)</f>
        <v>10.494300000000001</v>
      </c>
      <c r="D665" s="58">
        <f>10.4983 * CHOOSE(CONTROL!$C$27, $C$14, 100%, $E$14)</f>
        <v>10.4983</v>
      </c>
      <c r="E665" s="59">
        <f>12.0539 * CHOOSE(CONTROL!$C$27, $C$14, 100%, $E$14)</f>
        <v>12.053900000000001</v>
      </c>
      <c r="F665" s="59">
        <f>12.0539 * CHOOSE(CONTROL!$C$27, $C$14, 100%, $E$14)</f>
        <v>12.053900000000001</v>
      </c>
      <c r="G665" s="59">
        <f>12.0589 * CHOOSE(CONTROL!$C$27, $C$14, 100%, $E$14)</f>
        <v>12.0589</v>
      </c>
      <c r="H665" s="59">
        <f>22.4859* CHOOSE(CONTROL!$C$27, $C$14, 100%, $E$14)</f>
        <v>22.485900000000001</v>
      </c>
      <c r="I665" s="59">
        <f>22.4908 * CHOOSE(CONTROL!$C$27, $C$14, 100%, $E$14)</f>
        <v>22.4908</v>
      </c>
      <c r="J665" s="59">
        <f>22.4859 * CHOOSE(CONTROL!$C$27, $C$14, 100%, $E$14)</f>
        <v>22.485900000000001</v>
      </c>
      <c r="K665" s="59">
        <f>22.4908 * CHOOSE(CONTROL!$C$27, $C$14, 100%, $E$14)</f>
        <v>22.4908</v>
      </c>
      <c r="L665" s="59">
        <f>12.0539 * CHOOSE(CONTROL!$C$27, $C$14, 100%, $E$14)</f>
        <v>12.053900000000001</v>
      </c>
      <c r="M665" s="59">
        <f>12.0589 * CHOOSE(CONTROL!$C$27, $C$14, 100%, $E$14)</f>
        <v>12.0589</v>
      </c>
      <c r="N665" s="59">
        <f>12.0539 * CHOOSE(CONTROL!$C$27, $C$14, 100%, $E$14)</f>
        <v>12.053900000000001</v>
      </c>
      <c r="O665" s="59">
        <f>12.0589 * CHOOSE(CONTROL!$C$27, $C$14, 100%, $E$14)</f>
        <v>12.0589</v>
      </c>
    </row>
    <row r="666" spans="1:15" ht="15">
      <c r="A666" s="11">
        <v>61363</v>
      </c>
      <c r="B666" s="58">
        <f>10.5452 * CHOOSE(CONTROL!$C$27, $C$14, 100%, $E$14)</f>
        <v>10.545199999999999</v>
      </c>
      <c r="C666" s="58">
        <f>10.5452 * CHOOSE(CONTROL!$C$27, $C$14, 100%, $E$14)</f>
        <v>10.545199999999999</v>
      </c>
      <c r="D666" s="58">
        <f>10.5492 * CHOOSE(CONTROL!$C$27, $C$14, 100%, $E$14)</f>
        <v>10.549200000000001</v>
      </c>
      <c r="E666" s="59">
        <f>12.1921 * CHOOSE(CONTROL!$C$27, $C$14, 100%, $E$14)</f>
        <v>12.1921</v>
      </c>
      <c r="F666" s="59">
        <f>12.1921 * CHOOSE(CONTROL!$C$27, $C$14, 100%, $E$14)</f>
        <v>12.1921</v>
      </c>
      <c r="G666" s="59">
        <f>12.197 * CHOOSE(CONTROL!$C$27, $C$14, 100%, $E$14)</f>
        <v>12.196999999999999</v>
      </c>
      <c r="H666" s="59">
        <f>22.4595* CHOOSE(CONTROL!$C$27, $C$14, 100%, $E$14)</f>
        <v>22.459499999999998</v>
      </c>
      <c r="I666" s="59">
        <f>22.4645 * CHOOSE(CONTROL!$C$27, $C$14, 100%, $E$14)</f>
        <v>22.464500000000001</v>
      </c>
      <c r="J666" s="59">
        <f>22.4595 * CHOOSE(CONTROL!$C$27, $C$14, 100%, $E$14)</f>
        <v>22.459499999999998</v>
      </c>
      <c r="K666" s="59">
        <f>22.4645 * CHOOSE(CONTROL!$C$27, $C$14, 100%, $E$14)</f>
        <v>22.464500000000001</v>
      </c>
      <c r="L666" s="59">
        <f>12.1921 * CHOOSE(CONTROL!$C$27, $C$14, 100%, $E$14)</f>
        <v>12.1921</v>
      </c>
      <c r="M666" s="59">
        <f>12.197 * CHOOSE(CONTROL!$C$27, $C$14, 100%, $E$14)</f>
        <v>12.196999999999999</v>
      </c>
      <c r="N666" s="59">
        <f>12.1921 * CHOOSE(CONTROL!$C$27, $C$14, 100%, $E$14)</f>
        <v>12.1921</v>
      </c>
      <c r="O666" s="59">
        <f>12.197 * CHOOSE(CONTROL!$C$27, $C$14, 100%, $E$14)</f>
        <v>12.196999999999999</v>
      </c>
    </row>
    <row r="667" spans="1:15" ht="15">
      <c r="A667" s="11">
        <v>61394</v>
      </c>
      <c r="B667" s="58">
        <f>10.5421 * CHOOSE(CONTROL!$C$27, $C$14, 100%, $E$14)</f>
        <v>10.5421</v>
      </c>
      <c r="C667" s="58">
        <f>10.5421 * CHOOSE(CONTROL!$C$27, $C$14, 100%, $E$14)</f>
        <v>10.5421</v>
      </c>
      <c r="D667" s="58">
        <f>10.5461 * CHOOSE(CONTROL!$C$27, $C$14, 100%, $E$14)</f>
        <v>10.546099999999999</v>
      </c>
      <c r="E667" s="59">
        <f>11.9794 * CHOOSE(CONTROL!$C$27, $C$14, 100%, $E$14)</f>
        <v>11.9794</v>
      </c>
      <c r="F667" s="59">
        <f>11.9794 * CHOOSE(CONTROL!$C$27, $C$14, 100%, $E$14)</f>
        <v>11.9794</v>
      </c>
      <c r="G667" s="59">
        <f>11.9844 * CHOOSE(CONTROL!$C$27, $C$14, 100%, $E$14)</f>
        <v>11.984400000000001</v>
      </c>
      <c r="H667" s="59">
        <f>22.5063* CHOOSE(CONTROL!$C$27, $C$14, 100%, $E$14)</f>
        <v>22.5063</v>
      </c>
      <c r="I667" s="59">
        <f>22.5112 * CHOOSE(CONTROL!$C$27, $C$14, 100%, $E$14)</f>
        <v>22.511199999999999</v>
      </c>
      <c r="J667" s="59">
        <f>22.5063 * CHOOSE(CONTROL!$C$27, $C$14, 100%, $E$14)</f>
        <v>22.5063</v>
      </c>
      <c r="K667" s="59">
        <f>22.5112 * CHOOSE(CONTROL!$C$27, $C$14, 100%, $E$14)</f>
        <v>22.511199999999999</v>
      </c>
      <c r="L667" s="59">
        <f>11.9794 * CHOOSE(CONTROL!$C$27, $C$14, 100%, $E$14)</f>
        <v>11.9794</v>
      </c>
      <c r="M667" s="59">
        <f>11.9844 * CHOOSE(CONTROL!$C$27, $C$14, 100%, $E$14)</f>
        <v>11.984400000000001</v>
      </c>
      <c r="N667" s="59">
        <f>11.9794 * CHOOSE(CONTROL!$C$27, $C$14, 100%, $E$14)</f>
        <v>11.9794</v>
      </c>
      <c r="O667" s="59">
        <f>11.9844 * CHOOSE(CONTROL!$C$27, $C$14, 100%, $E$14)</f>
        <v>11.984400000000001</v>
      </c>
    </row>
    <row r="668" spans="1:15" ht="15">
      <c r="A668" s="11">
        <v>61423</v>
      </c>
      <c r="B668" s="58">
        <f>10.5391 * CHOOSE(CONTROL!$C$27, $C$14, 100%, $E$14)</f>
        <v>10.539099999999999</v>
      </c>
      <c r="C668" s="58">
        <f>10.5391 * CHOOSE(CONTROL!$C$27, $C$14, 100%, $E$14)</f>
        <v>10.539099999999999</v>
      </c>
      <c r="D668" s="58">
        <f>10.5431 * CHOOSE(CONTROL!$C$27, $C$14, 100%, $E$14)</f>
        <v>10.543100000000001</v>
      </c>
      <c r="E668" s="59">
        <f>12.1433 * CHOOSE(CONTROL!$C$27, $C$14, 100%, $E$14)</f>
        <v>12.1433</v>
      </c>
      <c r="F668" s="59">
        <f>12.1433 * CHOOSE(CONTROL!$C$27, $C$14, 100%, $E$14)</f>
        <v>12.1433</v>
      </c>
      <c r="G668" s="59">
        <f>12.1482 * CHOOSE(CONTROL!$C$27, $C$14, 100%, $E$14)</f>
        <v>12.148199999999999</v>
      </c>
      <c r="H668" s="59">
        <f>22.5532* CHOOSE(CONTROL!$C$27, $C$14, 100%, $E$14)</f>
        <v>22.5532</v>
      </c>
      <c r="I668" s="59">
        <f>22.5581 * CHOOSE(CONTROL!$C$27, $C$14, 100%, $E$14)</f>
        <v>22.5581</v>
      </c>
      <c r="J668" s="59">
        <f>22.5532 * CHOOSE(CONTROL!$C$27, $C$14, 100%, $E$14)</f>
        <v>22.5532</v>
      </c>
      <c r="K668" s="59">
        <f>22.5581 * CHOOSE(CONTROL!$C$27, $C$14, 100%, $E$14)</f>
        <v>22.5581</v>
      </c>
      <c r="L668" s="59">
        <f>12.1433 * CHOOSE(CONTROL!$C$27, $C$14, 100%, $E$14)</f>
        <v>12.1433</v>
      </c>
      <c r="M668" s="59">
        <f>12.1482 * CHOOSE(CONTROL!$C$27, $C$14, 100%, $E$14)</f>
        <v>12.148199999999999</v>
      </c>
      <c r="N668" s="59">
        <f>12.1433 * CHOOSE(CONTROL!$C$27, $C$14, 100%, $E$14)</f>
        <v>12.1433</v>
      </c>
      <c r="O668" s="59">
        <f>12.1482 * CHOOSE(CONTROL!$C$27, $C$14, 100%, $E$14)</f>
        <v>12.148199999999999</v>
      </c>
    </row>
    <row r="669" spans="1:15" ht="15">
      <c r="A669" s="11">
        <v>61454</v>
      </c>
      <c r="B669" s="58">
        <f>10.5423 * CHOOSE(CONTROL!$C$27, $C$14, 100%, $E$14)</f>
        <v>10.542299999999999</v>
      </c>
      <c r="C669" s="58">
        <f>10.5423 * CHOOSE(CONTROL!$C$27, $C$14, 100%, $E$14)</f>
        <v>10.542299999999999</v>
      </c>
      <c r="D669" s="58">
        <f>10.5463 * CHOOSE(CONTROL!$C$27, $C$14, 100%, $E$14)</f>
        <v>10.5463</v>
      </c>
      <c r="E669" s="59">
        <f>12.3173 * CHOOSE(CONTROL!$C$27, $C$14, 100%, $E$14)</f>
        <v>12.317299999999999</v>
      </c>
      <c r="F669" s="59">
        <f>12.3173 * CHOOSE(CONTROL!$C$27, $C$14, 100%, $E$14)</f>
        <v>12.317299999999999</v>
      </c>
      <c r="G669" s="59">
        <f>12.3222 * CHOOSE(CONTROL!$C$27, $C$14, 100%, $E$14)</f>
        <v>12.3222</v>
      </c>
      <c r="H669" s="59">
        <f>22.6002* CHOOSE(CONTROL!$C$27, $C$14, 100%, $E$14)</f>
        <v>22.600200000000001</v>
      </c>
      <c r="I669" s="59">
        <f>22.6051 * CHOOSE(CONTROL!$C$27, $C$14, 100%, $E$14)</f>
        <v>22.6051</v>
      </c>
      <c r="J669" s="59">
        <f>22.6002 * CHOOSE(CONTROL!$C$27, $C$14, 100%, $E$14)</f>
        <v>22.600200000000001</v>
      </c>
      <c r="K669" s="59">
        <f>22.6051 * CHOOSE(CONTROL!$C$27, $C$14, 100%, $E$14)</f>
        <v>22.6051</v>
      </c>
      <c r="L669" s="59">
        <f>12.3173 * CHOOSE(CONTROL!$C$27, $C$14, 100%, $E$14)</f>
        <v>12.317299999999999</v>
      </c>
      <c r="M669" s="59">
        <f>12.3222 * CHOOSE(CONTROL!$C$27, $C$14, 100%, $E$14)</f>
        <v>12.3222</v>
      </c>
      <c r="N669" s="59">
        <f>12.3173 * CHOOSE(CONTROL!$C$27, $C$14, 100%, $E$14)</f>
        <v>12.317299999999999</v>
      </c>
      <c r="O669" s="59">
        <f>12.3222 * CHOOSE(CONTROL!$C$27, $C$14, 100%, $E$14)</f>
        <v>12.3222</v>
      </c>
    </row>
    <row r="670" spans="1:15" ht="15">
      <c r="A670" s="11">
        <v>61484</v>
      </c>
      <c r="B670" s="58">
        <f>10.5423 * CHOOSE(CONTROL!$C$27, $C$14, 100%, $E$14)</f>
        <v>10.542299999999999</v>
      </c>
      <c r="C670" s="58">
        <f>10.5423 * CHOOSE(CONTROL!$C$27, $C$14, 100%, $E$14)</f>
        <v>10.542299999999999</v>
      </c>
      <c r="D670" s="58">
        <f>10.5479 * CHOOSE(CONTROL!$C$27, $C$14, 100%, $E$14)</f>
        <v>10.5479</v>
      </c>
      <c r="E670" s="59">
        <f>12.3841 * CHOOSE(CONTROL!$C$27, $C$14, 100%, $E$14)</f>
        <v>12.3841</v>
      </c>
      <c r="F670" s="59">
        <f>12.3841 * CHOOSE(CONTROL!$C$27, $C$14, 100%, $E$14)</f>
        <v>12.3841</v>
      </c>
      <c r="G670" s="59">
        <f>12.391 * CHOOSE(CONTROL!$C$27, $C$14, 100%, $E$14)</f>
        <v>12.391</v>
      </c>
      <c r="H670" s="59">
        <f>22.6473* CHOOSE(CONTROL!$C$27, $C$14, 100%, $E$14)</f>
        <v>22.647300000000001</v>
      </c>
      <c r="I670" s="59">
        <f>22.6542 * CHOOSE(CONTROL!$C$27, $C$14, 100%, $E$14)</f>
        <v>22.654199999999999</v>
      </c>
      <c r="J670" s="59">
        <f>22.6473 * CHOOSE(CONTROL!$C$27, $C$14, 100%, $E$14)</f>
        <v>22.647300000000001</v>
      </c>
      <c r="K670" s="59">
        <f>22.6542 * CHOOSE(CONTROL!$C$27, $C$14, 100%, $E$14)</f>
        <v>22.654199999999999</v>
      </c>
      <c r="L670" s="59">
        <f>12.3841 * CHOOSE(CONTROL!$C$27, $C$14, 100%, $E$14)</f>
        <v>12.3841</v>
      </c>
      <c r="M670" s="59">
        <f>12.391 * CHOOSE(CONTROL!$C$27, $C$14, 100%, $E$14)</f>
        <v>12.391</v>
      </c>
      <c r="N670" s="59">
        <f>12.3841 * CHOOSE(CONTROL!$C$27, $C$14, 100%, $E$14)</f>
        <v>12.3841</v>
      </c>
      <c r="O670" s="59">
        <f>12.391 * CHOOSE(CONTROL!$C$27, $C$14, 100%, $E$14)</f>
        <v>12.391</v>
      </c>
    </row>
    <row r="671" spans="1:15" ht="15">
      <c r="A671" s="11">
        <v>61515</v>
      </c>
      <c r="B671" s="58">
        <f>10.5483 * CHOOSE(CONTROL!$C$27, $C$14, 100%, $E$14)</f>
        <v>10.548299999999999</v>
      </c>
      <c r="C671" s="58">
        <f>10.5483 * CHOOSE(CONTROL!$C$27, $C$14, 100%, $E$14)</f>
        <v>10.548299999999999</v>
      </c>
      <c r="D671" s="58">
        <f>10.554 * CHOOSE(CONTROL!$C$27, $C$14, 100%, $E$14)</f>
        <v>10.554</v>
      </c>
      <c r="E671" s="59">
        <f>12.3215 * CHOOSE(CONTROL!$C$27, $C$14, 100%, $E$14)</f>
        <v>12.3215</v>
      </c>
      <c r="F671" s="59">
        <f>12.3215 * CHOOSE(CONTROL!$C$27, $C$14, 100%, $E$14)</f>
        <v>12.3215</v>
      </c>
      <c r="G671" s="59">
        <f>12.3284 * CHOOSE(CONTROL!$C$27, $C$14, 100%, $E$14)</f>
        <v>12.3284</v>
      </c>
      <c r="H671" s="59">
        <f>22.6945* CHOOSE(CONTROL!$C$27, $C$14, 100%, $E$14)</f>
        <v>22.694500000000001</v>
      </c>
      <c r="I671" s="59">
        <f>22.7014 * CHOOSE(CONTROL!$C$27, $C$14, 100%, $E$14)</f>
        <v>22.7014</v>
      </c>
      <c r="J671" s="59">
        <f>22.6945 * CHOOSE(CONTROL!$C$27, $C$14, 100%, $E$14)</f>
        <v>22.694500000000001</v>
      </c>
      <c r="K671" s="59">
        <f>22.7014 * CHOOSE(CONTROL!$C$27, $C$14, 100%, $E$14)</f>
        <v>22.7014</v>
      </c>
      <c r="L671" s="59">
        <f>12.3215 * CHOOSE(CONTROL!$C$27, $C$14, 100%, $E$14)</f>
        <v>12.3215</v>
      </c>
      <c r="M671" s="59">
        <f>12.3284 * CHOOSE(CONTROL!$C$27, $C$14, 100%, $E$14)</f>
        <v>12.3284</v>
      </c>
      <c r="N671" s="59">
        <f>12.3215 * CHOOSE(CONTROL!$C$27, $C$14, 100%, $E$14)</f>
        <v>12.3215</v>
      </c>
      <c r="O671" s="59">
        <f>12.3284 * CHOOSE(CONTROL!$C$27, $C$14, 100%, $E$14)</f>
        <v>12.3284</v>
      </c>
    </row>
    <row r="672" spans="1:15" ht="15">
      <c r="A672" s="11">
        <v>61545</v>
      </c>
      <c r="B672" s="58">
        <f>10.7107 * CHOOSE(CONTROL!$C$27, $C$14, 100%, $E$14)</f>
        <v>10.710699999999999</v>
      </c>
      <c r="C672" s="58">
        <f>10.7107 * CHOOSE(CONTROL!$C$27, $C$14, 100%, $E$14)</f>
        <v>10.710699999999999</v>
      </c>
      <c r="D672" s="58">
        <f>10.7164 * CHOOSE(CONTROL!$C$27, $C$14, 100%, $E$14)</f>
        <v>10.7164</v>
      </c>
      <c r="E672" s="59">
        <f>12.5203 * CHOOSE(CONTROL!$C$27, $C$14, 100%, $E$14)</f>
        <v>12.520300000000001</v>
      </c>
      <c r="F672" s="59">
        <f>12.5203 * CHOOSE(CONTROL!$C$27, $C$14, 100%, $E$14)</f>
        <v>12.520300000000001</v>
      </c>
      <c r="G672" s="59">
        <f>12.5272 * CHOOSE(CONTROL!$C$27, $C$14, 100%, $E$14)</f>
        <v>12.527200000000001</v>
      </c>
      <c r="H672" s="59">
        <f>22.7417* CHOOSE(CONTROL!$C$27, $C$14, 100%, $E$14)</f>
        <v>22.741700000000002</v>
      </c>
      <c r="I672" s="59">
        <f>22.7486 * CHOOSE(CONTROL!$C$27, $C$14, 100%, $E$14)</f>
        <v>22.7486</v>
      </c>
      <c r="J672" s="59">
        <f>22.7417 * CHOOSE(CONTROL!$C$27, $C$14, 100%, $E$14)</f>
        <v>22.741700000000002</v>
      </c>
      <c r="K672" s="59">
        <f>22.7486 * CHOOSE(CONTROL!$C$27, $C$14, 100%, $E$14)</f>
        <v>22.7486</v>
      </c>
      <c r="L672" s="59">
        <f>12.5203 * CHOOSE(CONTROL!$C$27, $C$14, 100%, $E$14)</f>
        <v>12.520300000000001</v>
      </c>
      <c r="M672" s="59">
        <f>12.5272 * CHOOSE(CONTROL!$C$27, $C$14, 100%, $E$14)</f>
        <v>12.527200000000001</v>
      </c>
      <c r="N672" s="59">
        <f>12.5203 * CHOOSE(CONTROL!$C$27, $C$14, 100%, $E$14)</f>
        <v>12.520300000000001</v>
      </c>
      <c r="O672" s="59">
        <f>12.5272 * CHOOSE(CONTROL!$C$27, $C$14, 100%, $E$14)</f>
        <v>12.527200000000001</v>
      </c>
    </row>
    <row r="673" spans="1:15" ht="15">
      <c r="A673" s="11">
        <v>61576</v>
      </c>
      <c r="B673" s="58">
        <f>10.7174 * CHOOSE(CONTROL!$C$27, $C$14, 100%, $E$14)</f>
        <v>10.7174</v>
      </c>
      <c r="C673" s="58">
        <f>10.7174 * CHOOSE(CONTROL!$C$27, $C$14, 100%, $E$14)</f>
        <v>10.7174</v>
      </c>
      <c r="D673" s="58">
        <f>10.7231 * CHOOSE(CONTROL!$C$27, $C$14, 100%, $E$14)</f>
        <v>10.723100000000001</v>
      </c>
      <c r="E673" s="59">
        <f>12.3244 * CHOOSE(CONTROL!$C$27, $C$14, 100%, $E$14)</f>
        <v>12.324400000000001</v>
      </c>
      <c r="F673" s="59">
        <f>12.3244 * CHOOSE(CONTROL!$C$27, $C$14, 100%, $E$14)</f>
        <v>12.324400000000001</v>
      </c>
      <c r="G673" s="59">
        <f>12.3313 * CHOOSE(CONTROL!$C$27, $C$14, 100%, $E$14)</f>
        <v>12.331300000000001</v>
      </c>
      <c r="H673" s="59">
        <f>22.7891* CHOOSE(CONTROL!$C$27, $C$14, 100%, $E$14)</f>
        <v>22.789100000000001</v>
      </c>
      <c r="I673" s="59">
        <f>22.796 * CHOOSE(CONTROL!$C$27, $C$14, 100%, $E$14)</f>
        <v>22.795999999999999</v>
      </c>
      <c r="J673" s="59">
        <f>22.7891 * CHOOSE(CONTROL!$C$27, $C$14, 100%, $E$14)</f>
        <v>22.789100000000001</v>
      </c>
      <c r="K673" s="59">
        <f>22.796 * CHOOSE(CONTROL!$C$27, $C$14, 100%, $E$14)</f>
        <v>22.795999999999999</v>
      </c>
      <c r="L673" s="59">
        <f>12.3244 * CHOOSE(CONTROL!$C$27, $C$14, 100%, $E$14)</f>
        <v>12.324400000000001</v>
      </c>
      <c r="M673" s="59">
        <f>12.3313 * CHOOSE(CONTROL!$C$27, $C$14, 100%, $E$14)</f>
        <v>12.331300000000001</v>
      </c>
      <c r="N673" s="59">
        <f>12.3244 * CHOOSE(CONTROL!$C$27, $C$14, 100%, $E$14)</f>
        <v>12.324400000000001</v>
      </c>
      <c r="O673" s="59">
        <f>12.3313 * CHOOSE(CONTROL!$C$27, $C$14, 100%, $E$14)</f>
        <v>12.331300000000001</v>
      </c>
    </row>
    <row r="674" spans="1:15" ht="15">
      <c r="A674" s="11">
        <v>61607</v>
      </c>
      <c r="B674" s="58">
        <f>10.7144 * CHOOSE(CONTROL!$C$27, $C$14, 100%, $E$14)</f>
        <v>10.714399999999999</v>
      </c>
      <c r="C674" s="58">
        <f>10.7144 * CHOOSE(CONTROL!$C$27, $C$14, 100%, $E$14)</f>
        <v>10.714399999999999</v>
      </c>
      <c r="D674" s="58">
        <f>10.72 * CHOOSE(CONTROL!$C$27, $C$14, 100%, $E$14)</f>
        <v>10.72</v>
      </c>
      <c r="E674" s="59">
        <f>12.3 * CHOOSE(CONTROL!$C$27, $C$14, 100%, $E$14)</f>
        <v>12.3</v>
      </c>
      <c r="F674" s="59">
        <f>12.3 * CHOOSE(CONTROL!$C$27, $C$14, 100%, $E$14)</f>
        <v>12.3</v>
      </c>
      <c r="G674" s="59">
        <f>12.3069 * CHOOSE(CONTROL!$C$27, $C$14, 100%, $E$14)</f>
        <v>12.306900000000001</v>
      </c>
      <c r="H674" s="59">
        <f>22.8366* CHOOSE(CONTROL!$C$27, $C$14, 100%, $E$14)</f>
        <v>22.836600000000001</v>
      </c>
      <c r="I674" s="59">
        <f>22.8435 * CHOOSE(CONTROL!$C$27, $C$14, 100%, $E$14)</f>
        <v>22.843499999999999</v>
      </c>
      <c r="J674" s="59">
        <f>22.8366 * CHOOSE(CONTROL!$C$27, $C$14, 100%, $E$14)</f>
        <v>22.836600000000001</v>
      </c>
      <c r="K674" s="59">
        <f>22.8435 * CHOOSE(CONTROL!$C$27, $C$14, 100%, $E$14)</f>
        <v>22.843499999999999</v>
      </c>
      <c r="L674" s="59">
        <f>12.3 * CHOOSE(CONTROL!$C$27, $C$14, 100%, $E$14)</f>
        <v>12.3</v>
      </c>
      <c r="M674" s="59">
        <f>12.3069 * CHOOSE(CONTROL!$C$27, $C$14, 100%, $E$14)</f>
        <v>12.306900000000001</v>
      </c>
      <c r="N674" s="59">
        <f>12.3 * CHOOSE(CONTROL!$C$27, $C$14, 100%, $E$14)</f>
        <v>12.3</v>
      </c>
      <c r="O674" s="59">
        <f>12.3069 * CHOOSE(CONTROL!$C$27, $C$14, 100%, $E$14)</f>
        <v>12.306900000000001</v>
      </c>
    </row>
    <row r="675" spans="1:15" ht="15">
      <c r="A675" s="11">
        <v>61637</v>
      </c>
      <c r="B675" s="58">
        <f>10.7312 * CHOOSE(CONTROL!$C$27, $C$14, 100%, $E$14)</f>
        <v>10.731199999999999</v>
      </c>
      <c r="C675" s="58">
        <f>10.7312 * CHOOSE(CONTROL!$C$27, $C$14, 100%, $E$14)</f>
        <v>10.731199999999999</v>
      </c>
      <c r="D675" s="58">
        <f>10.7352 * CHOOSE(CONTROL!$C$27, $C$14, 100%, $E$14)</f>
        <v>10.735200000000001</v>
      </c>
      <c r="E675" s="59">
        <f>12.3757 * CHOOSE(CONTROL!$C$27, $C$14, 100%, $E$14)</f>
        <v>12.3757</v>
      </c>
      <c r="F675" s="59">
        <f>12.3757 * CHOOSE(CONTROL!$C$27, $C$14, 100%, $E$14)</f>
        <v>12.3757</v>
      </c>
      <c r="G675" s="59">
        <f>12.3807 * CHOOSE(CONTROL!$C$27, $C$14, 100%, $E$14)</f>
        <v>12.380699999999999</v>
      </c>
      <c r="H675" s="59">
        <f>22.8842* CHOOSE(CONTROL!$C$27, $C$14, 100%, $E$14)</f>
        <v>22.8842</v>
      </c>
      <c r="I675" s="59">
        <f>22.8891 * CHOOSE(CONTROL!$C$27, $C$14, 100%, $E$14)</f>
        <v>22.889099999999999</v>
      </c>
      <c r="J675" s="59">
        <f>22.8842 * CHOOSE(CONTROL!$C$27, $C$14, 100%, $E$14)</f>
        <v>22.8842</v>
      </c>
      <c r="K675" s="59">
        <f>22.8891 * CHOOSE(CONTROL!$C$27, $C$14, 100%, $E$14)</f>
        <v>22.889099999999999</v>
      </c>
      <c r="L675" s="59">
        <f>12.3757 * CHOOSE(CONTROL!$C$27, $C$14, 100%, $E$14)</f>
        <v>12.3757</v>
      </c>
      <c r="M675" s="59">
        <f>12.3807 * CHOOSE(CONTROL!$C$27, $C$14, 100%, $E$14)</f>
        <v>12.380699999999999</v>
      </c>
      <c r="N675" s="59">
        <f>12.3757 * CHOOSE(CONTROL!$C$27, $C$14, 100%, $E$14)</f>
        <v>12.3757</v>
      </c>
      <c r="O675" s="59">
        <f>12.3807 * CHOOSE(CONTROL!$C$27, $C$14, 100%, $E$14)</f>
        <v>12.380699999999999</v>
      </c>
    </row>
    <row r="676" spans="1:15" ht="15">
      <c r="A676" s="11">
        <v>61668</v>
      </c>
      <c r="B676" s="58">
        <f>10.7342 * CHOOSE(CONTROL!$C$27, $C$14, 100%, $E$14)</f>
        <v>10.7342</v>
      </c>
      <c r="C676" s="58">
        <f>10.7342 * CHOOSE(CONTROL!$C$27, $C$14, 100%, $E$14)</f>
        <v>10.7342</v>
      </c>
      <c r="D676" s="58">
        <f>10.7382 * CHOOSE(CONTROL!$C$27, $C$14, 100%, $E$14)</f>
        <v>10.738200000000001</v>
      </c>
      <c r="E676" s="59">
        <f>12.4224 * CHOOSE(CONTROL!$C$27, $C$14, 100%, $E$14)</f>
        <v>12.4224</v>
      </c>
      <c r="F676" s="59">
        <f>12.4224 * CHOOSE(CONTROL!$C$27, $C$14, 100%, $E$14)</f>
        <v>12.4224</v>
      </c>
      <c r="G676" s="59">
        <f>12.4273 * CHOOSE(CONTROL!$C$27, $C$14, 100%, $E$14)</f>
        <v>12.427300000000001</v>
      </c>
      <c r="H676" s="59">
        <f>22.9319* CHOOSE(CONTROL!$C$27, $C$14, 100%, $E$14)</f>
        <v>22.931899999999999</v>
      </c>
      <c r="I676" s="59">
        <f>22.9368 * CHOOSE(CONTROL!$C$27, $C$14, 100%, $E$14)</f>
        <v>22.936800000000002</v>
      </c>
      <c r="J676" s="59">
        <f>22.9319 * CHOOSE(CONTROL!$C$27, $C$14, 100%, $E$14)</f>
        <v>22.931899999999999</v>
      </c>
      <c r="K676" s="59">
        <f>22.9368 * CHOOSE(CONTROL!$C$27, $C$14, 100%, $E$14)</f>
        <v>22.936800000000002</v>
      </c>
      <c r="L676" s="59">
        <f>12.4224 * CHOOSE(CONTROL!$C$27, $C$14, 100%, $E$14)</f>
        <v>12.4224</v>
      </c>
      <c r="M676" s="59">
        <f>12.4273 * CHOOSE(CONTROL!$C$27, $C$14, 100%, $E$14)</f>
        <v>12.427300000000001</v>
      </c>
      <c r="N676" s="59">
        <f>12.4224 * CHOOSE(CONTROL!$C$27, $C$14, 100%, $E$14)</f>
        <v>12.4224</v>
      </c>
      <c r="O676" s="59">
        <f>12.4273 * CHOOSE(CONTROL!$C$27, $C$14, 100%, $E$14)</f>
        <v>12.427300000000001</v>
      </c>
    </row>
    <row r="677" spans="1:15" ht="15">
      <c r="A677" s="11">
        <v>61698</v>
      </c>
      <c r="B677" s="58">
        <f>10.7342 * CHOOSE(CONTROL!$C$27, $C$14, 100%, $E$14)</f>
        <v>10.7342</v>
      </c>
      <c r="C677" s="58">
        <f>10.7342 * CHOOSE(CONTROL!$C$27, $C$14, 100%, $E$14)</f>
        <v>10.7342</v>
      </c>
      <c r="D677" s="58">
        <f>10.7382 * CHOOSE(CONTROL!$C$27, $C$14, 100%, $E$14)</f>
        <v>10.738200000000001</v>
      </c>
      <c r="E677" s="59">
        <f>12.311 * CHOOSE(CONTROL!$C$27, $C$14, 100%, $E$14)</f>
        <v>12.311</v>
      </c>
      <c r="F677" s="59">
        <f>12.311 * CHOOSE(CONTROL!$C$27, $C$14, 100%, $E$14)</f>
        <v>12.311</v>
      </c>
      <c r="G677" s="59">
        <f>12.3159 * CHOOSE(CONTROL!$C$27, $C$14, 100%, $E$14)</f>
        <v>12.315899999999999</v>
      </c>
      <c r="H677" s="59">
        <f>22.9796* CHOOSE(CONTROL!$C$27, $C$14, 100%, $E$14)</f>
        <v>22.979600000000001</v>
      </c>
      <c r="I677" s="59">
        <f>22.9845 * CHOOSE(CONTROL!$C$27, $C$14, 100%, $E$14)</f>
        <v>22.984500000000001</v>
      </c>
      <c r="J677" s="59">
        <f>22.9796 * CHOOSE(CONTROL!$C$27, $C$14, 100%, $E$14)</f>
        <v>22.979600000000001</v>
      </c>
      <c r="K677" s="59">
        <f>22.9845 * CHOOSE(CONTROL!$C$27, $C$14, 100%, $E$14)</f>
        <v>22.984500000000001</v>
      </c>
      <c r="L677" s="59">
        <f>12.311 * CHOOSE(CONTROL!$C$27, $C$14, 100%, $E$14)</f>
        <v>12.311</v>
      </c>
      <c r="M677" s="59">
        <f>12.3159 * CHOOSE(CONTROL!$C$27, $C$14, 100%, $E$14)</f>
        <v>12.315899999999999</v>
      </c>
      <c r="N677" s="59">
        <f>12.311 * CHOOSE(CONTROL!$C$27, $C$14, 100%, $E$14)</f>
        <v>12.311</v>
      </c>
      <c r="O677" s="59">
        <f>12.3159 * CHOOSE(CONTROL!$C$27, $C$14, 100%, $E$14)</f>
        <v>12.315899999999999</v>
      </c>
    </row>
    <row r="678" spans="1:15" ht="15">
      <c r="A678" s="11">
        <v>61729</v>
      </c>
      <c r="B678" s="58">
        <f>10.7807 * CHOOSE(CONTROL!$C$27, $C$14, 100%, $E$14)</f>
        <v>10.7807</v>
      </c>
      <c r="C678" s="58">
        <f>10.7807 * CHOOSE(CONTROL!$C$27, $C$14, 100%, $E$14)</f>
        <v>10.7807</v>
      </c>
      <c r="D678" s="58">
        <f>10.7847 * CHOOSE(CONTROL!$C$27, $C$14, 100%, $E$14)</f>
        <v>10.784700000000001</v>
      </c>
      <c r="E678" s="59">
        <f>12.4468 * CHOOSE(CONTROL!$C$27, $C$14, 100%, $E$14)</f>
        <v>12.4468</v>
      </c>
      <c r="F678" s="59">
        <f>12.4468 * CHOOSE(CONTROL!$C$27, $C$14, 100%, $E$14)</f>
        <v>12.4468</v>
      </c>
      <c r="G678" s="59">
        <f>12.4517 * CHOOSE(CONTROL!$C$27, $C$14, 100%, $E$14)</f>
        <v>12.451700000000001</v>
      </c>
      <c r="H678" s="59">
        <f>22.9421* CHOOSE(CONTROL!$C$27, $C$14, 100%, $E$14)</f>
        <v>22.9421</v>
      </c>
      <c r="I678" s="59">
        <f>22.947 * CHOOSE(CONTROL!$C$27, $C$14, 100%, $E$14)</f>
        <v>22.946999999999999</v>
      </c>
      <c r="J678" s="59">
        <f>22.9421 * CHOOSE(CONTROL!$C$27, $C$14, 100%, $E$14)</f>
        <v>22.9421</v>
      </c>
      <c r="K678" s="59">
        <f>22.947 * CHOOSE(CONTROL!$C$27, $C$14, 100%, $E$14)</f>
        <v>22.946999999999999</v>
      </c>
      <c r="L678" s="59">
        <f>12.4468 * CHOOSE(CONTROL!$C$27, $C$14, 100%, $E$14)</f>
        <v>12.4468</v>
      </c>
      <c r="M678" s="59">
        <f>12.4517 * CHOOSE(CONTROL!$C$27, $C$14, 100%, $E$14)</f>
        <v>12.451700000000001</v>
      </c>
      <c r="N678" s="59">
        <f>12.4468 * CHOOSE(CONTROL!$C$27, $C$14, 100%, $E$14)</f>
        <v>12.4468</v>
      </c>
      <c r="O678" s="59">
        <f>12.4517 * CHOOSE(CONTROL!$C$27, $C$14, 100%, $E$14)</f>
        <v>12.451700000000001</v>
      </c>
    </row>
    <row r="679" spans="1:15" ht="15">
      <c r="A679" s="11">
        <v>61760</v>
      </c>
      <c r="B679" s="58">
        <f>10.7777 * CHOOSE(CONTROL!$C$27, $C$14, 100%, $E$14)</f>
        <v>10.777699999999999</v>
      </c>
      <c r="C679" s="58">
        <f>10.7777 * CHOOSE(CONTROL!$C$27, $C$14, 100%, $E$14)</f>
        <v>10.777699999999999</v>
      </c>
      <c r="D679" s="58">
        <f>10.7817 * CHOOSE(CONTROL!$C$27, $C$14, 100%, $E$14)</f>
        <v>10.781700000000001</v>
      </c>
      <c r="E679" s="59">
        <f>12.2292 * CHOOSE(CONTROL!$C$27, $C$14, 100%, $E$14)</f>
        <v>12.229200000000001</v>
      </c>
      <c r="F679" s="59">
        <f>12.2292 * CHOOSE(CONTROL!$C$27, $C$14, 100%, $E$14)</f>
        <v>12.229200000000001</v>
      </c>
      <c r="G679" s="59">
        <f>12.2342 * CHOOSE(CONTROL!$C$27, $C$14, 100%, $E$14)</f>
        <v>12.2342</v>
      </c>
      <c r="H679" s="59">
        <f>22.9899* CHOOSE(CONTROL!$C$27, $C$14, 100%, $E$14)</f>
        <v>22.989899999999999</v>
      </c>
      <c r="I679" s="59">
        <f>22.9948 * CHOOSE(CONTROL!$C$27, $C$14, 100%, $E$14)</f>
        <v>22.994800000000001</v>
      </c>
      <c r="J679" s="59">
        <f>22.9899 * CHOOSE(CONTROL!$C$27, $C$14, 100%, $E$14)</f>
        <v>22.989899999999999</v>
      </c>
      <c r="K679" s="59">
        <f>22.9948 * CHOOSE(CONTROL!$C$27, $C$14, 100%, $E$14)</f>
        <v>22.994800000000001</v>
      </c>
      <c r="L679" s="59">
        <f>12.2292 * CHOOSE(CONTROL!$C$27, $C$14, 100%, $E$14)</f>
        <v>12.229200000000001</v>
      </c>
      <c r="M679" s="59">
        <f>12.2342 * CHOOSE(CONTROL!$C$27, $C$14, 100%, $E$14)</f>
        <v>12.2342</v>
      </c>
      <c r="N679" s="59">
        <f>12.2292 * CHOOSE(CONTROL!$C$27, $C$14, 100%, $E$14)</f>
        <v>12.229200000000001</v>
      </c>
      <c r="O679" s="59">
        <f>12.2342 * CHOOSE(CONTROL!$C$27, $C$14, 100%, $E$14)</f>
        <v>12.2342</v>
      </c>
    </row>
    <row r="680" spans="1:15" ht="15">
      <c r="A680" s="11">
        <v>61788</v>
      </c>
      <c r="B680" s="58">
        <f>10.7747 * CHOOSE(CONTROL!$C$27, $C$14, 100%, $E$14)</f>
        <v>10.774699999999999</v>
      </c>
      <c r="C680" s="58">
        <f>10.7747 * CHOOSE(CONTROL!$C$27, $C$14, 100%, $E$14)</f>
        <v>10.774699999999999</v>
      </c>
      <c r="D680" s="58">
        <f>10.7787 * CHOOSE(CONTROL!$C$27, $C$14, 100%, $E$14)</f>
        <v>10.778700000000001</v>
      </c>
      <c r="E680" s="59">
        <f>12.397 * CHOOSE(CONTROL!$C$27, $C$14, 100%, $E$14)</f>
        <v>12.397</v>
      </c>
      <c r="F680" s="59">
        <f>12.397 * CHOOSE(CONTROL!$C$27, $C$14, 100%, $E$14)</f>
        <v>12.397</v>
      </c>
      <c r="G680" s="59">
        <f>12.4019 * CHOOSE(CONTROL!$C$27, $C$14, 100%, $E$14)</f>
        <v>12.401899999999999</v>
      </c>
      <c r="H680" s="59">
        <f>23.0378* CHOOSE(CONTROL!$C$27, $C$14, 100%, $E$14)</f>
        <v>23.037800000000001</v>
      </c>
      <c r="I680" s="59">
        <f>23.0427 * CHOOSE(CONTROL!$C$27, $C$14, 100%, $E$14)</f>
        <v>23.0427</v>
      </c>
      <c r="J680" s="59">
        <f>23.0378 * CHOOSE(CONTROL!$C$27, $C$14, 100%, $E$14)</f>
        <v>23.037800000000001</v>
      </c>
      <c r="K680" s="59">
        <f>23.0427 * CHOOSE(CONTROL!$C$27, $C$14, 100%, $E$14)</f>
        <v>23.0427</v>
      </c>
      <c r="L680" s="59">
        <f>12.397 * CHOOSE(CONTROL!$C$27, $C$14, 100%, $E$14)</f>
        <v>12.397</v>
      </c>
      <c r="M680" s="59">
        <f>12.4019 * CHOOSE(CONTROL!$C$27, $C$14, 100%, $E$14)</f>
        <v>12.401899999999999</v>
      </c>
      <c r="N680" s="59">
        <f>12.397 * CHOOSE(CONTROL!$C$27, $C$14, 100%, $E$14)</f>
        <v>12.397</v>
      </c>
      <c r="O680" s="59">
        <f>12.4019 * CHOOSE(CONTROL!$C$27, $C$14, 100%, $E$14)</f>
        <v>12.401899999999999</v>
      </c>
    </row>
    <row r="681" spans="1:15" ht="15">
      <c r="A681" s="11">
        <v>61819</v>
      </c>
      <c r="B681" s="58">
        <f>10.778 * CHOOSE(CONTROL!$C$27, $C$14, 100%, $E$14)</f>
        <v>10.778</v>
      </c>
      <c r="C681" s="58">
        <f>10.778 * CHOOSE(CONTROL!$C$27, $C$14, 100%, $E$14)</f>
        <v>10.778</v>
      </c>
      <c r="D681" s="58">
        <f>10.782 * CHOOSE(CONTROL!$C$27, $C$14, 100%, $E$14)</f>
        <v>10.782</v>
      </c>
      <c r="E681" s="59">
        <f>12.5752 * CHOOSE(CONTROL!$C$27, $C$14, 100%, $E$14)</f>
        <v>12.575200000000001</v>
      </c>
      <c r="F681" s="59">
        <f>12.5752 * CHOOSE(CONTROL!$C$27, $C$14, 100%, $E$14)</f>
        <v>12.575200000000001</v>
      </c>
      <c r="G681" s="59">
        <f>12.5801 * CHOOSE(CONTROL!$C$27, $C$14, 100%, $E$14)</f>
        <v>12.5801</v>
      </c>
      <c r="H681" s="59">
        <f>23.0858* CHOOSE(CONTROL!$C$27, $C$14, 100%, $E$14)</f>
        <v>23.085799999999999</v>
      </c>
      <c r="I681" s="59">
        <f>23.0907 * CHOOSE(CONTROL!$C$27, $C$14, 100%, $E$14)</f>
        <v>23.090699999999998</v>
      </c>
      <c r="J681" s="59">
        <f>23.0858 * CHOOSE(CONTROL!$C$27, $C$14, 100%, $E$14)</f>
        <v>23.085799999999999</v>
      </c>
      <c r="K681" s="59">
        <f>23.0907 * CHOOSE(CONTROL!$C$27, $C$14, 100%, $E$14)</f>
        <v>23.090699999999998</v>
      </c>
      <c r="L681" s="59">
        <f>12.5752 * CHOOSE(CONTROL!$C$27, $C$14, 100%, $E$14)</f>
        <v>12.575200000000001</v>
      </c>
      <c r="M681" s="59">
        <f>12.5801 * CHOOSE(CONTROL!$C$27, $C$14, 100%, $E$14)</f>
        <v>12.5801</v>
      </c>
      <c r="N681" s="59">
        <f>12.5752 * CHOOSE(CONTROL!$C$27, $C$14, 100%, $E$14)</f>
        <v>12.575200000000001</v>
      </c>
      <c r="O681" s="59">
        <f>12.5801 * CHOOSE(CONTROL!$C$27, $C$14, 100%, $E$14)</f>
        <v>12.5801</v>
      </c>
    </row>
    <row r="682" spans="1:15" ht="15">
      <c r="A682" s="11">
        <v>61849</v>
      </c>
      <c r="B682" s="58">
        <f>10.778 * CHOOSE(CONTROL!$C$27, $C$14, 100%, $E$14)</f>
        <v>10.778</v>
      </c>
      <c r="C682" s="58">
        <f>10.778 * CHOOSE(CONTROL!$C$27, $C$14, 100%, $E$14)</f>
        <v>10.778</v>
      </c>
      <c r="D682" s="58">
        <f>10.7837 * CHOOSE(CONTROL!$C$27, $C$14, 100%, $E$14)</f>
        <v>10.7837</v>
      </c>
      <c r="E682" s="59">
        <f>12.6436 * CHOOSE(CONTROL!$C$27, $C$14, 100%, $E$14)</f>
        <v>12.643599999999999</v>
      </c>
      <c r="F682" s="59">
        <f>12.6436 * CHOOSE(CONTROL!$C$27, $C$14, 100%, $E$14)</f>
        <v>12.643599999999999</v>
      </c>
      <c r="G682" s="59">
        <f>12.6505 * CHOOSE(CONTROL!$C$27, $C$14, 100%, $E$14)</f>
        <v>12.650499999999999</v>
      </c>
      <c r="H682" s="59">
        <f>23.1339* CHOOSE(CONTROL!$C$27, $C$14, 100%, $E$14)</f>
        <v>23.133900000000001</v>
      </c>
      <c r="I682" s="59">
        <f>23.1408 * CHOOSE(CONTROL!$C$27, $C$14, 100%, $E$14)</f>
        <v>23.140799999999999</v>
      </c>
      <c r="J682" s="59">
        <f>23.1339 * CHOOSE(CONTROL!$C$27, $C$14, 100%, $E$14)</f>
        <v>23.133900000000001</v>
      </c>
      <c r="K682" s="59">
        <f>23.1408 * CHOOSE(CONTROL!$C$27, $C$14, 100%, $E$14)</f>
        <v>23.140799999999999</v>
      </c>
      <c r="L682" s="59">
        <f>12.6436 * CHOOSE(CONTROL!$C$27, $C$14, 100%, $E$14)</f>
        <v>12.643599999999999</v>
      </c>
      <c r="M682" s="59">
        <f>12.6505 * CHOOSE(CONTROL!$C$27, $C$14, 100%, $E$14)</f>
        <v>12.650499999999999</v>
      </c>
      <c r="N682" s="59">
        <f>12.6436 * CHOOSE(CONTROL!$C$27, $C$14, 100%, $E$14)</f>
        <v>12.643599999999999</v>
      </c>
      <c r="O682" s="59">
        <f>12.6505 * CHOOSE(CONTROL!$C$27, $C$14, 100%, $E$14)</f>
        <v>12.650499999999999</v>
      </c>
    </row>
    <row r="683" spans="1:15" ht="15">
      <c r="A683" s="11">
        <v>61880</v>
      </c>
      <c r="B683" s="58">
        <f>10.7841 * CHOOSE(CONTROL!$C$27, $C$14, 100%, $E$14)</f>
        <v>10.7841</v>
      </c>
      <c r="C683" s="58">
        <f>10.7841 * CHOOSE(CONTROL!$C$27, $C$14, 100%, $E$14)</f>
        <v>10.7841</v>
      </c>
      <c r="D683" s="58">
        <f>10.7897 * CHOOSE(CONTROL!$C$27, $C$14, 100%, $E$14)</f>
        <v>10.7897</v>
      </c>
      <c r="E683" s="59">
        <f>12.5794 * CHOOSE(CONTROL!$C$27, $C$14, 100%, $E$14)</f>
        <v>12.5794</v>
      </c>
      <c r="F683" s="59">
        <f>12.5794 * CHOOSE(CONTROL!$C$27, $C$14, 100%, $E$14)</f>
        <v>12.5794</v>
      </c>
      <c r="G683" s="59">
        <f>12.5863 * CHOOSE(CONTROL!$C$27, $C$14, 100%, $E$14)</f>
        <v>12.5863</v>
      </c>
      <c r="H683" s="59">
        <f>23.1821* CHOOSE(CONTROL!$C$27, $C$14, 100%, $E$14)</f>
        <v>23.182099999999998</v>
      </c>
      <c r="I683" s="59">
        <f>23.189 * CHOOSE(CONTROL!$C$27, $C$14, 100%, $E$14)</f>
        <v>23.189</v>
      </c>
      <c r="J683" s="59">
        <f>23.1821 * CHOOSE(CONTROL!$C$27, $C$14, 100%, $E$14)</f>
        <v>23.182099999999998</v>
      </c>
      <c r="K683" s="59">
        <f>23.189 * CHOOSE(CONTROL!$C$27, $C$14, 100%, $E$14)</f>
        <v>23.189</v>
      </c>
      <c r="L683" s="59">
        <f>12.5794 * CHOOSE(CONTROL!$C$27, $C$14, 100%, $E$14)</f>
        <v>12.5794</v>
      </c>
      <c r="M683" s="59">
        <f>12.5863 * CHOOSE(CONTROL!$C$27, $C$14, 100%, $E$14)</f>
        <v>12.5863</v>
      </c>
      <c r="N683" s="59">
        <f>12.5794 * CHOOSE(CONTROL!$C$27, $C$14, 100%, $E$14)</f>
        <v>12.5794</v>
      </c>
      <c r="O683" s="59">
        <f>12.5863 * CHOOSE(CONTROL!$C$27, $C$14, 100%, $E$14)</f>
        <v>12.5863</v>
      </c>
    </row>
    <row r="684" spans="1:15" ht="15">
      <c r="A684" s="11">
        <v>61910</v>
      </c>
      <c r="B684" s="58">
        <f>10.9499 * CHOOSE(CONTROL!$C$27, $C$14, 100%, $E$14)</f>
        <v>10.9499</v>
      </c>
      <c r="C684" s="58">
        <f>10.9499 * CHOOSE(CONTROL!$C$27, $C$14, 100%, $E$14)</f>
        <v>10.9499</v>
      </c>
      <c r="D684" s="58">
        <f>10.9555 * CHOOSE(CONTROL!$C$27, $C$14, 100%, $E$14)</f>
        <v>10.955500000000001</v>
      </c>
      <c r="E684" s="59">
        <f>12.7821 * CHOOSE(CONTROL!$C$27, $C$14, 100%, $E$14)</f>
        <v>12.7821</v>
      </c>
      <c r="F684" s="59">
        <f>12.7821 * CHOOSE(CONTROL!$C$27, $C$14, 100%, $E$14)</f>
        <v>12.7821</v>
      </c>
      <c r="G684" s="59">
        <f>12.789 * CHOOSE(CONTROL!$C$27, $C$14, 100%, $E$14)</f>
        <v>12.789</v>
      </c>
      <c r="H684" s="59">
        <f>23.2304* CHOOSE(CONTROL!$C$27, $C$14, 100%, $E$14)</f>
        <v>23.230399999999999</v>
      </c>
      <c r="I684" s="59">
        <f>23.2372 * CHOOSE(CONTROL!$C$27, $C$14, 100%, $E$14)</f>
        <v>23.237200000000001</v>
      </c>
      <c r="J684" s="59">
        <f>23.2304 * CHOOSE(CONTROL!$C$27, $C$14, 100%, $E$14)</f>
        <v>23.230399999999999</v>
      </c>
      <c r="K684" s="59">
        <f>23.2372 * CHOOSE(CONTROL!$C$27, $C$14, 100%, $E$14)</f>
        <v>23.237200000000001</v>
      </c>
      <c r="L684" s="59">
        <f>12.7821 * CHOOSE(CONTROL!$C$27, $C$14, 100%, $E$14)</f>
        <v>12.7821</v>
      </c>
      <c r="M684" s="59">
        <f>12.789 * CHOOSE(CONTROL!$C$27, $C$14, 100%, $E$14)</f>
        <v>12.789</v>
      </c>
      <c r="N684" s="59">
        <f>12.7821 * CHOOSE(CONTROL!$C$27, $C$14, 100%, $E$14)</f>
        <v>12.7821</v>
      </c>
      <c r="O684" s="59">
        <f>12.789 * CHOOSE(CONTROL!$C$27, $C$14, 100%, $E$14)</f>
        <v>12.789</v>
      </c>
    </row>
    <row r="685" spans="1:15" ht="15">
      <c r="A685" s="11">
        <v>61941</v>
      </c>
      <c r="B685" s="58">
        <f>10.9566 * CHOOSE(CONTROL!$C$27, $C$14, 100%, $E$14)</f>
        <v>10.9566</v>
      </c>
      <c r="C685" s="58">
        <f>10.9566 * CHOOSE(CONTROL!$C$27, $C$14, 100%, $E$14)</f>
        <v>10.9566</v>
      </c>
      <c r="D685" s="58">
        <f>10.9622 * CHOOSE(CONTROL!$C$27, $C$14, 100%, $E$14)</f>
        <v>10.962199999999999</v>
      </c>
      <c r="E685" s="59">
        <f>12.5815 * CHOOSE(CONTROL!$C$27, $C$14, 100%, $E$14)</f>
        <v>12.5815</v>
      </c>
      <c r="F685" s="59">
        <f>12.5815 * CHOOSE(CONTROL!$C$27, $C$14, 100%, $E$14)</f>
        <v>12.5815</v>
      </c>
      <c r="G685" s="59">
        <f>12.5884 * CHOOSE(CONTROL!$C$27, $C$14, 100%, $E$14)</f>
        <v>12.5884</v>
      </c>
      <c r="H685" s="59">
        <f>23.2788* CHOOSE(CONTROL!$C$27, $C$14, 100%, $E$14)</f>
        <v>23.2788</v>
      </c>
      <c r="I685" s="59">
        <f>23.2856 * CHOOSE(CONTROL!$C$27, $C$14, 100%, $E$14)</f>
        <v>23.285599999999999</v>
      </c>
      <c r="J685" s="59">
        <f>23.2788 * CHOOSE(CONTROL!$C$27, $C$14, 100%, $E$14)</f>
        <v>23.2788</v>
      </c>
      <c r="K685" s="59">
        <f>23.2856 * CHOOSE(CONTROL!$C$27, $C$14, 100%, $E$14)</f>
        <v>23.285599999999999</v>
      </c>
      <c r="L685" s="59">
        <f>12.5815 * CHOOSE(CONTROL!$C$27, $C$14, 100%, $E$14)</f>
        <v>12.5815</v>
      </c>
      <c r="M685" s="59">
        <f>12.5884 * CHOOSE(CONTROL!$C$27, $C$14, 100%, $E$14)</f>
        <v>12.5884</v>
      </c>
      <c r="N685" s="59">
        <f>12.5815 * CHOOSE(CONTROL!$C$27, $C$14, 100%, $E$14)</f>
        <v>12.5815</v>
      </c>
      <c r="O685" s="59">
        <f>12.5884 * CHOOSE(CONTROL!$C$27, $C$14, 100%, $E$14)</f>
        <v>12.5884</v>
      </c>
    </row>
    <row r="686" spans="1:15" ht="15">
      <c r="A686" s="11">
        <v>61972</v>
      </c>
      <c r="B686" s="58">
        <f>10.9536 * CHOOSE(CONTROL!$C$27, $C$14, 100%, $E$14)</f>
        <v>10.9536</v>
      </c>
      <c r="C686" s="58">
        <f>10.9536 * CHOOSE(CONTROL!$C$27, $C$14, 100%, $E$14)</f>
        <v>10.9536</v>
      </c>
      <c r="D686" s="58">
        <f>10.9592 * CHOOSE(CONTROL!$C$27, $C$14, 100%, $E$14)</f>
        <v>10.959199999999999</v>
      </c>
      <c r="E686" s="59">
        <f>12.5566 * CHOOSE(CONTROL!$C$27, $C$14, 100%, $E$14)</f>
        <v>12.5566</v>
      </c>
      <c r="F686" s="59">
        <f>12.5566 * CHOOSE(CONTROL!$C$27, $C$14, 100%, $E$14)</f>
        <v>12.5566</v>
      </c>
      <c r="G686" s="59">
        <f>12.5635 * CHOOSE(CONTROL!$C$27, $C$14, 100%, $E$14)</f>
        <v>12.563499999999999</v>
      </c>
      <c r="H686" s="59">
        <f>23.3272* CHOOSE(CONTROL!$C$27, $C$14, 100%, $E$14)</f>
        <v>23.327200000000001</v>
      </c>
      <c r="I686" s="59">
        <f>23.3341 * CHOOSE(CONTROL!$C$27, $C$14, 100%, $E$14)</f>
        <v>23.334099999999999</v>
      </c>
      <c r="J686" s="59">
        <f>23.3272 * CHOOSE(CONTROL!$C$27, $C$14, 100%, $E$14)</f>
        <v>23.327200000000001</v>
      </c>
      <c r="K686" s="59">
        <f>23.3341 * CHOOSE(CONTROL!$C$27, $C$14, 100%, $E$14)</f>
        <v>23.334099999999999</v>
      </c>
      <c r="L686" s="59">
        <f>12.5566 * CHOOSE(CONTROL!$C$27, $C$14, 100%, $E$14)</f>
        <v>12.5566</v>
      </c>
      <c r="M686" s="59">
        <f>12.5635 * CHOOSE(CONTROL!$C$27, $C$14, 100%, $E$14)</f>
        <v>12.563499999999999</v>
      </c>
      <c r="N686" s="59">
        <f>12.5566 * CHOOSE(CONTROL!$C$27, $C$14, 100%, $E$14)</f>
        <v>12.5566</v>
      </c>
      <c r="O686" s="59">
        <f>12.5635 * CHOOSE(CONTROL!$C$27, $C$14, 100%, $E$14)</f>
        <v>12.563499999999999</v>
      </c>
    </row>
    <row r="687" spans="1:15" ht="15">
      <c r="A687" s="11">
        <v>62002</v>
      </c>
      <c r="B687" s="58">
        <f>10.9711 * CHOOSE(CONTROL!$C$27, $C$14, 100%, $E$14)</f>
        <v>10.9711</v>
      </c>
      <c r="C687" s="58">
        <f>10.9711 * CHOOSE(CONTROL!$C$27, $C$14, 100%, $E$14)</f>
        <v>10.9711</v>
      </c>
      <c r="D687" s="58">
        <f>10.9751 * CHOOSE(CONTROL!$C$27, $C$14, 100%, $E$14)</f>
        <v>10.975099999999999</v>
      </c>
      <c r="E687" s="59">
        <f>12.6344 * CHOOSE(CONTROL!$C$27, $C$14, 100%, $E$14)</f>
        <v>12.634399999999999</v>
      </c>
      <c r="F687" s="59">
        <f>12.6344 * CHOOSE(CONTROL!$C$27, $C$14, 100%, $E$14)</f>
        <v>12.634399999999999</v>
      </c>
      <c r="G687" s="59">
        <f>12.6393 * CHOOSE(CONTROL!$C$27, $C$14, 100%, $E$14)</f>
        <v>12.6393</v>
      </c>
      <c r="H687" s="59">
        <f>23.3758* CHOOSE(CONTROL!$C$27, $C$14, 100%, $E$14)</f>
        <v>23.375800000000002</v>
      </c>
      <c r="I687" s="59">
        <f>23.3808 * CHOOSE(CONTROL!$C$27, $C$14, 100%, $E$14)</f>
        <v>23.380800000000001</v>
      </c>
      <c r="J687" s="59">
        <f>23.3758 * CHOOSE(CONTROL!$C$27, $C$14, 100%, $E$14)</f>
        <v>23.375800000000002</v>
      </c>
      <c r="K687" s="59">
        <f>23.3808 * CHOOSE(CONTROL!$C$27, $C$14, 100%, $E$14)</f>
        <v>23.380800000000001</v>
      </c>
      <c r="L687" s="59">
        <f>12.6344 * CHOOSE(CONTROL!$C$27, $C$14, 100%, $E$14)</f>
        <v>12.634399999999999</v>
      </c>
      <c r="M687" s="59">
        <f>12.6393 * CHOOSE(CONTROL!$C$27, $C$14, 100%, $E$14)</f>
        <v>12.6393</v>
      </c>
      <c r="N687" s="59">
        <f>12.6344 * CHOOSE(CONTROL!$C$27, $C$14, 100%, $E$14)</f>
        <v>12.634399999999999</v>
      </c>
      <c r="O687" s="59">
        <f>12.6393 * CHOOSE(CONTROL!$C$27, $C$14, 100%, $E$14)</f>
        <v>12.6393</v>
      </c>
    </row>
    <row r="688" spans="1:15" ht="15">
      <c r="A688" s="11">
        <v>62033</v>
      </c>
      <c r="B688" s="58">
        <f>10.9742 * CHOOSE(CONTROL!$C$27, $C$14, 100%, $E$14)</f>
        <v>10.9742</v>
      </c>
      <c r="C688" s="58">
        <f>10.9742 * CHOOSE(CONTROL!$C$27, $C$14, 100%, $E$14)</f>
        <v>10.9742</v>
      </c>
      <c r="D688" s="58">
        <f>10.9782 * CHOOSE(CONTROL!$C$27, $C$14, 100%, $E$14)</f>
        <v>10.978199999999999</v>
      </c>
      <c r="E688" s="59">
        <f>12.6821 * CHOOSE(CONTROL!$C$27, $C$14, 100%, $E$14)</f>
        <v>12.6821</v>
      </c>
      <c r="F688" s="59">
        <f>12.6821 * CHOOSE(CONTROL!$C$27, $C$14, 100%, $E$14)</f>
        <v>12.6821</v>
      </c>
      <c r="G688" s="59">
        <f>12.687 * CHOOSE(CONTROL!$C$27, $C$14, 100%, $E$14)</f>
        <v>12.686999999999999</v>
      </c>
      <c r="H688" s="59">
        <f>23.4245* CHOOSE(CONTROL!$C$27, $C$14, 100%, $E$14)</f>
        <v>23.424499999999998</v>
      </c>
      <c r="I688" s="59">
        <f>23.4295 * CHOOSE(CONTROL!$C$27, $C$14, 100%, $E$14)</f>
        <v>23.429500000000001</v>
      </c>
      <c r="J688" s="59">
        <f>23.4245 * CHOOSE(CONTROL!$C$27, $C$14, 100%, $E$14)</f>
        <v>23.424499999999998</v>
      </c>
      <c r="K688" s="59">
        <f>23.4295 * CHOOSE(CONTROL!$C$27, $C$14, 100%, $E$14)</f>
        <v>23.429500000000001</v>
      </c>
      <c r="L688" s="59">
        <f>12.6821 * CHOOSE(CONTROL!$C$27, $C$14, 100%, $E$14)</f>
        <v>12.6821</v>
      </c>
      <c r="M688" s="59">
        <f>12.687 * CHOOSE(CONTROL!$C$27, $C$14, 100%, $E$14)</f>
        <v>12.686999999999999</v>
      </c>
      <c r="N688" s="59">
        <f>12.6821 * CHOOSE(CONTROL!$C$27, $C$14, 100%, $E$14)</f>
        <v>12.6821</v>
      </c>
      <c r="O688" s="59">
        <f>12.687 * CHOOSE(CONTROL!$C$27, $C$14, 100%, $E$14)</f>
        <v>12.686999999999999</v>
      </c>
    </row>
    <row r="689" spans="1:15" ht="15">
      <c r="A689" s="11">
        <v>62063</v>
      </c>
      <c r="B689" s="58">
        <f>10.9742 * CHOOSE(CONTROL!$C$27, $C$14, 100%, $E$14)</f>
        <v>10.9742</v>
      </c>
      <c r="C689" s="58">
        <f>10.9742 * CHOOSE(CONTROL!$C$27, $C$14, 100%, $E$14)</f>
        <v>10.9742</v>
      </c>
      <c r="D689" s="58">
        <f>10.9782 * CHOOSE(CONTROL!$C$27, $C$14, 100%, $E$14)</f>
        <v>10.978199999999999</v>
      </c>
      <c r="E689" s="59">
        <f>12.5681 * CHOOSE(CONTROL!$C$27, $C$14, 100%, $E$14)</f>
        <v>12.568099999999999</v>
      </c>
      <c r="F689" s="59">
        <f>12.5681 * CHOOSE(CONTROL!$C$27, $C$14, 100%, $E$14)</f>
        <v>12.568099999999999</v>
      </c>
      <c r="G689" s="59">
        <f>12.573 * CHOOSE(CONTROL!$C$27, $C$14, 100%, $E$14)</f>
        <v>12.573</v>
      </c>
      <c r="H689" s="59">
        <f>23.4733* CHOOSE(CONTROL!$C$27, $C$14, 100%, $E$14)</f>
        <v>23.473299999999998</v>
      </c>
      <c r="I689" s="59">
        <f>23.4783 * CHOOSE(CONTROL!$C$27, $C$14, 100%, $E$14)</f>
        <v>23.478300000000001</v>
      </c>
      <c r="J689" s="59">
        <f>23.4733 * CHOOSE(CONTROL!$C$27, $C$14, 100%, $E$14)</f>
        <v>23.473299999999998</v>
      </c>
      <c r="K689" s="59">
        <f>23.4783 * CHOOSE(CONTROL!$C$27, $C$14, 100%, $E$14)</f>
        <v>23.478300000000001</v>
      </c>
      <c r="L689" s="59">
        <f>12.5681 * CHOOSE(CONTROL!$C$27, $C$14, 100%, $E$14)</f>
        <v>12.568099999999999</v>
      </c>
      <c r="M689" s="59">
        <f>12.573 * CHOOSE(CONTROL!$C$27, $C$14, 100%, $E$14)</f>
        <v>12.573</v>
      </c>
      <c r="N689" s="59">
        <f>12.5681 * CHOOSE(CONTROL!$C$27, $C$14, 100%, $E$14)</f>
        <v>12.568099999999999</v>
      </c>
      <c r="O689" s="59">
        <f>12.573 * CHOOSE(CONTROL!$C$27, $C$14, 100%, $E$14)</f>
        <v>12.573</v>
      </c>
    </row>
    <row r="690" spans="1:15" ht="15">
      <c r="A690" s="11">
        <v>62094</v>
      </c>
      <c r="B690" s="58">
        <f>11.0163 * CHOOSE(CONTROL!$C$27, $C$14, 100%, $E$14)</f>
        <v>11.016299999999999</v>
      </c>
      <c r="C690" s="58">
        <f>11.0163 * CHOOSE(CONTROL!$C$27, $C$14, 100%, $E$14)</f>
        <v>11.016299999999999</v>
      </c>
      <c r="D690" s="58">
        <f>11.0203 * CHOOSE(CONTROL!$C$27, $C$14, 100%, $E$14)</f>
        <v>11.020300000000001</v>
      </c>
      <c r="E690" s="59">
        <f>12.7015 * CHOOSE(CONTROL!$C$27, $C$14, 100%, $E$14)</f>
        <v>12.701499999999999</v>
      </c>
      <c r="F690" s="59">
        <f>12.7015 * CHOOSE(CONTROL!$C$27, $C$14, 100%, $E$14)</f>
        <v>12.701499999999999</v>
      </c>
      <c r="G690" s="59">
        <f>12.7065 * CHOOSE(CONTROL!$C$27, $C$14, 100%, $E$14)</f>
        <v>12.7065</v>
      </c>
      <c r="H690" s="59">
        <f>23.4246* CHOOSE(CONTROL!$C$27, $C$14, 100%, $E$14)</f>
        <v>23.424600000000002</v>
      </c>
      <c r="I690" s="59">
        <f>23.4296 * CHOOSE(CONTROL!$C$27, $C$14, 100%, $E$14)</f>
        <v>23.429600000000001</v>
      </c>
      <c r="J690" s="59">
        <f>23.4246 * CHOOSE(CONTROL!$C$27, $C$14, 100%, $E$14)</f>
        <v>23.424600000000002</v>
      </c>
      <c r="K690" s="59">
        <f>23.4296 * CHOOSE(CONTROL!$C$27, $C$14, 100%, $E$14)</f>
        <v>23.429600000000001</v>
      </c>
      <c r="L690" s="59">
        <f>12.7015 * CHOOSE(CONTROL!$C$27, $C$14, 100%, $E$14)</f>
        <v>12.701499999999999</v>
      </c>
      <c r="M690" s="59">
        <f>12.7065 * CHOOSE(CONTROL!$C$27, $C$14, 100%, $E$14)</f>
        <v>12.7065</v>
      </c>
      <c r="N690" s="59">
        <f>12.7015 * CHOOSE(CONTROL!$C$27, $C$14, 100%, $E$14)</f>
        <v>12.701499999999999</v>
      </c>
      <c r="O690" s="59">
        <f>12.7065 * CHOOSE(CONTROL!$C$27, $C$14, 100%, $E$14)</f>
        <v>12.7065</v>
      </c>
    </row>
    <row r="691" spans="1:15" ht="15">
      <c r="A691" s="11">
        <v>62125</v>
      </c>
      <c r="B691" s="58">
        <f>11.0133 * CHOOSE(CONTROL!$C$27, $C$14, 100%, $E$14)</f>
        <v>11.013299999999999</v>
      </c>
      <c r="C691" s="58">
        <f>11.0133 * CHOOSE(CONTROL!$C$27, $C$14, 100%, $E$14)</f>
        <v>11.013299999999999</v>
      </c>
      <c r="D691" s="58">
        <f>11.0173 * CHOOSE(CONTROL!$C$27, $C$14, 100%, $E$14)</f>
        <v>11.017300000000001</v>
      </c>
      <c r="E691" s="59">
        <f>12.479 * CHOOSE(CONTROL!$C$27, $C$14, 100%, $E$14)</f>
        <v>12.478999999999999</v>
      </c>
      <c r="F691" s="59">
        <f>12.479 * CHOOSE(CONTROL!$C$27, $C$14, 100%, $E$14)</f>
        <v>12.478999999999999</v>
      </c>
      <c r="G691" s="59">
        <f>12.4839 * CHOOSE(CONTROL!$C$27, $C$14, 100%, $E$14)</f>
        <v>12.4839</v>
      </c>
      <c r="H691" s="59">
        <f>23.4734* CHOOSE(CONTROL!$C$27, $C$14, 100%, $E$14)</f>
        <v>23.473400000000002</v>
      </c>
      <c r="I691" s="59">
        <f>23.4784 * CHOOSE(CONTROL!$C$27, $C$14, 100%, $E$14)</f>
        <v>23.478400000000001</v>
      </c>
      <c r="J691" s="59">
        <f>23.4734 * CHOOSE(CONTROL!$C$27, $C$14, 100%, $E$14)</f>
        <v>23.473400000000002</v>
      </c>
      <c r="K691" s="59">
        <f>23.4784 * CHOOSE(CONTROL!$C$27, $C$14, 100%, $E$14)</f>
        <v>23.478400000000001</v>
      </c>
      <c r="L691" s="59">
        <f>12.479 * CHOOSE(CONTROL!$C$27, $C$14, 100%, $E$14)</f>
        <v>12.478999999999999</v>
      </c>
      <c r="M691" s="59">
        <f>12.4839 * CHOOSE(CONTROL!$C$27, $C$14, 100%, $E$14)</f>
        <v>12.4839</v>
      </c>
      <c r="N691" s="59">
        <f>12.479 * CHOOSE(CONTROL!$C$27, $C$14, 100%, $E$14)</f>
        <v>12.478999999999999</v>
      </c>
      <c r="O691" s="59">
        <f>12.4839 * CHOOSE(CONTROL!$C$27, $C$14, 100%, $E$14)</f>
        <v>12.4839</v>
      </c>
    </row>
    <row r="692" spans="1:15" ht="15">
      <c r="A692" s="11">
        <v>62153</v>
      </c>
      <c r="B692" s="58">
        <f>11.0102 * CHOOSE(CONTROL!$C$27, $C$14, 100%, $E$14)</f>
        <v>11.010199999999999</v>
      </c>
      <c r="C692" s="58">
        <f>11.0102 * CHOOSE(CONTROL!$C$27, $C$14, 100%, $E$14)</f>
        <v>11.010199999999999</v>
      </c>
      <c r="D692" s="58">
        <f>11.0142 * CHOOSE(CONTROL!$C$27, $C$14, 100%, $E$14)</f>
        <v>11.014200000000001</v>
      </c>
      <c r="E692" s="59">
        <f>12.6507 * CHOOSE(CONTROL!$C$27, $C$14, 100%, $E$14)</f>
        <v>12.650700000000001</v>
      </c>
      <c r="F692" s="59">
        <f>12.6507 * CHOOSE(CONTROL!$C$27, $C$14, 100%, $E$14)</f>
        <v>12.650700000000001</v>
      </c>
      <c r="G692" s="59">
        <f>12.6556 * CHOOSE(CONTROL!$C$27, $C$14, 100%, $E$14)</f>
        <v>12.6556</v>
      </c>
      <c r="H692" s="59">
        <f>23.5223* CHOOSE(CONTROL!$C$27, $C$14, 100%, $E$14)</f>
        <v>23.522300000000001</v>
      </c>
      <c r="I692" s="59">
        <f>23.5273 * CHOOSE(CONTROL!$C$27, $C$14, 100%, $E$14)</f>
        <v>23.5273</v>
      </c>
      <c r="J692" s="59">
        <f>23.5223 * CHOOSE(CONTROL!$C$27, $C$14, 100%, $E$14)</f>
        <v>23.522300000000001</v>
      </c>
      <c r="K692" s="59">
        <f>23.5273 * CHOOSE(CONTROL!$C$27, $C$14, 100%, $E$14)</f>
        <v>23.5273</v>
      </c>
      <c r="L692" s="59">
        <f>12.6507 * CHOOSE(CONTROL!$C$27, $C$14, 100%, $E$14)</f>
        <v>12.650700000000001</v>
      </c>
      <c r="M692" s="59">
        <f>12.6556 * CHOOSE(CONTROL!$C$27, $C$14, 100%, $E$14)</f>
        <v>12.6556</v>
      </c>
      <c r="N692" s="59">
        <f>12.6507 * CHOOSE(CONTROL!$C$27, $C$14, 100%, $E$14)</f>
        <v>12.650700000000001</v>
      </c>
      <c r="O692" s="59">
        <f>12.6556 * CHOOSE(CONTROL!$C$27, $C$14, 100%, $E$14)</f>
        <v>12.6556</v>
      </c>
    </row>
    <row r="693" spans="1:15" ht="15">
      <c r="A693" s="11">
        <v>62184</v>
      </c>
      <c r="B693" s="58">
        <f>11.0138 * CHOOSE(CONTROL!$C$27, $C$14, 100%, $E$14)</f>
        <v>11.0138</v>
      </c>
      <c r="C693" s="58">
        <f>11.0138 * CHOOSE(CONTROL!$C$27, $C$14, 100%, $E$14)</f>
        <v>11.0138</v>
      </c>
      <c r="D693" s="58">
        <f>11.0178 * CHOOSE(CONTROL!$C$27, $C$14, 100%, $E$14)</f>
        <v>11.017799999999999</v>
      </c>
      <c r="E693" s="59">
        <f>12.833 * CHOOSE(CONTROL!$C$27, $C$14, 100%, $E$14)</f>
        <v>12.833</v>
      </c>
      <c r="F693" s="59">
        <f>12.833 * CHOOSE(CONTROL!$C$27, $C$14, 100%, $E$14)</f>
        <v>12.833</v>
      </c>
      <c r="G693" s="59">
        <f>12.8379 * CHOOSE(CONTROL!$C$27, $C$14, 100%, $E$14)</f>
        <v>12.837899999999999</v>
      </c>
      <c r="H693" s="59">
        <f>23.5713* CHOOSE(CONTROL!$C$27, $C$14, 100%, $E$14)</f>
        <v>23.571300000000001</v>
      </c>
      <c r="I693" s="59">
        <f>23.5763 * CHOOSE(CONTROL!$C$27, $C$14, 100%, $E$14)</f>
        <v>23.5763</v>
      </c>
      <c r="J693" s="59">
        <f>23.5713 * CHOOSE(CONTROL!$C$27, $C$14, 100%, $E$14)</f>
        <v>23.571300000000001</v>
      </c>
      <c r="K693" s="59">
        <f>23.5763 * CHOOSE(CONTROL!$C$27, $C$14, 100%, $E$14)</f>
        <v>23.5763</v>
      </c>
      <c r="L693" s="59">
        <f>12.833 * CHOOSE(CONTROL!$C$27, $C$14, 100%, $E$14)</f>
        <v>12.833</v>
      </c>
      <c r="M693" s="59">
        <f>12.8379 * CHOOSE(CONTROL!$C$27, $C$14, 100%, $E$14)</f>
        <v>12.837899999999999</v>
      </c>
      <c r="N693" s="59">
        <f>12.833 * CHOOSE(CONTROL!$C$27, $C$14, 100%, $E$14)</f>
        <v>12.833</v>
      </c>
      <c r="O693" s="59">
        <f>12.8379 * CHOOSE(CONTROL!$C$27, $C$14, 100%, $E$14)</f>
        <v>12.837899999999999</v>
      </c>
    </row>
    <row r="694" spans="1:15" ht="15">
      <c r="A694" s="11">
        <v>62214</v>
      </c>
      <c r="B694" s="58">
        <f>11.0138 * CHOOSE(CONTROL!$C$27, $C$14, 100%, $E$14)</f>
        <v>11.0138</v>
      </c>
      <c r="C694" s="58">
        <f>11.0138 * CHOOSE(CONTROL!$C$27, $C$14, 100%, $E$14)</f>
        <v>11.0138</v>
      </c>
      <c r="D694" s="58">
        <f>11.0194 * CHOOSE(CONTROL!$C$27, $C$14, 100%, $E$14)</f>
        <v>11.019399999999999</v>
      </c>
      <c r="E694" s="59">
        <f>12.903 * CHOOSE(CONTROL!$C$27, $C$14, 100%, $E$14)</f>
        <v>12.903</v>
      </c>
      <c r="F694" s="59">
        <f>12.903 * CHOOSE(CONTROL!$C$27, $C$14, 100%, $E$14)</f>
        <v>12.903</v>
      </c>
      <c r="G694" s="59">
        <f>12.9099 * CHOOSE(CONTROL!$C$27, $C$14, 100%, $E$14)</f>
        <v>12.9099</v>
      </c>
      <c r="H694" s="59">
        <f>23.6204* CHOOSE(CONTROL!$C$27, $C$14, 100%, $E$14)</f>
        <v>23.6204</v>
      </c>
      <c r="I694" s="59">
        <f>23.6273 * CHOOSE(CONTROL!$C$27, $C$14, 100%, $E$14)</f>
        <v>23.627300000000002</v>
      </c>
      <c r="J694" s="59">
        <f>23.6204 * CHOOSE(CONTROL!$C$27, $C$14, 100%, $E$14)</f>
        <v>23.6204</v>
      </c>
      <c r="K694" s="59">
        <f>23.6273 * CHOOSE(CONTROL!$C$27, $C$14, 100%, $E$14)</f>
        <v>23.627300000000002</v>
      </c>
      <c r="L694" s="59">
        <f>12.903 * CHOOSE(CONTROL!$C$27, $C$14, 100%, $E$14)</f>
        <v>12.903</v>
      </c>
      <c r="M694" s="59">
        <f>12.9099 * CHOOSE(CONTROL!$C$27, $C$14, 100%, $E$14)</f>
        <v>12.9099</v>
      </c>
      <c r="N694" s="59">
        <f>12.903 * CHOOSE(CONTROL!$C$27, $C$14, 100%, $E$14)</f>
        <v>12.903</v>
      </c>
      <c r="O694" s="59">
        <f>12.9099 * CHOOSE(CONTROL!$C$27, $C$14, 100%, $E$14)</f>
        <v>12.9099</v>
      </c>
    </row>
    <row r="695" spans="1:15" ht="15">
      <c r="A695" s="11">
        <v>62245</v>
      </c>
      <c r="B695" s="58">
        <f>11.0199 * CHOOSE(CONTROL!$C$27, $C$14, 100%, $E$14)</f>
        <v>11.0199</v>
      </c>
      <c r="C695" s="58">
        <f>11.0199 * CHOOSE(CONTROL!$C$27, $C$14, 100%, $E$14)</f>
        <v>11.0199</v>
      </c>
      <c r="D695" s="58">
        <f>11.0255 * CHOOSE(CONTROL!$C$27, $C$14, 100%, $E$14)</f>
        <v>11.025499999999999</v>
      </c>
      <c r="E695" s="59">
        <f>12.8373 * CHOOSE(CONTROL!$C$27, $C$14, 100%, $E$14)</f>
        <v>12.837300000000001</v>
      </c>
      <c r="F695" s="59">
        <f>12.8373 * CHOOSE(CONTROL!$C$27, $C$14, 100%, $E$14)</f>
        <v>12.837300000000001</v>
      </c>
      <c r="G695" s="59">
        <f>12.8441 * CHOOSE(CONTROL!$C$27, $C$14, 100%, $E$14)</f>
        <v>12.844099999999999</v>
      </c>
      <c r="H695" s="59">
        <f>23.6697* CHOOSE(CONTROL!$C$27, $C$14, 100%, $E$14)</f>
        <v>23.669699999999999</v>
      </c>
      <c r="I695" s="59">
        <f>23.6765 * CHOOSE(CONTROL!$C$27, $C$14, 100%, $E$14)</f>
        <v>23.676500000000001</v>
      </c>
      <c r="J695" s="59">
        <f>23.6697 * CHOOSE(CONTROL!$C$27, $C$14, 100%, $E$14)</f>
        <v>23.669699999999999</v>
      </c>
      <c r="K695" s="59">
        <f>23.6765 * CHOOSE(CONTROL!$C$27, $C$14, 100%, $E$14)</f>
        <v>23.676500000000001</v>
      </c>
      <c r="L695" s="59">
        <f>12.8373 * CHOOSE(CONTROL!$C$27, $C$14, 100%, $E$14)</f>
        <v>12.837300000000001</v>
      </c>
      <c r="M695" s="59">
        <f>12.8441 * CHOOSE(CONTROL!$C$27, $C$14, 100%, $E$14)</f>
        <v>12.844099999999999</v>
      </c>
      <c r="N695" s="59">
        <f>12.8373 * CHOOSE(CONTROL!$C$27, $C$14, 100%, $E$14)</f>
        <v>12.837300000000001</v>
      </c>
      <c r="O695" s="59">
        <f>12.8441 * CHOOSE(CONTROL!$C$27, $C$14, 100%, $E$14)</f>
        <v>12.844099999999999</v>
      </c>
    </row>
    <row r="696" spans="1:15" ht="15">
      <c r="A696" s="11">
        <v>62275</v>
      </c>
      <c r="B696" s="58">
        <f>11.1891 * CHOOSE(CONTROL!$C$27, $C$14, 100%, $E$14)</f>
        <v>11.1891</v>
      </c>
      <c r="C696" s="58">
        <f>11.1891 * CHOOSE(CONTROL!$C$27, $C$14, 100%, $E$14)</f>
        <v>11.1891</v>
      </c>
      <c r="D696" s="58">
        <f>11.1947 * CHOOSE(CONTROL!$C$27, $C$14, 100%, $E$14)</f>
        <v>11.194699999999999</v>
      </c>
      <c r="E696" s="59">
        <f>13.0438 * CHOOSE(CONTROL!$C$27, $C$14, 100%, $E$14)</f>
        <v>13.043799999999999</v>
      </c>
      <c r="F696" s="59">
        <f>13.0438 * CHOOSE(CONTROL!$C$27, $C$14, 100%, $E$14)</f>
        <v>13.043799999999999</v>
      </c>
      <c r="G696" s="59">
        <f>13.0507 * CHOOSE(CONTROL!$C$27, $C$14, 100%, $E$14)</f>
        <v>13.050700000000001</v>
      </c>
      <c r="H696" s="59">
        <f>23.719* CHOOSE(CONTROL!$C$27, $C$14, 100%, $E$14)</f>
        <v>23.719000000000001</v>
      </c>
      <c r="I696" s="59">
        <f>23.7259 * CHOOSE(CONTROL!$C$27, $C$14, 100%, $E$14)</f>
        <v>23.725899999999999</v>
      </c>
      <c r="J696" s="59">
        <f>23.719 * CHOOSE(CONTROL!$C$27, $C$14, 100%, $E$14)</f>
        <v>23.719000000000001</v>
      </c>
      <c r="K696" s="59">
        <f>23.7259 * CHOOSE(CONTROL!$C$27, $C$14, 100%, $E$14)</f>
        <v>23.725899999999999</v>
      </c>
      <c r="L696" s="59">
        <f>13.0438 * CHOOSE(CONTROL!$C$27, $C$14, 100%, $E$14)</f>
        <v>13.043799999999999</v>
      </c>
      <c r="M696" s="59">
        <f>13.0507 * CHOOSE(CONTROL!$C$27, $C$14, 100%, $E$14)</f>
        <v>13.050700000000001</v>
      </c>
      <c r="N696" s="59">
        <f>13.0438 * CHOOSE(CONTROL!$C$27, $C$14, 100%, $E$14)</f>
        <v>13.043799999999999</v>
      </c>
      <c r="O696" s="59">
        <f>13.0507 * CHOOSE(CONTROL!$C$27, $C$14, 100%, $E$14)</f>
        <v>13.050700000000001</v>
      </c>
    </row>
    <row r="697" spans="1:15" ht="15">
      <c r="A697" s="11">
        <v>62306</v>
      </c>
      <c r="B697" s="58">
        <f>11.1958 * CHOOSE(CONTROL!$C$27, $C$14, 100%, $E$14)</f>
        <v>11.1958</v>
      </c>
      <c r="C697" s="58">
        <f>11.1958 * CHOOSE(CONTROL!$C$27, $C$14, 100%, $E$14)</f>
        <v>11.1958</v>
      </c>
      <c r="D697" s="58">
        <f>11.2014 * CHOOSE(CONTROL!$C$27, $C$14, 100%, $E$14)</f>
        <v>11.2014</v>
      </c>
      <c r="E697" s="59">
        <f>12.8386 * CHOOSE(CONTROL!$C$27, $C$14, 100%, $E$14)</f>
        <v>12.8386</v>
      </c>
      <c r="F697" s="59">
        <f>12.8386 * CHOOSE(CONTROL!$C$27, $C$14, 100%, $E$14)</f>
        <v>12.8386</v>
      </c>
      <c r="G697" s="59">
        <f>12.8455 * CHOOSE(CONTROL!$C$27, $C$14, 100%, $E$14)</f>
        <v>12.845499999999999</v>
      </c>
      <c r="H697" s="59">
        <f>23.7684* CHOOSE(CONTROL!$C$27, $C$14, 100%, $E$14)</f>
        <v>23.7684</v>
      </c>
      <c r="I697" s="59">
        <f>23.7753 * CHOOSE(CONTROL!$C$27, $C$14, 100%, $E$14)</f>
        <v>23.775300000000001</v>
      </c>
      <c r="J697" s="59">
        <f>23.7684 * CHOOSE(CONTROL!$C$27, $C$14, 100%, $E$14)</f>
        <v>23.7684</v>
      </c>
      <c r="K697" s="59">
        <f>23.7753 * CHOOSE(CONTROL!$C$27, $C$14, 100%, $E$14)</f>
        <v>23.775300000000001</v>
      </c>
      <c r="L697" s="59">
        <f>12.8386 * CHOOSE(CONTROL!$C$27, $C$14, 100%, $E$14)</f>
        <v>12.8386</v>
      </c>
      <c r="M697" s="59">
        <f>12.8455 * CHOOSE(CONTROL!$C$27, $C$14, 100%, $E$14)</f>
        <v>12.845499999999999</v>
      </c>
      <c r="N697" s="59">
        <f>12.8386 * CHOOSE(CONTROL!$C$27, $C$14, 100%, $E$14)</f>
        <v>12.8386</v>
      </c>
      <c r="O697" s="59">
        <f>12.8455 * CHOOSE(CONTROL!$C$27, $C$14, 100%, $E$14)</f>
        <v>12.845499999999999</v>
      </c>
    </row>
    <row r="698" spans="1:15" ht="15">
      <c r="A698" s="11">
        <v>62337</v>
      </c>
      <c r="B698" s="58">
        <f>11.1927 * CHOOSE(CONTROL!$C$27, $C$14, 100%, $E$14)</f>
        <v>11.1927</v>
      </c>
      <c r="C698" s="58">
        <f>11.1927 * CHOOSE(CONTROL!$C$27, $C$14, 100%, $E$14)</f>
        <v>11.1927</v>
      </c>
      <c r="D698" s="58">
        <f>11.1984 * CHOOSE(CONTROL!$C$27, $C$14, 100%, $E$14)</f>
        <v>11.198399999999999</v>
      </c>
      <c r="E698" s="59">
        <f>12.8131 * CHOOSE(CONTROL!$C$27, $C$14, 100%, $E$14)</f>
        <v>12.8131</v>
      </c>
      <c r="F698" s="59">
        <f>12.8131 * CHOOSE(CONTROL!$C$27, $C$14, 100%, $E$14)</f>
        <v>12.8131</v>
      </c>
      <c r="G698" s="59">
        <f>12.82 * CHOOSE(CONTROL!$C$27, $C$14, 100%, $E$14)</f>
        <v>12.82</v>
      </c>
      <c r="H698" s="59">
        <f>23.8179* CHOOSE(CONTROL!$C$27, $C$14, 100%, $E$14)</f>
        <v>23.817900000000002</v>
      </c>
      <c r="I698" s="59">
        <f>23.8248 * CHOOSE(CONTROL!$C$27, $C$14, 100%, $E$14)</f>
        <v>23.8248</v>
      </c>
      <c r="J698" s="59">
        <f>23.8179 * CHOOSE(CONTROL!$C$27, $C$14, 100%, $E$14)</f>
        <v>23.817900000000002</v>
      </c>
      <c r="K698" s="59">
        <f>23.8248 * CHOOSE(CONTROL!$C$27, $C$14, 100%, $E$14)</f>
        <v>23.8248</v>
      </c>
      <c r="L698" s="59">
        <f>12.8131 * CHOOSE(CONTROL!$C$27, $C$14, 100%, $E$14)</f>
        <v>12.8131</v>
      </c>
      <c r="M698" s="59">
        <f>12.82 * CHOOSE(CONTROL!$C$27, $C$14, 100%, $E$14)</f>
        <v>12.82</v>
      </c>
      <c r="N698" s="59">
        <f>12.8131 * CHOOSE(CONTROL!$C$27, $C$14, 100%, $E$14)</f>
        <v>12.8131</v>
      </c>
      <c r="O698" s="59">
        <f>12.82 * CHOOSE(CONTROL!$C$27, $C$14, 100%, $E$14)</f>
        <v>12.82</v>
      </c>
    </row>
    <row r="699" spans="1:15" ht="15">
      <c r="A699" s="11">
        <v>62367</v>
      </c>
      <c r="B699" s="58">
        <f>11.2111 * CHOOSE(CONTROL!$C$27, $C$14, 100%, $E$14)</f>
        <v>11.2111</v>
      </c>
      <c r="C699" s="58">
        <f>11.2111 * CHOOSE(CONTROL!$C$27, $C$14, 100%, $E$14)</f>
        <v>11.2111</v>
      </c>
      <c r="D699" s="58">
        <f>11.2151 * CHOOSE(CONTROL!$C$27, $C$14, 100%, $E$14)</f>
        <v>11.2151</v>
      </c>
      <c r="E699" s="59">
        <f>12.893 * CHOOSE(CONTROL!$C$27, $C$14, 100%, $E$14)</f>
        <v>12.893000000000001</v>
      </c>
      <c r="F699" s="59">
        <f>12.893 * CHOOSE(CONTROL!$C$27, $C$14, 100%, $E$14)</f>
        <v>12.893000000000001</v>
      </c>
      <c r="G699" s="59">
        <f>12.8979 * CHOOSE(CONTROL!$C$27, $C$14, 100%, $E$14)</f>
        <v>12.8979</v>
      </c>
      <c r="H699" s="59">
        <f>23.8675* CHOOSE(CONTROL!$C$27, $C$14, 100%, $E$14)</f>
        <v>23.8675</v>
      </c>
      <c r="I699" s="59">
        <f>23.8724 * CHOOSE(CONTROL!$C$27, $C$14, 100%, $E$14)</f>
        <v>23.872399999999999</v>
      </c>
      <c r="J699" s="59">
        <f>23.8675 * CHOOSE(CONTROL!$C$27, $C$14, 100%, $E$14)</f>
        <v>23.8675</v>
      </c>
      <c r="K699" s="59">
        <f>23.8724 * CHOOSE(CONTROL!$C$27, $C$14, 100%, $E$14)</f>
        <v>23.872399999999999</v>
      </c>
      <c r="L699" s="59">
        <f>12.893 * CHOOSE(CONTROL!$C$27, $C$14, 100%, $E$14)</f>
        <v>12.893000000000001</v>
      </c>
      <c r="M699" s="59">
        <f>12.8979 * CHOOSE(CONTROL!$C$27, $C$14, 100%, $E$14)</f>
        <v>12.8979</v>
      </c>
      <c r="N699" s="59">
        <f>12.893 * CHOOSE(CONTROL!$C$27, $C$14, 100%, $E$14)</f>
        <v>12.893000000000001</v>
      </c>
      <c r="O699" s="59">
        <f>12.8979 * CHOOSE(CONTROL!$C$27, $C$14, 100%, $E$14)</f>
        <v>12.8979</v>
      </c>
    </row>
    <row r="700" spans="1:15" ht="15">
      <c r="A700" s="11">
        <v>62398</v>
      </c>
      <c r="B700" s="58">
        <f>11.2141 * CHOOSE(CONTROL!$C$27, $C$14, 100%, $E$14)</f>
        <v>11.2141</v>
      </c>
      <c r="C700" s="58">
        <f>11.2141 * CHOOSE(CONTROL!$C$27, $C$14, 100%, $E$14)</f>
        <v>11.2141</v>
      </c>
      <c r="D700" s="58">
        <f>11.2181 * CHOOSE(CONTROL!$C$27, $C$14, 100%, $E$14)</f>
        <v>11.2181</v>
      </c>
      <c r="E700" s="59">
        <f>12.9418 * CHOOSE(CONTROL!$C$27, $C$14, 100%, $E$14)</f>
        <v>12.941800000000001</v>
      </c>
      <c r="F700" s="59">
        <f>12.9418 * CHOOSE(CONTROL!$C$27, $C$14, 100%, $E$14)</f>
        <v>12.941800000000001</v>
      </c>
      <c r="G700" s="59">
        <f>12.9467 * CHOOSE(CONTROL!$C$27, $C$14, 100%, $E$14)</f>
        <v>12.9467</v>
      </c>
      <c r="H700" s="59">
        <f>23.9172* CHOOSE(CONTROL!$C$27, $C$14, 100%, $E$14)</f>
        <v>23.917200000000001</v>
      </c>
      <c r="I700" s="59">
        <f>23.9222 * CHOOSE(CONTROL!$C$27, $C$14, 100%, $E$14)</f>
        <v>23.9222</v>
      </c>
      <c r="J700" s="59">
        <f>23.9172 * CHOOSE(CONTROL!$C$27, $C$14, 100%, $E$14)</f>
        <v>23.917200000000001</v>
      </c>
      <c r="K700" s="59">
        <f>23.9222 * CHOOSE(CONTROL!$C$27, $C$14, 100%, $E$14)</f>
        <v>23.9222</v>
      </c>
      <c r="L700" s="59">
        <f>12.9418 * CHOOSE(CONTROL!$C$27, $C$14, 100%, $E$14)</f>
        <v>12.941800000000001</v>
      </c>
      <c r="M700" s="59">
        <f>12.9467 * CHOOSE(CONTROL!$C$27, $C$14, 100%, $E$14)</f>
        <v>12.9467</v>
      </c>
      <c r="N700" s="59">
        <f>12.9418 * CHOOSE(CONTROL!$C$27, $C$14, 100%, $E$14)</f>
        <v>12.941800000000001</v>
      </c>
      <c r="O700" s="59">
        <f>12.9467 * CHOOSE(CONTROL!$C$27, $C$14, 100%, $E$14)</f>
        <v>12.9467</v>
      </c>
    </row>
    <row r="701" spans="1:15" ht="15">
      <c r="A701" s="11">
        <v>62428</v>
      </c>
      <c r="B701" s="58">
        <f>11.2141 * CHOOSE(CONTROL!$C$27, $C$14, 100%, $E$14)</f>
        <v>11.2141</v>
      </c>
      <c r="C701" s="58">
        <f>11.2141 * CHOOSE(CONTROL!$C$27, $C$14, 100%, $E$14)</f>
        <v>11.2141</v>
      </c>
      <c r="D701" s="58">
        <f>11.2181 * CHOOSE(CONTROL!$C$27, $C$14, 100%, $E$14)</f>
        <v>11.2181</v>
      </c>
      <c r="E701" s="59">
        <f>12.8252 * CHOOSE(CONTROL!$C$27, $C$14, 100%, $E$14)</f>
        <v>12.825200000000001</v>
      </c>
      <c r="F701" s="59">
        <f>12.8252 * CHOOSE(CONTROL!$C$27, $C$14, 100%, $E$14)</f>
        <v>12.825200000000001</v>
      </c>
      <c r="G701" s="59">
        <f>12.8301 * CHOOSE(CONTROL!$C$27, $C$14, 100%, $E$14)</f>
        <v>12.8301</v>
      </c>
      <c r="H701" s="59">
        <f>23.9671* CHOOSE(CONTROL!$C$27, $C$14, 100%, $E$14)</f>
        <v>23.967099999999999</v>
      </c>
      <c r="I701" s="59">
        <f>23.972 * CHOOSE(CONTROL!$C$27, $C$14, 100%, $E$14)</f>
        <v>23.972000000000001</v>
      </c>
      <c r="J701" s="59">
        <f>23.9671 * CHOOSE(CONTROL!$C$27, $C$14, 100%, $E$14)</f>
        <v>23.967099999999999</v>
      </c>
      <c r="K701" s="59">
        <f>23.972 * CHOOSE(CONTROL!$C$27, $C$14, 100%, $E$14)</f>
        <v>23.972000000000001</v>
      </c>
      <c r="L701" s="59">
        <f>12.8252 * CHOOSE(CONTROL!$C$27, $C$14, 100%, $E$14)</f>
        <v>12.825200000000001</v>
      </c>
      <c r="M701" s="59">
        <f>12.8301 * CHOOSE(CONTROL!$C$27, $C$14, 100%, $E$14)</f>
        <v>12.8301</v>
      </c>
      <c r="N701" s="59">
        <f>12.8252 * CHOOSE(CONTROL!$C$27, $C$14, 100%, $E$14)</f>
        <v>12.825200000000001</v>
      </c>
      <c r="O701" s="59">
        <f>12.8301 * CHOOSE(CONTROL!$C$27, $C$14, 100%, $E$14)</f>
        <v>12.8301</v>
      </c>
    </row>
    <row r="702" spans="1:15" ht="15">
      <c r="A702" s="11">
        <v>62459</v>
      </c>
      <c r="B702" s="58">
        <f>11.2519 * CHOOSE(CONTROL!$C$27, $C$14, 100%, $E$14)</f>
        <v>11.251899999999999</v>
      </c>
      <c r="C702" s="58">
        <f>11.2519 * CHOOSE(CONTROL!$C$27, $C$14, 100%, $E$14)</f>
        <v>11.251899999999999</v>
      </c>
      <c r="D702" s="58">
        <f>11.2559 * CHOOSE(CONTROL!$C$27, $C$14, 100%, $E$14)</f>
        <v>11.2559</v>
      </c>
      <c r="E702" s="59">
        <f>12.9563 * CHOOSE(CONTROL!$C$27, $C$14, 100%, $E$14)</f>
        <v>12.956300000000001</v>
      </c>
      <c r="F702" s="59">
        <f>12.9563 * CHOOSE(CONTROL!$C$27, $C$14, 100%, $E$14)</f>
        <v>12.956300000000001</v>
      </c>
      <c r="G702" s="59">
        <f>12.9612 * CHOOSE(CONTROL!$C$27, $C$14, 100%, $E$14)</f>
        <v>12.9612</v>
      </c>
      <c r="H702" s="59">
        <f>23.9072* CHOOSE(CONTROL!$C$27, $C$14, 100%, $E$14)</f>
        <v>23.9072</v>
      </c>
      <c r="I702" s="59">
        <f>23.9121 * CHOOSE(CONTROL!$C$27, $C$14, 100%, $E$14)</f>
        <v>23.912099999999999</v>
      </c>
      <c r="J702" s="59">
        <f>23.9072 * CHOOSE(CONTROL!$C$27, $C$14, 100%, $E$14)</f>
        <v>23.9072</v>
      </c>
      <c r="K702" s="59">
        <f>23.9121 * CHOOSE(CONTROL!$C$27, $C$14, 100%, $E$14)</f>
        <v>23.912099999999999</v>
      </c>
      <c r="L702" s="59">
        <f>12.9563 * CHOOSE(CONTROL!$C$27, $C$14, 100%, $E$14)</f>
        <v>12.956300000000001</v>
      </c>
      <c r="M702" s="59">
        <f>12.9612 * CHOOSE(CONTROL!$C$27, $C$14, 100%, $E$14)</f>
        <v>12.9612</v>
      </c>
      <c r="N702" s="59">
        <f>12.9563 * CHOOSE(CONTROL!$C$27, $C$14, 100%, $E$14)</f>
        <v>12.956300000000001</v>
      </c>
      <c r="O702" s="59">
        <f>12.9612 * CHOOSE(CONTROL!$C$27, $C$14, 100%, $E$14)</f>
        <v>12.9612</v>
      </c>
    </row>
    <row r="703" spans="1:15" ht="15">
      <c r="A703" s="11">
        <v>62490</v>
      </c>
      <c r="B703" s="58">
        <f>11.2488 * CHOOSE(CONTROL!$C$27, $C$14, 100%, $E$14)</f>
        <v>11.248799999999999</v>
      </c>
      <c r="C703" s="58">
        <f>11.2488 * CHOOSE(CONTROL!$C$27, $C$14, 100%, $E$14)</f>
        <v>11.248799999999999</v>
      </c>
      <c r="D703" s="58">
        <f>11.2528 * CHOOSE(CONTROL!$C$27, $C$14, 100%, $E$14)</f>
        <v>11.252800000000001</v>
      </c>
      <c r="E703" s="59">
        <f>12.7288 * CHOOSE(CONTROL!$C$27, $C$14, 100%, $E$14)</f>
        <v>12.7288</v>
      </c>
      <c r="F703" s="59">
        <f>12.7288 * CHOOSE(CONTROL!$C$27, $C$14, 100%, $E$14)</f>
        <v>12.7288</v>
      </c>
      <c r="G703" s="59">
        <f>12.7337 * CHOOSE(CONTROL!$C$27, $C$14, 100%, $E$14)</f>
        <v>12.733700000000001</v>
      </c>
      <c r="H703" s="59">
        <f>23.957* CHOOSE(CONTROL!$C$27, $C$14, 100%, $E$14)</f>
        <v>23.957000000000001</v>
      </c>
      <c r="I703" s="59">
        <f>23.9619 * CHOOSE(CONTROL!$C$27, $C$14, 100%, $E$14)</f>
        <v>23.9619</v>
      </c>
      <c r="J703" s="59">
        <f>23.957 * CHOOSE(CONTROL!$C$27, $C$14, 100%, $E$14)</f>
        <v>23.957000000000001</v>
      </c>
      <c r="K703" s="59">
        <f>23.9619 * CHOOSE(CONTROL!$C$27, $C$14, 100%, $E$14)</f>
        <v>23.9619</v>
      </c>
      <c r="L703" s="59">
        <f>12.7288 * CHOOSE(CONTROL!$C$27, $C$14, 100%, $E$14)</f>
        <v>12.7288</v>
      </c>
      <c r="M703" s="59">
        <f>12.7337 * CHOOSE(CONTROL!$C$27, $C$14, 100%, $E$14)</f>
        <v>12.733700000000001</v>
      </c>
      <c r="N703" s="59">
        <f>12.7288 * CHOOSE(CONTROL!$C$27, $C$14, 100%, $E$14)</f>
        <v>12.7288</v>
      </c>
      <c r="O703" s="59">
        <f>12.7337 * CHOOSE(CONTROL!$C$27, $C$14, 100%, $E$14)</f>
        <v>12.733700000000001</v>
      </c>
    </row>
    <row r="704" spans="1:15" ht="15">
      <c r="A704" s="11">
        <v>62518</v>
      </c>
      <c r="B704" s="58">
        <f>11.2458 * CHOOSE(CONTROL!$C$27, $C$14, 100%, $E$14)</f>
        <v>11.245799999999999</v>
      </c>
      <c r="C704" s="58">
        <f>11.2458 * CHOOSE(CONTROL!$C$27, $C$14, 100%, $E$14)</f>
        <v>11.245799999999999</v>
      </c>
      <c r="D704" s="58">
        <f>11.2498 * CHOOSE(CONTROL!$C$27, $C$14, 100%, $E$14)</f>
        <v>11.2498</v>
      </c>
      <c r="E704" s="59">
        <f>12.9043 * CHOOSE(CONTROL!$C$27, $C$14, 100%, $E$14)</f>
        <v>12.904299999999999</v>
      </c>
      <c r="F704" s="59">
        <f>12.9043 * CHOOSE(CONTROL!$C$27, $C$14, 100%, $E$14)</f>
        <v>12.904299999999999</v>
      </c>
      <c r="G704" s="59">
        <f>12.9093 * CHOOSE(CONTROL!$C$27, $C$14, 100%, $E$14)</f>
        <v>12.9093</v>
      </c>
      <c r="H704" s="59">
        <f>24.0069* CHOOSE(CONTROL!$C$27, $C$14, 100%, $E$14)</f>
        <v>24.006900000000002</v>
      </c>
      <c r="I704" s="59">
        <f>24.0118 * CHOOSE(CONTROL!$C$27, $C$14, 100%, $E$14)</f>
        <v>24.011800000000001</v>
      </c>
      <c r="J704" s="59">
        <f>24.0069 * CHOOSE(CONTROL!$C$27, $C$14, 100%, $E$14)</f>
        <v>24.006900000000002</v>
      </c>
      <c r="K704" s="59">
        <f>24.0118 * CHOOSE(CONTROL!$C$27, $C$14, 100%, $E$14)</f>
        <v>24.011800000000001</v>
      </c>
      <c r="L704" s="59">
        <f>12.9043 * CHOOSE(CONTROL!$C$27, $C$14, 100%, $E$14)</f>
        <v>12.904299999999999</v>
      </c>
      <c r="M704" s="59">
        <f>12.9093 * CHOOSE(CONTROL!$C$27, $C$14, 100%, $E$14)</f>
        <v>12.9093</v>
      </c>
      <c r="N704" s="59">
        <f>12.9043 * CHOOSE(CONTROL!$C$27, $C$14, 100%, $E$14)</f>
        <v>12.904299999999999</v>
      </c>
      <c r="O704" s="59">
        <f>12.9093 * CHOOSE(CONTROL!$C$27, $C$14, 100%, $E$14)</f>
        <v>12.9093</v>
      </c>
    </row>
    <row r="705" spans="1:15" ht="15">
      <c r="A705" s="11">
        <v>62549</v>
      </c>
      <c r="B705" s="58">
        <f>11.2496 * CHOOSE(CONTROL!$C$27, $C$14, 100%, $E$14)</f>
        <v>11.249599999999999</v>
      </c>
      <c r="C705" s="58">
        <f>11.2496 * CHOOSE(CONTROL!$C$27, $C$14, 100%, $E$14)</f>
        <v>11.249599999999999</v>
      </c>
      <c r="D705" s="58">
        <f>11.2536 * CHOOSE(CONTROL!$C$27, $C$14, 100%, $E$14)</f>
        <v>11.2536</v>
      </c>
      <c r="E705" s="59">
        <f>13.0909 * CHOOSE(CONTROL!$C$27, $C$14, 100%, $E$14)</f>
        <v>13.0909</v>
      </c>
      <c r="F705" s="59">
        <f>13.0909 * CHOOSE(CONTROL!$C$27, $C$14, 100%, $E$14)</f>
        <v>13.0909</v>
      </c>
      <c r="G705" s="59">
        <f>13.0958 * CHOOSE(CONTROL!$C$27, $C$14, 100%, $E$14)</f>
        <v>13.095800000000001</v>
      </c>
      <c r="H705" s="59">
        <f>24.0569* CHOOSE(CONTROL!$C$27, $C$14, 100%, $E$14)</f>
        <v>24.056899999999999</v>
      </c>
      <c r="I705" s="59">
        <f>24.0618 * CHOOSE(CONTROL!$C$27, $C$14, 100%, $E$14)</f>
        <v>24.061800000000002</v>
      </c>
      <c r="J705" s="59">
        <f>24.0569 * CHOOSE(CONTROL!$C$27, $C$14, 100%, $E$14)</f>
        <v>24.056899999999999</v>
      </c>
      <c r="K705" s="59">
        <f>24.0618 * CHOOSE(CONTROL!$C$27, $C$14, 100%, $E$14)</f>
        <v>24.061800000000002</v>
      </c>
      <c r="L705" s="59">
        <f>13.0909 * CHOOSE(CONTROL!$C$27, $C$14, 100%, $E$14)</f>
        <v>13.0909</v>
      </c>
      <c r="M705" s="59">
        <f>13.0958 * CHOOSE(CONTROL!$C$27, $C$14, 100%, $E$14)</f>
        <v>13.095800000000001</v>
      </c>
      <c r="N705" s="59">
        <f>13.0909 * CHOOSE(CONTROL!$C$27, $C$14, 100%, $E$14)</f>
        <v>13.0909</v>
      </c>
      <c r="O705" s="59">
        <f>13.0958 * CHOOSE(CONTROL!$C$27, $C$14, 100%, $E$14)</f>
        <v>13.095800000000001</v>
      </c>
    </row>
    <row r="706" spans="1:15" ht="15">
      <c r="A706" s="11">
        <v>62579</v>
      </c>
      <c r="B706" s="58">
        <f>11.2496 * CHOOSE(CONTROL!$C$27, $C$14, 100%, $E$14)</f>
        <v>11.249599999999999</v>
      </c>
      <c r="C706" s="58">
        <f>11.2496 * CHOOSE(CONTROL!$C$27, $C$14, 100%, $E$14)</f>
        <v>11.249599999999999</v>
      </c>
      <c r="D706" s="58">
        <f>11.2552 * CHOOSE(CONTROL!$C$27, $C$14, 100%, $E$14)</f>
        <v>11.2552</v>
      </c>
      <c r="E706" s="59">
        <f>13.1624 * CHOOSE(CONTROL!$C$27, $C$14, 100%, $E$14)</f>
        <v>13.1624</v>
      </c>
      <c r="F706" s="59">
        <f>13.1624 * CHOOSE(CONTROL!$C$27, $C$14, 100%, $E$14)</f>
        <v>13.1624</v>
      </c>
      <c r="G706" s="59">
        <f>13.1693 * CHOOSE(CONTROL!$C$27, $C$14, 100%, $E$14)</f>
        <v>13.1693</v>
      </c>
      <c r="H706" s="59">
        <f>24.107* CHOOSE(CONTROL!$C$27, $C$14, 100%, $E$14)</f>
        <v>24.106999999999999</v>
      </c>
      <c r="I706" s="59">
        <f>24.1139 * CHOOSE(CONTROL!$C$27, $C$14, 100%, $E$14)</f>
        <v>24.113900000000001</v>
      </c>
      <c r="J706" s="59">
        <f>24.107 * CHOOSE(CONTROL!$C$27, $C$14, 100%, $E$14)</f>
        <v>24.106999999999999</v>
      </c>
      <c r="K706" s="59">
        <f>24.1139 * CHOOSE(CONTROL!$C$27, $C$14, 100%, $E$14)</f>
        <v>24.113900000000001</v>
      </c>
      <c r="L706" s="59">
        <f>13.1624 * CHOOSE(CONTROL!$C$27, $C$14, 100%, $E$14)</f>
        <v>13.1624</v>
      </c>
      <c r="M706" s="59">
        <f>13.1693 * CHOOSE(CONTROL!$C$27, $C$14, 100%, $E$14)</f>
        <v>13.1693</v>
      </c>
      <c r="N706" s="59">
        <f>13.1624 * CHOOSE(CONTROL!$C$27, $C$14, 100%, $E$14)</f>
        <v>13.1624</v>
      </c>
      <c r="O706" s="59">
        <f>13.1693 * CHOOSE(CONTROL!$C$27, $C$14, 100%, $E$14)</f>
        <v>13.1693</v>
      </c>
    </row>
    <row r="707" spans="1:15" ht="15">
      <c r="A707" s="11">
        <v>62610</v>
      </c>
      <c r="B707" s="58">
        <f>11.2556 * CHOOSE(CONTROL!$C$27, $C$14, 100%, $E$14)</f>
        <v>11.255599999999999</v>
      </c>
      <c r="C707" s="58">
        <f>11.2556 * CHOOSE(CONTROL!$C$27, $C$14, 100%, $E$14)</f>
        <v>11.255599999999999</v>
      </c>
      <c r="D707" s="58">
        <f>11.2613 * CHOOSE(CONTROL!$C$27, $C$14, 100%, $E$14)</f>
        <v>11.2613</v>
      </c>
      <c r="E707" s="59">
        <f>13.0951 * CHOOSE(CONTROL!$C$27, $C$14, 100%, $E$14)</f>
        <v>13.0951</v>
      </c>
      <c r="F707" s="59">
        <f>13.0951 * CHOOSE(CONTROL!$C$27, $C$14, 100%, $E$14)</f>
        <v>13.0951</v>
      </c>
      <c r="G707" s="59">
        <f>13.102 * CHOOSE(CONTROL!$C$27, $C$14, 100%, $E$14)</f>
        <v>13.102</v>
      </c>
      <c r="H707" s="59">
        <f>24.1572* CHOOSE(CONTROL!$C$27, $C$14, 100%, $E$14)</f>
        <v>24.1572</v>
      </c>
      <c r="I707" s="59">
        <f>24.1641 * CHOOSE(CONTROL!$C$27, $C$14, 100%, $E$14)</f>
        <v>24.164100000000001</v>
      </c>
      <c r="J707" s="59">
        <f>24.1572 * CHOOSE(CONTROL!$C$27, $C$14, 100%, $E$14)</f>
        <v>24.1572</v>
      </c>
      <c r="K707" s="59">
        <f>24.1641 * CHOOSE(CONTROL!$C$27, $C$14, 100%, $E$14)</f>
        <v>24.164100000000001</v>
      </c>
      <c r="L707" s="59">
        <f>13.0951 * CHOOSE(CONTROL!$C$27, $C$14, 100%, $E$14)</f>
        <v>13.0951</v>
      </c>
      <c r="M707" s="59">
        <f>13.102 * CHOOSE(CONTROL!$C$27, $C$14, 100%, $E$14)</f>
        <v>13.102</v>
      </c>
      <c r="N707" s="59">
        <f>13.0951 * CHOOSE(CONTROL!$C$27, $C$14, 100%, $E$14)</f>
        <v>13.0951</v>
      </c>
      <c r="O707" s="59">
        <f>13.102 * CHOOSE(CONTROL!$C$27, $C$14, 100%, $E$14)</f>
        <v>13.102</v>
      </c>
    </row>
    <row r="708" spans="1:15" ht="15">
      <c r="A708" s="11">
        <v>62640</v>
      </c>
      <c r="B708" s="58">
        <f>11.4283 * CHOOSE(CONTROL!$C$27, $C$14, 100%, $E$14)</f>
        <v>11.4283</v>
      </c>
      <c r="C708" s="58">
        <f>11.4283 * CHOOSE(CONTROL!$C$27, $C$14, 100%, $E$14)</f>
        <v>11.4283</v>
      </c>
      <c r="D708" s="58">
        <f>11.4339 * CHOOSE(CONTROL!$C$27, $C$14, 100%, $E$14)</f>
        <v>11.4339</v>
      </c>
      <c r="E708" s="59">
        <f>13.3056 * CHOOSE(CONTROL!$C$27, $C$14, 100%, $E$14)</f>
        <v>13.3056</v>
      </c>
      <c r="F708" s="59">
        <f>13.3056 * CHOOSE(CONTROL!$C$27, $C$14, 100%, $E$14)</f>
        <v>13.3056</v>
      </c>
      <c r="G708" s="59">
        <f>13.3125 * CHOOSE(CONTROL!$C$27, $C$14, 100%, $E$14)</f>
        <v>13.3125</v>
      </c>
      <c r="H708" s="59">
        <f>24.2076* CHOOSE(CONTROL!$C$27, $C$14, 100%, $E$14)</f>
        <v>24.207599999999999</v>
      </c>
      <c r="I708" s="59">
        <f>24.2145 * CHOOSE(CONTROL!$C$27, $C$14, 100%, $E$14)</f>
        <v>24.214500000000001</v>
      </c>
      <c r="J708" s="59">
        <f>24.2076 * CHOOSE(CONTROL!$C$27, $C$14, 100%, $E$14)</f>
        <v>24.207599999999999</v>
      </c>
      <c r="K708" s="59">
        <f>24.2145 * CHOOSE(CONTROL!$C$27, $C$14, 100%, $E$14)</f>
        <v>24.214500000000001</v>
      </c>
      <c r="L708" s="59">
        <f>13.3056 * CHOOSE(CONTROL!$C$27, $C$14, 100%, $E$14)</f>
        <v>13.3056</v>
      </c>
      <c r="M708" s="59">
        <f>13.3125 * CHOOSE(CONTROL!$C$27, $C$14, 100%, $E$14)</f>
        <v>13.3125</v>
      </c>
      <c r="N708" s="59">
        <f>13.3056 * CHOOSE(CONTROL!$C$27, $C$14, 100%, $E$14)</f>
        <v>13.3056</v>
      </c>
      <c r="O708" s="59">
        <f>13.3125 * CHOOSE(CONTROL!$C$27, $C$14, 100%, $E$14)</f>
        <v>13.3125</v>
      </c>
    </row>
    <row r="709" spans="1:15" ht="15">
      <c r="A709" s="11">
        <v>62671</v>
      </c>
      <c r="B709" s="58">
        <f>11.435 * CHOOSE(CONTROL!$C$27, $C$14, 100%, $E$14)</f>
        <v>11.435</v>
      </c>
      <c r="C709" s="58">
        <f>11.435 * CHOOSE(CONTROL!$C$27, $C$14, 100%, $E$14)</f>
        <v>11.435</v>
      </c>
      <c r="D709" s="58">
        <f>11.4406 * CHOOSE(CONTROL!$C$27, $C$14, 100%, $E$14)</f>
        <v>11.4406</v>
      </c>
      <c r="E709" s="59">
        <f>13.0956 * CHOOSE(CONTROL!$C$27, $C$14, 100%, $E$14)</f>
        <v>13.095599999999999</v>
      </c>
      <c r="F709" s="59">
        <f>13.0956 * CHOOSE(CONTROL!$C$27, $C$14, 100%, $E$14)</f>
        <v>13.095599999999999</v>
      </c>
      <c r="G709" s="59">
        <f>13.1025 * CHOOSE(CONTROL!$C$27, $C$14, 100%, $E$14)</f>
        <v>13.102499999999999</v>
      </c>
      <c r="H709" s="59">
        <f>24.258* CHOOSE(CONTROL!$C$27, $C$14, 100%, $E$14)</f>
        <v>24.257999999999999</v>
      </c>
      <c r="I709" s="59">
        <f>24.2649 * CHOOSE(CONTROL!$C$27, $C$14, 100%, $E$14)</f>
        <v>24.264900000000001</v>
      </c>
      <c r="J709" s="59">
        <f>24.258 * CHOOSE(CONTROL!$C$27, $C$14, 100%, $E$14)</f>
        <v>24.257999999999999</v>
      </c>
      <c r="K709" s="59">
        <f>24.2649 * CHOOSE(CONTROL!$C$27, $C$14, 100%, $E$14)</f>
        <v>24.264900000000001</v>
      </c>
      <c r="L709" s="59">
        <f>13.0956 * CHOOSE(CONTROL!$C$27, $C$14, 100%, $E$14)</f>
        <v>13.095599999999999</v>
      </c>
      <c r="M709" s="59">
        <f>13.1025 * CHOOSE(CONTROL!$C$27, $C$14, 100%, $E$14)</f>
        <v>13.102499999999999</v>
      </c>
      <c r="N709" s="59">
        <f>13.0956 * CHOOSE(CONTROL!$C$27, $C$14, 100%, $E$14)</f>
        <v>13.095599999999999</v>
      </c>
      <c r="O709" s="59">
        <f>13.1025 * CHOOSE(CONTROL!$C$27, $C$14, 100%, $E$14)</f>
        <v>13.102499999999999</v>
      </c>
    </row>
    <row r="710" spans="1:15" ht="15">
      <c r="A710" s="11">
        <v>62702</v>
      </c>
      <c r="B710" s="58">
        <f>11.4319 * CHOOSE(CONTROL!$C$27, $C$14, 100%, $E$14)</f>
        <v>11.431900000000001</v>
      </c>
      <c r="C710" s="58">
        <f>11.4319 * CHOOSE(CONTROL!$C$27, $C$14, 100%, $E$14)</f>
        <v>11.431900000000001</v>
      </c>
      <c r="D710" s="58">
        <f>11.4376 * CHOOSE(CONTROL!$C$27, $C$14, 100%, $E$14)</f>
        <v>11.4376</v>
      </c>
      <c r="E710" s="59">
        <f>13.0697 * CHOOSE(CONTROL!$C$27, $C$14, 100%, $E$14)</f>
        <v>13.069699999999999</v>
      </c>
      <c r="F710" s="59">
        <f>13.0697 * CHOOSE(CONTROL!$C$27, $C$14, 100%, $E$14)</f>
        <v>13.069699999999999</v>
      </c>
      <c r="G710" s="59">
        <f>13.0766 * CHOOSE(CONTROL!$C$27, $C$14, 100%, $E$14)</f>
        <v>13.076599999999999</v>
      </c>
      <c r="H710" s="59">
        <f>24.3085* CHOOSE(CONTROL!$C$27, $C$14, 100%, $E$14)</f>
        <v>24.308499999999999</v>
      </c>
      <c r="I710" s="59">
        <f>24.3154 * CHOOSE(CONTROL!$C$27, $C$14, 100%, $E$14)</f>
        <v>24.3154</v>
      </c>
      <c r="J710" s="59">
        <f>24.3085 * CHOOSE(CONTROL!$C$27, $C$14, 100%, $E$14)</f>
        <v>24.308499999999999</v>
      </c>
      <c r="K710" s="59">
        <f>24.3154 * CHOOSE(CONTROL!$C$27, $C$14, 100%, $E$14)</f>
        <v>24.3154</v>
      </c>
      <c r="L710" s="59">
        <f>13.0697 * CHOOSE(CONTROL!$C$27, $C$14, 100%, $E$14)</f>
        <v>13.069699999999999</v>
      </c>
      <c r="M710" s="59">
        <f>13.0766 * CHOOSE(CONTROL!$C$27, $C$14, 100%, $E$14)</f>
        <v>13.076599999999999</v>
      </c>
      <c r="N710" s="59">
        <f>13.0697 * CHOOSE(CONTROL!$C$27, $C$14, 100%, $E$14)</f>
        <v>13.069699999999999</v>
      </c>
      <c r="O710" s="59">
        <f>13.0766 * CHOOSE(CONTROL!$C$27, $C$14, 100%, $E$14)</f>
        <v>13.076599999999999</v>
      </c>
    </row>
    <row r="711" spans="1:15" ht="15">
      <c r="A711" s="11">
        <v>62732</v>
      </c>
      <c r="B711" s="58">
        <f>11.451 * CHOOSE(CONTROL!$C$27, $C$14, 100%, $E$14)</f>
        <v>11.451000000000001</v>
      </c>
      <c r="C711" s="58">
        <f>11.451 * CHOOSE(CONTROL!$C$27, $C$14, 100%, $E$14)</f>
        <v>11.451000000000001</v>
      </c>
      <c r="D711" s="58">
        <f>11.455 * CHOOSE(CONTROL!$C$27, $C$14, 100%, $E$14)</f>
        <v>11.455</v>
      </c>
      <c r="E711" s="59">
        <f>13.1516 * CHOOSE(CONTROL!$C$27, $C$14, 100%, $E$14)</f>
        <v>13.1516</v>
      </c>
      <c r="F711" s="59">
        <f>13.1516 * CHOOSE(CONTROL!$C$27, $C$14, 100%, $E$14)</f>
        <v>13.1516</v>
      </c>
      <c r="G711" s="59">
        <f>13.1566 * CHOOSE(CONTROL!$C$27, $C$14, 100%, $E$14)</f>
        <v>13.156599999999999</v>
      </c>
      <c r="H711" s="59">
        <f>24.3592* CHOOSE(CONTROL!$C$27, $C$14, 100%, $E$14)</f>
        <v>24.359200000000001</v>
      </c>
      <c r="I711" s="59">
        <f>24.3641 * CHOOSE(CONTROL!$C$27, $C$14, 100%, $E$14)</f>
        <v>24.364100000000001</v>
      </c>
      <c r="J711" s="59">
        <f>24.3592 * CHOOSE(CONTROL!$C$27, $C$14, 100%, $E$14)</f>
        <v>24.359200000000001</v>
      </c>
      <c r="K711" s="59">
        <f>24.3641 * CHOOSE(CONTROL!$C$27, $C$14, 100%, $E$14)</f>
        <v>24.364100000000001</v>
      </c>
      <c r="L711" s="59">
        <f>13.1516 * CHOOSE(CONTROL!$C$27, $C$14, 100%, $E$14)</f>
        <v>13.1516</v>
      </c>
      <c r="M711" s="59">
        <f>13.1566 * CHOOSE(CONTROL!$C$27, $C$14, 100%, $E$14)</f>
        <v>13.156599999999999</v>
      </c>
      <c r="N711" s="59">
        <f>13.1516 * CHOOSE(CONTROL!$C$27, $C$14, 100%, $E$14)</f>
        <v>13.1516</v>
      </c>
      <c r="O711" s="59">
        <f>13.1566 * CHOOSE(CONTROL!$C$27, $C$14, 100%, $E$14)</f>
        <v>13.156599999999999</v>
      </c>
    </row>
    <row r="712" spans="1:15" ht="15">
      <c r="A712" s="11">
        <v>62763</v>
      </c>
      <c r="B712" s="58">
        <f>11.4541 * CHOOSE(CONTROL!$C$27, $C$14, 100%, $E$14)</f>
        <v>11.4541</v>
      </c>
      <c r="C712" s="58">
        <f>11.4541 * CHOOSE(CONTROL!$C$27, $C$14, 100%, $E$14)</f>
        <v>11.4541</v>
      </c>
      <c r="D712" s="58">
        <f>11.4581 * CHOOSE(CONTROL!$C$27, $C$14, 100%, $E$14)</f>
        <v>11.4581</v>
      </c>
      <c r="E712" s="59">
        <f>13.2015 * CHOOSE(CONTROL!$C$27, $C$14, 100%, $E$14)</f>
        <v>13.201499999999999</v>
      </c>
      <c r="F712" s="59">
        <f>13.2015 * CHOOSE(CONTROL!$C$27, $C$14, 100%, $E$14)</f>
        <v>13.201499999999999</v>
      </c>
      <c r="G712" s="59">
        <f>13.2064 * CHOOSE(CONTROL!$C$27, $C$14, 100%, $E$14)</f>
        <v>13.2064</v>
      </c>
      <c r="H712" s="59">
        <f>24.4099* CHOOSE(CONTROL!$C$27, $C$14, 100%, $E$14)</f>
        <v>24.4099</v>
      </c>
      <c r="I712" s="59">
        <f>24.4149 * CHOOSE(CONTROL!$C$27, $C$14, 100%, $E$14)</f>
        <v>24.414899999999999</v>
      </c>
      <c r="J712" s="59">
        <f>24.4099 * CHOOSE(CONTROL!$C$27, $C$14, 100%, $E$14)</f>
        <v>24.4099</v>
      </c>
      <c r="K712" s="59">
        <f>24.4149 * CHOOSE(CONTROL!$C$27, $C$14, 100%, $E$14)</f>
        <v>24.414899999999999</v>
      </c>
      <c r="L712" s="59">
        <f>13.2015 * CHOOSE(CONTROL!$C$27, $C$14, 100%, $E$14)</f>
        <v>13.201499999999999</v>
      </c>
      <c r="M712" s="59">
        <f>13.2064 * CHOOSE(CONTROL!$C$27, $C$14, 100%, $E$14)</f>
        <v>13.2064</v>
      </c>
      <c r="N712" s="59">
        <f>13.2015 * CHOOSE(CONTROL!$C$27, $C$14, 100%, $E$14)</f>
        <v>13.201499999999999</v>
      </c>
      <c r="O712" s="59">
        <f>13.2064 * CHOOSE(CONTROL!$C$27, $C$14, 100%, $E$14)</f>
        <v>13.2064</v>
      </c>
    </row>
    <row r="713" spans="1:15" ht="15">
      <c r="A713" s="11">
        <v>62793</v>
      </c>
      <c r="B713" s="58">
        <f>11.4541 * CHOOSE(CONTROL!$C$27, $C$14, 100%, $E$14)</f>
        <v>11.4541</v>
      </c>
      <c r="C713" s="58">
        <f>11.4541 * CHOOSE(CONTROL!$C$27, $C$14, 100%, $E$14)</f>
        <v>11.4541</v>
      </c>
      <c r="D713" s="58">
        <f>11.4581 * CHOOSE(CONTROL!$C$27, $C$14, 100%, $E$14)</f>
        <v>11.4581</v>
      </c>
      <c r="E713" s="59">
        <f>13.0822 * CHOOSE(CONTROL!$C$27, $C$14, 100%, $E$14)</f>
        <v>13.0822</v>
      </c>
      <c r="F713" s="59">
        <f>13.0822 * CHOOSE(CONTROL!$C$27, $C$14, 100%, $E$14)</f>
        <v>13.0822</v>
      </c>
      <c r="G713" s="59">
        <f>13.0871 * CHOOSE(CONTROL!$C$27, $C$14, 100%, $E$14)</f>
        <v>13.0871</v>
      </c>
      <c r="H713" s="59">
        <f>24.4608* CHOOSE(CONTROL!$C$27, $C$14, 100%, $E$14)</f>
        <v>24.460799999999999</v>
      </c>
      <c r="I713" s="59">
        <f>24.4657 * CHOOSE(CONTROL!$C$27, $C$14, 100%, $E$14)</f>
        <v>24.465699999999998</v>
      </c>
      <c r="J713" s="59">
        <f>24.4608 * CHOOSE(CONTROL!$C$27, $C$14, 100%, $E$14)</f>
        <v>24.460799999999999</v>
      </c>
      <c r="K713" s="59">
        <f>24.4657 * CHOOSE(CONTROL!$C$27, $C$14, 100%, $E$14)</f>
        <v>24.465699999999998</v>
      </c>
      <c r="L713" s="59">
        <f>13.0822 * CHOOSE(CONTROL!$C$27, $C$14, 100%, $E$14)</f>
        <v>13.0822</v>
      </c>
      <c r="M713" s="59">
        <f>13.0871 * CHOOSE(CONTROL!$C$27, $C$14, 100%, $E$14)</f>
        <v>13.0871</v>
      </c>
      <c r="N713" s="59">
        <f>13.0822 * CHOOSE(CONTROL!$C$27, $C$14, 100%, $E$14)</f>
        <v>13.0822</v>
      </c>
      <c r="O713" s="59">
        <f>13.0871 * CHOOSE(CONTROL!$C$27, $C$14, 100%, $E$14)</f>
        <v>13.0871</v>
      </c>
    </row>
    <row r="714" spans="1:15" ht="15">
      <c r="A714" s="11">
        <v>62824</v>
      </c>
      <c r="B714" s="58">
        <f>11.4875 * CHOOSE(CONTROL!$C$27, $C$14, 100%, $E$14)</f>
        <v>11.487500000000001</v>
      </c>
      <c r="C714" s="58">
        <f>11.4875 * CHOOSE(CONTROL!$C$27, $C$14, 100%, $E$14)</f>
        <v>11.487500000000001</v>
      </c>
      <c r="D714" s="58">
        <f>11.4915 * CHOOSE(CONTROL!$C$27, $C$14, 100%, $E$14)</f>
        <v>11.4915</v>
      </c>
      <c r="E714" s="59">
        <f>13.211 * CHOOSE(CONTROL!$C$27, $C$14, 100%, $E$14)</f>
        <v>13.211</v>
      </c>
      <c r="F714" s="59">
        <f>13.211 * CHOOSE(CONTROL!$C$27, $C$14, 100%, $E$14)</f>
        <v>13.211</v>
      </c>
      <c r="G714" s="59">
        <f>13.2159 * CHOOSE(CONTROL!$C$27, $C$14, 100%, $E$14)</f>
        <v>13.2159</v>
      </c>
      <c r="H714" s="59">
        <f>24.3897* CHOOSE(CONTROL!$C$27, $C$14, 100%, $E$14)</f>
        <v>24.389700000000001</v>
      </c>
      <c r="I714" s="59">
        <f>24.3946 * CHOOSE(CONTROL!$C$27, $C$14, 100%, $E$14)</f>
        <v>24.394600000000001</v>
      </c>
      <c r="J714" s="59">
        <f>24.3897 * CHOOSE(CONTROL!$C$27, $C$14, 100%, $E$14)</f>
        <v>24.389700000000001</v>
      </c>
      <c r="K714" s="59">
        <f>24.3946 * CHOOSE(CONTROL!$C$27, $C$14, 100%, $E$14)</f>
        <v>24.394600000000001</v>
      </c>
      <c r="L714" s="59">
        <f>13.211 * CHOOSE(CONTROL!$C$27, $C$14, 100%, $E$14)</f>
        <v>13.211</v>
      </c>
      <c r="M714" s="59">
        <f>13.2159 * CHOOSE(CONTROL!$C$27, $C$14, 100%, $E$14)</f>
        <v>13.2159</v>
      </c>
      <c r="N714" s="59">
        <f>13.211 * CHOOSE(CONTROL!$C$27, $C$14, 100%, $E$14)</f>
        <v>13.211</v>
      </c>
      <c r="O714" s="59">
        <f>13.2159 * CHOOSE(CONTROL!$C$27, $C$14, 100%, $E$14)</f>
        <v>13.2159</v>
      </c>
    </row>
    <row r="715" spans="1:15" ht="15">
      <c r="A715" s="11">
        <v>62855</v>
      </c>
      <c r="B715" s="58">
        <f>11.4844 * CHOOSE(CONTROL!$C$27, $C$14, 100%, $E$14)</f>
        <v>11.484400000000001</v>
      </c>
      <c r="C715" s="58">
        <f>11.4844 * CHOOSE(CONTROL!$C$27, $C$14, 100%, $E$14)</f>
        <v>11.484400000000001</v>
      </c>
      <c r="D715" s="58">
        <f>11.4884 * CHOOSE(CONTROL!$C$27, $C$14, 100%, $E$14)</f>
        <v>11.4884</v>
      </c>
      <c r="E715" s="59">
        <f>12.9786 * CHOOSE(CONTROL!$C$27, $C$14, 100%, $E$14)</f>
        <v>12.9786</v>
      </c>
      <c r="F715" s="59">
        <f>12.9786 * CHOOSE(CONTROL!$C$27, $C$14, 100%, $E$14)</f>
        <v>12.9786</v>
      </c>
      <c r="G715" s="59">
        <f>12.9835 * CHOOSE(CONTROL!$C$27, $C$14, 100%, $E$14)</f>
        <v>12.983499999999999</v>
      </c>
      <c r="H715" s="59">
        <f>24.4405* CHOOSE(CONTROL!$C$27, $C$14, 100%, $E$14)</f>
        <v>24.4405</v>
      </c>
      <c r="I715" s="59">
        <f>24.4455 * CHOOSE(CONTROL!$C$27, $C$14, 100%, $E$14)</f>
        <v>24.445499999999999</v>
      </c>
      <c r="J715" s="59">
        <f>24.4405 * CHOOSE(CONTROL!$C$27, $C$14, 100%, $E$14)</f>
        <v>24.4405</v>
      </c>
      <c r="K715" s="59">
        <f>24.4455 * CHOOSE(CONTROL!$C$27, $C$14, 100%, $E$14)</f>
        <v>24.445499999999999</v>
      </c>
      <c r="L715" s="59">
        <f>12.9786 * CHOOSE(CONTROL!$C$27, $C$14, 100%, $E$14)</f>
        <v>12.9786</v>
      </c>
      <c r="M715" s="59">
        <f>12.9835 * CHOOSE(CONTROL!$C$27, $C$14, 100%, $E$14)</f>
        <v>12.983499999999999</v>
      </c>
      <c r="N715" s="59">
        <f>12.9786 * CHOOSE(CONTROL!$C$27, $C$14, 100%, $E$14)</f>
        <v>12.9786</v>
      </c>
      <c r="O715" s="59">
        <f>12.9835 * CHOOSE(CONTROL!$C$27, $C$14, 100%, $E$14)</f>
        <v>12.983499999999999</v>
      </c>
    </row>
    <row r="716" spans="1:15" ht="15">
      <c r="A716" s="11">
        <v>62884</v>
      </c>
      <c r="B716" s="58">
        <f>11.4814 * CHOOSE(CONTROL!$C$27, $C$14, 100%, $E$14)</f>
        <v>11.481400000000001</v>
      </c>
      <c r="C716" s="58">
        <f>11.4814 * CHOOSE(CONTROL!$C$27, $C$14, 100%, $E$14)</f>
        <v>11.481400000000001</v>
      </c>
      <c r="D716" s="58">
        <f>11.4854 * CHOOSE(CONTROL!$C$27, $C$14, 100%, $E$14)</f>
        <v>11.4854</v>
      </c>
      <c r="E716" s="59">
        <f>13.158 * CHOOSE(CONTROL!$C$27, $C$14, 100%, $E$14)</f>
        <v>13.157999999999999</v>
      </c>
      <c r="F716" s="59">
        <f>13.158 * CHOOSE(CONTROL!$C$27, $C$14, 100%, $E$14)</f>
        <v>13.157999999999999</v>
      </c>
      <c r="G716" s="59">
        <f>13.1629 * CHOOSE(CONTROL!$C$27, $C$14, 100%, $E$14)</f>
        <v>13.1629</v>
      </c>
      <c r="H716" s="59">
        <f>24.4915* CHOOSE(CONTROL!$C$27, $C$14, 100%, $E$14)</f>
        <v>24.491499999999998</v>
      </c>
      <c r="I716" s="59">
        <f>24.4964 * CHOOSE(CONTROL!$C$27, $C$14, 100%, $E$14)</f>
        <v>24.496400000000001</v>
      </c>
      <c r="J716" s="59">
        <f>24.4915 * CHOOSE(CONTROL!$C$27, $C$14, 100%, $E$14)</f>
        <v>24.491499999999998</v>
      </c>
      <c r="K716" s="59">
        <f>24.4964 * CHOOSE(CONTROL!$C$27, $C$14, 100%, $E$14)</f>
        <v>24.496400000000001</v>
      </c>
      <c r="L716" s="59">
        <f>13.158 * CHOOSE(CONTROL!$C$27, $C$14, 100%, $E$14)</f>
        <v>13.157999999999999</v>
      </c>
      <c r="M716" s="59">
        <f>13.1629 * CHOOSE(CONTROL!$C$27, $C$14, 100%, $E$14)</f>
        <v>13.1629</v>
      </c>
      <c r="N716" s="59">
        <f>13.158 * CHOOSE(CONTROL!$C$27, $C$14, 100%, $E$14)</f>
        <v>13.157999999999999</v>
      </c>
      <c r="O716" s="59">
        <f>13.1629 * CHOOSE(CONTROL!$C$27, $C$14, 100%, $E$14)</f>
        <v>13.1629</v>
      </c>
    </row>
    <row r="717" spans="1:15" ht="15">
      <c r="A717" s="11">
        <v>62915</v>
      </c>
      <c r="B717" s="58">
        <f>11.4853 * CHOOSE(CONTROL!$C$27, $C$14, 100%, $E$14)</f>
        <v>11.485300000000001</v>
      </c>
      <c r="C717" s="58">
        <f>11.4853 * CHOOSE(CONTROL!$C$27, $C$14, 100%, $E$14)</f>
        <v>11.485300000000001</v>
      </c>
      <c r="D717" s="58">
        <f>11.4893 * CHOOSE(CONTROL!$C$27, $C$14, 100%, $E$14)</f>
        <v>11.4893</v>
      </c>
      <c r="E717" s="59">
        <f>13.3487 * CHOOSE(CONTROL!$C$27, $C$14, 100%, $E$14)</f>
        <v>13.348699999999999</v>
      </c>
      <c r="F717" s="59">
        <f>13.3487 * CHOOSE(CONTROL!$C$27, $C$14, 100%, $E$14)</f>
        <v>13.348699999999999</v>
      </c>
      <c r="G717" s="59">
        <f>13.3537 * CHOOSE(CONTROL!$C$27, $C$14, 100%, $E$14)</f>
        <v>13.3537</v>
      </c>
      <c r="H717" s="59">
        <f>24.5425* CHOOSE(CONTROL!$C$27, $C$14, 100%, $E$14)</f>
        <v>24.5425</v>
      </c>
      <c r="I717" s="59">
        <f>24.5474 * CHOOSE(CONTROL!$C$27, $C$14, 100%, $E$14)</f>
        <v>24.5474</v>
      </c>
      <c r="J717" s="59">
        <f>24.5425 * CHOOSE(CONTROL!$C$27, $C$14, 100%, $E$14)</f>
        <v>24.5425</v>
      </c>
      <c r="K717" s="59">
        <f>24.5474 * CHOOSE(CONTROL!$C$27, $C$14, 100%, $E$14)</f>
        <v>24.5474</v>
      </c>
      <c r="L717" s="59">
        <f>13.3487 * CHOOSE(CONTROL!$C$27, $C$14, 100%, $E$14)</f>
        <v>13.348699999999999</v>
      </c>
      <c r="M717" s="59">
        <f>13.3537 * CHOOSE(CONTROL!$C$27, $C$14, 100%, $E$14)</f>
        <v>13.3537</v>
      </c>
      <c r="N717" s="59">
        <f>13.3487 * CHOOSE(CONTROL!$C$27, $C$14, 100%, $E$14)</f>
        <v>13.348699999999999</v>
      </c>
      <c r="O717" s="59">
        <f>13.3537 * CHOOSE(CONTROL!$C$27, $C$14, 100%, $E$14)</f>
        <v>13.3537</v>
      </c>
    </row>
    <row r="718" spans="1:15" ht="15">
      <c r="A718" s="11">
        <v>62945</v>
      </c>
      <c r="B718" s="58">
        <f>11.4853 * CHOOSE(CONTROL!$C$27, $C$14, 100%, $E$14)</f>
        <v>11.485300000000001</v>
      </c>
      <c r="C718" s="58">
        <f>11.4853 * CHOOSE(CONTROL!$C$27, $C$14, 100%, $E$14)</f>
        <v>11.485300000000001</v>
      </c>
      <c r="D718" s="58">
        <f>11.491 * CHOOSE(CONTROL!$C$27, $C$14, 100%, $E$14)</f>
        <v>11.491</v>
      </c>
      <c r="E718" s="59">
        <f>13.4219 * CHOOSE(CONTROL!$C$27, $C$14, 100%, $E$14)</f>
        <v>13.421900000000001</v>
      </c>
      <c r="F718" s="59">
        <f>13.4219 * CHOOSE(CONTROL!$C$27, $C$14, 100%, $E$14)</f>
        <v>13.421900000000001</v>
      </c>
      <c r="G718" s="59">
        <f>13.4287 * CHOOSE(CONTROL!$C$27, $C$14, 100%, $E$14)</f>
        <v>13.428699999999999</v>
      </c>
      <c r="H718" s="59">
        <f>24.5936* CHOOSE(CONTROL!$C$27, $C$14, 100%, $E$14)</f>
        <v>24.593599999999999</v>
      </c>
      <c r="I718" s="59">
        <f>24.6005 * CHOOSE(CONTROL!$C$27, $C$14, 100%, $E$14)</f>
        <v>24.6005</v>
      </c>
      <c r="J718" s="59">
        <f>24.5936 * CHOOSE(CONTROL!$C$27, $C$14, 100%, $E$14)</f>
        <v>24.593599999999999</v>
      </c>
      <c r="K718" s="59">
        <f>24.6005 * CHOOSE(CONTROL!$C$27, $C$14, 100%, $E$14)</f>
        <v>24.6005</v>
      </c>
      <c r="L718" s="59">
        <f>13.4219 * CHOOSE(CONTROL!$C$27, $C$14, 100%, $E$14)</f>
        <v>13.421900000000001</v>
      </c>
      <c r="M718" s="59">
        <f>13.4287 * CHOOSE(CONTROL!$C$27, $C$14, 100%, $E$14)</f>
        <v>13.428699999999999</v>
      </c>
      <c r="N718" s="59">
        <f>13.4219 * CHOOSE(CONTROL!$C$27, $C$14, 100%, $E$14)</f>
        <v>13.421900000000001</v>
      </c>
      <c r="O718" s="59">
        <f>13.4287 * CHOOSE(CONTROL!$C$27, $C$14, 100%, $E$14)</f>
        <v>13.428699999999999</v>
      </c>
    </row>
    <row r="719" spans="1:15" ht="15">
      <c r="A719" s="11">
        <v>62976</v>
      </c>
      <c r="B719" s="58">
        <f>11.4914 * CHOOSE(CONTROL!$C$27, $C$14, 100%, $E$14)</f>
        <v>11.491400000000001</v>
      </c>
      <c r="C719" s="58">
        <f>11.4914 * CHOOSE(CONTROL!$C$27, $C$14, 100%, $E$14)</f>
        <v>11.491400000000001</v>
      </c>
      <c r="D719" s="58">
        <f>11.497 * CHOOSE(CONTROL!$C$27, $C$14, 100%, $E$14)</f>
        <v>11.497</v>
      </c>
      <c r="E719" s="59">
        <f>13.353 * CHOOSE(CONTROL!$C$27, $C$14, 100%, $E$14)</f>
        <v>13.353</v>
      </c>
      <c r="F719" s="59">
        <f>13.353 * CHOOSE(CONTROL!$C$27, $C$14, 100%, $E$14)</f>
        <v>13.353</v>
      </c>
      <c r="G719" s="59">
        <f>13.3599 * CHOOSE(CONTROL!$C$27, $C$14, 100%, $E$14)</f>
        <v>13.3599</v>
      </c>
      <c r="H719" s="59">
        <f>24.6448* CHOOSE(CONTROL!$C$27, $C$14, 100%, $E$14)</f>
        <v>24.6448</v>
      </c>
      <c r="I719" s="59">
        <f>24.6517 * CHOOSE(CONTROL!$C$27, $C$14, 100%, $E$14)</f>
        <v>24.651700000000002</v>
      </c>
      <c r="J719" s="59">
        <f>24.6448 * CHOOSE(CONTROL!$C$27, $C$14, 100%, $E$14)</f>
        <v>24.6448</v>
      </c>
      <c r="K719" s="59">
        <f>24.6517 * CHOOSE(CONTROL!$C$27, $C$14, 100%, $E$14)</f>
        <v>24.651700000000002</v>
      </c>
      <c r="L719" s="59">
        <f>13.353 * CHOOSE(CONTROL!$C$27, $C$14, 100%, $E$14)</f>
        <v>13.353</v>
      </c>
      <c r="M719" s="59">
        <f>13.3599 * CHOOSE(CONTROL!$C$27, $C$14, 100%, $E$14)</f>
        <v>13.3599</v>
      </c>
      <c r="N719" s="59">
        <f>13.353 * CHOOSE(CONTROL!$C$27, $C$14, 100%, $E$14)</f>
        <v>13.353</v>
      </c>
      <c r="O719" s="59">
        <f>13.3599 * CHOOSE(CONTROL!$C$27, $C$14, 100%, $E$14)</f>
        <v>13.3599</v>
      </c>
    </row>
    <row r="720" spans="1:15" ht="15">
      <c r="A720" s="11">
        <v>63006</v>
      </c>
      <c r="B720" s="58">
        <f>11.6674 * CHOOSE(CONTROL!$C$27, $C$14, 100%, $E$14)</f>
        <v>11.667400000000001</v>
      </c>
      <c r="C720" s="58">
        <f>11.6674 * CHOOSE(CONTROL!$C$27, $C$14, 100%, $E$14)</f>
        <v>11.667400000000001</v>
      </c>
      <c r="D720" s="58">
        <f>11.6731 * CHOOSE(CONTROL!$C$27, $C$14, 100%, $E$14)</f>
        <v>11.6731</v>
      </c>
      <c r="E720" s="59">
        <f>13.5674 * CHOOSE(CONTROL!$C$27, $C$14, 100%, $E$14)</f>
        <v>13.567399999999999</v>
      </c>
      <c r="F720" s="59">
        <f>13.5674 * CHOOSE(CONTROL!$C$27, $C$14, 100%, $E$14)</f>
        <v>13.567399999999999</v>
      </c>
      <c r="G720" s="59">
        <f>13.5743 * CHOOSE(CONTROL!$C$27, $C$14, 100%, $E$14)</f>
        <v>13.574299999999999</v>
      </c>
      <c r="H720" s="59">
        <f>24.6962* CHOOSE(CONTROL!$C$27, $C$14, 100%, $E$14)</f>
        <v>24.696200000000001</v>
      </c>
      <c r="I720" s="59">
        <f>24.7031 * CHOOSE(CONTROL!$C$27, $C$14, 100%, $E$14)</f>
        <v>24.703099999999999</v>
      </c>
      <c r="J720" s="59">
        <f>24.6962 * CHOOSE(CONTROL!$C$27, $C$14, 100%, $E$14)</f>
        <v>24.696200000000001</v>
      </c>
      <c r="K720" s="59">
        <f>24.7031 * CHOOSE(CONTROL!$C$27, $C$14, 100%, $E$14)</f>
        <v>24.703099999999999</v>
      </c>
      <c r="L720" s="59">
        <f>13.5674 * CHOOSE(CONTROL!$C$27, $C$14, 100%, $E$14)</f>
        <v>13.567399999999999</v>
      </c>
      <c r="M720" s="59">
        <f>13.5743 * CHOOSE(CONTROL!$C$27, $C$14, 100%, $E$14)</f>
        <v>13.574299999999999</v>
      </c>
      <c r="N720" s="59">
        <f>13.5674 * CHOOSE(CONTROL!$C$27, $C$14, 100%, $E$14)</f>
        <v>13.567399999999999</v>
      </c>
      <c r="O720" s="59">
        <f>13.5743 * CHOOSE(CONTROL!$C$27, $C$14, 100%, $E$14)</f>
        <v>13.574299999999999</v>
      </c>
    </row>
    <row r="721" spans="1:15" ht="15">
      <c r="A721" s="11">
        <v>63037</v>
      </c>
      <c r="B721" s="58">
        <f>11.6741 * CHOOSE(CONTROL!$C$27, $C$14, 100%, $E$14)</f>
        <v>11.674099999999999</v>
      </c>
      <c r="C721" s="58">
        <f>11.6741 * CHOOSE(CONTROL!$C$27, $C$14, 100%, $E$14)</f>
        <v>11.674099999999999</v>
      </c>
      <c r="D721" s="58">
        <f>11.6798 * CHOOSE(CONTROL!$C$27, $C$14, 100%, $E$14)</f>
        <v>11.6798</v>
      </c>
      <c r="E721" s="59">
        <f>13.3527 * CHOOSE(CONTROL!$C$27, $C$14, 100%, $E$14)</f>
        <v>13.3527</v>
      </c>
      <c r="F721" s="59">
        <f>13.3527 * CHOOSE(CONTROL!$C$27, $C$14, 100%, $E$14)</f>
        <v>13.3527</v>
      </c>
      <c r="G721" s="59">
        <f>13.3596 * CHOOSE(CONTROL!$C$27, $C$14, 100%, $E$14)</f>
        <v>13.3596</v>
      </c>
      <c r="H721" s="59">
        <f>24.7476* CHOOSE(CONTROL!$C$27, $C$14, 100%, $E$14)</f>
        <v>24.747599999999998</v>
      </c>
      <c r="I721" s="59">
        <f>24.7545 * CHOOSE(CONTROL!$C$27, $C$14, 100%, $E$14)</f>
        <v>24.7545</v>
      </c>
      <c r="J721" s="59">
        <f>24.7476 * CHOOSE(CONTROL!$C$27, $C$14, 100%, $E$14)</f>
        <v>24.747599999999998</v>
      </c>
      <c r="K721" s="59">
        <f>24.7545 * CHOOSE(CONTROL!$C$27, $C$14, 100%, $E$14)</f>
        <v>24.7545</v>
      </c>
      <c r="L721" s="59">
        <f>13.3527 * CHOOSE(CONTROL!$C$27, $C$14, 100%, $E$14)</f>
        <v>13.3527</v>
      </c>
      <c r="M721" s="59">
        <f>13.3596 * CHOOSE(CONTROL!$C$27, $C$14, 100%, $E$14)</f>
        <v>13.3596</v>
      </c>
      <c r="N721" s="59">
        <f>13.3527 * CHOOSE(CONTROL!$C$27, $C$14, 100%, $E$14)</f>
        <v>13.3527</v>
      </c>
      <c r="O721" s="59">
        <f>13.3596 * CHOOSE(CONTROL!$C$27, $C$14, 100%, $E$14)</f>
        <v>13.3596</v>
      </c>
    </row>
    <row r="722" spans="1:15" ht="15">
      <c r="A722" s="11">
        <v>63068</v>
      </c>
      <c r="B722" s="58">
        <f>11.6711 * CHOOSE(CONTROL!$C$27, $C$14, 100%, $E$14)</f>
        <v>11.671099999999999</v>
      </c>
      <c r="C722" s="58">
        <f>11.6711 * CHOOSE(CONTROL!$C$27, $C$14, 100%, $E$14)</f>
        <v>11.671099999999999</v>
      </c>
      <c r="D722" s="58">
        <f>11.6767 * CHOOSE(CONTROL!$C$27, $C$14, 100%, $E$14)</f>
        <v>11.6767</v>
      </c>
      <c r="E722" s="59">
        <f>13.3262 * CHOOSE(CONTROL!$C$27, $C$14, 100%, $E$14)</f>
        <v>13.3262</v>
      </c>
      <c r="F722" s="59">
        <f>13.3262 * CHOOSE(CONTROL!$C$27, $C$14, 100%, $E$14)</f>
        <v>13.3262</v>
      </c>
      <c r="G722" s="59">
        <f>13.3331 * CHOOSE(CONTROL!$C$27, $C$14, 100%, $E$14)</f>
        <v>13.3331</v>
      </c>
      <c r="H722" s="59">
        <f>24.7992* CHOOSE(CONTROL!$C$27, $C$14, 100%, $E$14)</f>
        <v>24.799199999999999</v>
      </c>
      <c r="I722" s="59">
        <f>24.8061 * CHOOSE(CONTROL!$C$27, $C$14, 100%, $E$14)</f>
        <v>24.806100000000001</v>
      </c>
      <c r="J722" s="59">
        <f>24.7992 * CHOOSE(CONTROL!$C$27, $C$14, 100%, $E$14)</f>
        <v>24.799199999999999</v>
      </c>
      <c r="K722" s="59">
        <f>24.8061 * CHOOSE(CONTROL!$C$27, $C$14, 100%, $E$14)</f>
        <v>24.806100000000001</v>
      </c>
      <c r="L722" s="59">
        <f>13.3262 * CHOOSE(CONTROL!$C$27, $C$14, 100%, $E$14)</f>
        <v>13.3262</v>
      </c>
      <c r="M722" s="59">
        <f>13.3331 * CHOOSE(CONTROL!$C$27, $C$14, 100%, $E$14)</f>
        <v>13.3331</v>
      </c>
      <c r="N722" s="59">
        <f>13.3262 * CHOOSE(CONTROL!$C$27, $C$14, 100%, $E$14)</f>
        <v>13.3262</v>
      </c>
      <c r="O722" s="59">
        <f>13.3331 * CHOOSE(CONTROL!$C$27, $C$14, 100%, $E$14)</f>
        <v>13.3331</v>
      </c>
    </row>
    <row r="723" spans="1:15" ht="15">
      <c r="A723" s="11">
        <v>63098</v>
      </c>
      <c r="B723" s="58">
        <f>11.691 * CHOOSE(CONTROL!$C$27, $C$14, 100%, $E$14)</f>
        <v>11.691000000000001</v>
      </c>
      <c r="C723" s="58">
        <f>11.691 * CHOOSE(CONTROL!$C$27, $C$14, 100%, $E$14)</f>
        <v>11.691000000000001</v>
      </c>
      <c r="D723" s="58">
        <f>11.695 * CHOOSE(CONTROL!$C$27, $C$14, 100%, $E$14)</f>
        <v>11.695</v>
      </c>
      <c r="E723" s="59">
        <f>13.4103 * CHOOSE(CONTROL!$C$27, $C$14, 100%, $E$14)</f>
        <v>13.410299999999999</v>
      </c>
      <c r="F723" s="59">
        <f>13.4103 * CHOOSE(CONTROL!$C$27, $C$14, 100%, $E$14)</f>
        <v>13.410299999999999</v>
      </c>
      <c r="G723" s="59">
        <f>13.4152 * CHOOSE(CONTROL!$C$27, $C$14, 100%, $E$14)</f>
        <v>13.4152</v>
      </c>
      <c r="H723" s="59">
        <f>24.8509* CHOOSE(CONTROL!$C$27, $C$14, 100%, $E$14)</f>
        <v>24.850899999999999</v>
      </c>
      <c r="I723" s="59">
        <f>24.8558 * CHOOSE(CONTROL!$C$27, $C$14, 100%, $E$14)</f>
        <v>24.855799999999999</v>
      </c>
      <c r="J723" s="59">
        <f>24.8509 * CHOOSE(CONTROL!$C$27, $C$14, 100%, $E$14)</f>
        <v>24.850899999999999</v>
      </c>
      <c r="K723" s="59">
        <f>24.8558 * CHOOSE(CONTROL!$C$27, $C$14, 100%, $E$14)</f>
        <v>24.855799999999999</v>
      </c>
      <c r="L723" s="59">
        <f>13.4103 * CHOOSE(CONTROL!$C$27, $C$14, 100%, $E$14)</f>
        <v>13.410299999999999</v>
      </c>
      <c r="M723" s="59">
        <f>13.4152 * CHOOSE(CONTROL!$C$27, $C$14, 100%, $E$14)</f>
        <v>13.4152</v>
      </c>
      <c r="N723" s="59">
        <f>13.4103 * CHOOSE(CONTROL!$C$27, $C$14, 100%, $E$14)</f>
        <v>13.410299999999999</v>
      </c>
      <c r="O723" s="59">
        <f>13.4152 * CHOOSE(CONTROL!$C$27, $C$14, 100%, $E$14)</f>
        <v>13.4152</v>
      </c>
    </row>
    <row r="724" spans="1:15" ht="15">
      <c r="A724" s="11">
        <v>63129</v>
      </c>
      <c r="B724" s="58">
        <f>11.694 * CHOOSE(CONTROL!$C$27, $C$14, 100%, $E$14)</f>
        <v>11.694000000000001</v>
      </c>
      <c r="C724" s="58">
        <f>11.694 * CHOOSE(CONTROL!$C$27, $C$14, 100%, $E$14)</f>
        <v>11.694000000000001</v>
      </c>
      <c r="D724" s="58">
        <f>11.698 * CHOOSE(CONTROL!$C$27, $C$14, 100%, $E$14)</f>
        <v>11.698</v>
      </c>
      <c r="E724" s="59">
        <f>13.4611 * CHOOSE(CONTROL!$C$27, $C$14, 100%, $E$14)</f>
        <v>13.4611</v>
      </c>
      <c r="F724" s="59">
        <f>13.4611 * CHOOSE(CONTROL!$C$27, $C$14, 100%, $E$14)</f>
        <v>13.4611</v>
      </c>
      <c r="G724" s="59">
        <f>13.4661 * CHOOSE(CONTROL!$C$27, $C$14, 100%, $E$14)</f>
        <v>13.466100000000001</v>
      </c>
      <c r="H724" s="59">
        <f>24.9026* CHOOSE(CONTROL!$C$27, $C$14, 100%, $E$14)</f>
        <v>24.9026</v>
      </c>
      <c r="I724" s="59">
        <f>24.9076 * CHOOSE(CONTROL!$C$27, $C$14, 100%, $E$14)</f>
        <v>24.907599999999999</v>
      </c>
      <c r="J724" s="59">
        <f>24.9026 * CHOOSE(CONTROL!$C$27, $C$14, 100%, $E$14)</f>
        <v>24.9026</v>
      </c>
      <c r="K724" s="59">
        <f>24.9076 * CHOOSE(CONTROL!$C$27, $C$14, 100%, $E$14)</f>
        <v>24.907599999999999</v>
      </c>
      <c r="L724" s="59">
        <f>13.4611 * CHOOSE(CONTROL!$C$27, $C$14, 100%, $E$14)</f>
        <v>13.4611</v>
      </c>
      <c r="M724" s="59">
        <f>13.4661 * CHOOSE(CONTROL!$C$27, $C$14, 100%, $E$14)</f>
        <v>13.466100000000001</v>
      </c>
      <c r="N724" s="59">
        <f>13.4611 * CHOOSE(CONTROL!$C$27, $C$14, 100%, $E$14)</f>
        <v>13.4611</v>
      </c>
      <c r="O724" s="59">
        <f>13.4661 * CHOOSE(CONTROL!$C$27, $C$14, 100%, $E$14)</f>
        <v>13.466100000000001</v>
      </c>
    </row>
    <row r="725" spans="1:15" ht="15">
      <c r="A725" s="11">
        <v>63159</v>
      </c>
      <c r="B725" s="58">
        <f>11.694 * CHOOSE(CONTROL!$C$27, $C$14, 100%, $E$14)</f>
        <v>11.694000000000001</v>
      </c>
      <c r="C725" s="58">
        <f>11.694 * CHOOSE(CONTROL!$C$27, $C$14, 100%, $E$14)</f>
        <v>11.694000000000001</v>
      </c>
      <c r="D725" s="58">
        <f>11.698 * CHOOSE(CONTROL!$C$27, $C$14, 100%, $E$14)</f>
        <v>11.698</v>
      </c>
      <c r="E725" s="59">
        <f>13.3393 * CHOOSE(CONTROL!$C$27, $C$14, 100%, $E$14)</f>
        <v>13.3393</v>
      </c>
      <c r="F725" s="59">
        <f>13.3393 * CHOOSE(CONTROL!$C$27, $C$14, 100%, $E$14)</f>
        <v>13.3393</v>
      </c>
      <c r="G725" s="59">
        <f>13.3442 * CHOOSE(CONTROL!$C$27, $C$14, 100%, $E$14)</f>
        <v>13.344200000000001</v>
      </c>
      <c r="H725" s="59">
        <f>24.9545* CHOOSE(CONTROL!$C$27, $C$14, 100%, $E$14)</f>
        <v>24.954499999999999</v>
      </c>
      <c r="I725" s="59">
        <f>24.9594 * CHOOSE(CONTROL!$C$27, $C$14, 100%, $E$14)</f>
        <v>24.959399999999999</v>
      </c>
      <c r="J725" s="59">
        <f>24.9545 * CHOOSE(CONTROL!$C$27, $C$14, 100%, $E$14)</f>
        <v>24.954499999999999</v>
      </c>
      <c r="K725" s="59">
        <f>24.9594 * CHOOSE(CONTROL!$C$27, $C$14, 100%, $E$14)</f>
        <v>24.959399999999999</v>
      </c>
      <c r="L725" s="59">
        <f>13.3393 * CHOOSE(CONTROL!$C$27, $C$14, 100%, $E$14)</f>
        <v>13.3393</v>
      </c>
      <c r="M725" s="59">
        <f>13.3442 * CHOOSE(CONTROL!$C$27, $C$14, 100%, $E$14)</f>
        <v>13.344200000000001</v>
      </c>
      <c r="N725" s="59">
        <f>13.3393 * CHOOSE(CONTROL!$C$27, $C$14, 100%, $E$14)</f>
        <v>13.3393</v>
      </c>
      <c r="O725" s="59">
        <f>13.3442 * CHOOSE(CONTROL!$C$27, $C$14, 100%, $E$14)</f>
        <v>13.344200000000001</v>
      </c>
    </row>
    <row r="726" spans="1:15" ht="15">
      <c r="A726" s="11">
        <v>63190</v>
      </c>
      <c r="B726" s="58">
        <f>11.723 * CHOOSE(CONTROL!$C$27, $C$14, 100%, $E$14)</f>
        <v>11.723000000000001</v>
      </c>
      <c r="C726" s="58">
        <f>11.723 * CHOOSE(CONTROL!$C$27, $C$14, 100%, $E$14)</f>
        <v>11.723000000000001</v>
      </c>
      <c r="D726" s="58">
        <f>11.727 * CHOOSE(CONTROL!$C$27, $C$14, 100%, $E$14)</f>
        <v>11.727</v>
      </c>
      <c r="E726" s="59">
        <f>13.4657 * CHOOSE(CONTROL!$C$27, $C$14, 100%, $E$14)</f>
        <v>13.4657</v>
      </c>
      <c r="F726" s="59">
        <f>13.4657 * CHOOSE(CONTROL!$C$27, $C$14, 100%, $E$14)</f>
        <v>13.4657</v>
      </c>
      <c r="G726" s="59">
        <f>13.4706 * CHOOSE(CONTROL!$C$27, $C$14, 100%, $E$14)</f>
        <v>13.470599999999999</v>
      </c>
      <c r="H726" s="59">
        <f>24.8723* CHOOSE(CONTROL!$C$27, $C$14, 100%, $E$14)</f>
        <v>24.872299999999999</v>
      </c>
      <c r="I726" s="59">
        <f>24.8772 * CHOOSE(CONTROL!$C$27, $C$14, 100%, $E$14)</f>
        <v>24.877199999999998</v>
      </c>
      <c r="J726" s="59">
        <f>24.8723 * CHOOSE(CONTROL!$C$27, $C$14, 100%, $E$14)</f>
        <v>24.872299999999999</v>
      </c>
      <c r="K726" s="59">
        <f>24.8772 * CHOOSE(CONTROL!$C$27, $C$14, 100%, $E$14)</f>
        <v>24.877199999999998</v>
      </c>
      <c r="L726" s="59">
        <f>13.4657 * CHOOSE(CONTROL!$C$27, $C$14, 100%, $E$14)</f>
        <v>13.4657</v>
      </c>
      <c r="M726" s="59">
        <f>13.4706 * CHOOSE(CONTROL!$C$27, $C$14, 100%, $E$14)</f>
        <v>13.470599999999999</v>
      </c>
      <c r="N726" s="59">
        <f>13.4657 * CHOOSE(CONTROL!$C$27, $C$14, 100%, $E$14)</f>
        <v>13.4657</v>
      </c>
      <c r="O726" s="59">
        <f>13.4706 * CHOOSE(CONTROL!$C$27, $C$14, 100%, $E$14)</f>
        <v>13.470599999999999</v>
      </c>
    </row>
    <row r="727" spans="1:15" ht="15">
      <c r="A727" s="11">
        <v>63221</v>
      </c>
      <c r="B727" s="58">
        <f>11.72 * CHOOSE(CONTROL!$C$27, $C$14, 100%, $E$14)</f>
        <v>11.72</v>
      </c>
      <c r="C727" s="58">
        <f>11.72 * CHOOSE(CONTROL!$C$27, $C$14, 100%, $E$14)</f>
        <v>11.72</v>
      </c>
      <c r="D727" s="58">
        <f>11.724 * CHOOSE(CONTROL!$C$27, $C$14, 100%, $E$14)</f>
        <v>11.724</v>
      </c>
      <c r="E727" s="59">
        <f>13.2284 * CHOOSE(CONTROL!$C$27, $C$14, 100%, $E$14)</f>
        <v>13.228400000000001</v>
      </c>
      <c r="F727" s="59">
        <f>13.2284 * CHOOSE(CONTROL!$C$27, $C$14, 100%, $E$14)</f>
        <v>13.228400000000001</v>
      </c>
      <c r="G727" s="59">
        <f>13.2333 * CHOOSE(CONTROL!$C$27, $C$14, 100%, $E$14)</f>
        <v>13.2333</v>
      </c>
      <c r="H727" s="59">
        <f>24.9241* CHOOSE(CONTROL!$C$27, $C$14, 100%, $E$14)</f>
        <v>24.924099999999999</v>
      </c>
      <c r="I727" s="59">
        <f>24.929 * CHOOSE(CONTROL!$C$27, $C$14, 100%, $E$14)</f>
        <v>24.928999999999998</v>
      </c>
      <c r="J727" s="59">
        <f>24.9241 * CHOOSE(CONTROL!$C$27, $C$14, 100%, $E$14)</f>
        <v>24.924099999999999</v>
      </c>
      <c r="K727" s="59">
        <f>24.929 * CHOOSE(CONTROL!$C$27, $C$14, 100%, $E$14)</f>
        <v>24.928999999999998</v>
      </c>
      <c r="L727" s="59">
        <f>13.2284 * CHOOSE(CONTROL!$C$27, $C$14, 100%, $E$14)</f>
        <v>13.228400000000001</v>
      </c>
      <c r="M727" s="59">
        <f>13.2333 * CHOOSE(CONTROL!$C$27, $C$14, 100%, $E$14)</f>
        <v>13.2333</v>
      </c>
      <c r="N727" s="59">
        <f>13.2284 * CHOOSE(CONTROL!$C$27, $C$14, 100%, $E$14)</f>
        <v>13.228400000000001</v>
      </c>
      <c r="O727" s="59">
        <f>13.2333 * CHOOSE(CONTROL!$C$27, $C$14, 100%, $E$14)</f>
        <v>13.2333</v>
      </c>
    </row>
    <row r="728" spans="1:15" ht="15">
      <c r="A728" s="11">
        <v>63249</v>
      </c>
      <c r="B728" s="58">
        <f>11.717 * CHOOSE(CONTROL!$C$27, $C$14, 100%, $E$14)</f>
        <v>11.717000000000001</v>
      </c>
      <c r="C728" s="58">
        <f>11.717 * CHOOSE(CONTROL!$C$27, $C$14, 100%, $E$14)</f>
        <v>11.717000000000001</v>
      </c>
      <c r="D728" s="58">
        <f>11.7209 * CHOOSE(CONTROL!$C$27, $C$14, 100%, $E$14)</f>
        <v>11.7209</v>
      </c>
      <c r="E728" s="59">
        <f>13.4117 * CHOOSE(CONTROL!$C$27, $C$14, 100%, $E$14)</f>
        <v>13.4117</v>
      </c>
      <c r="F728" s="59">
        <f>13.4117 * CHOOSE(CONTROL!$C$27, $C$14, 100%, $E$14)</f>
        <v>13.4117</v>
      </c>
      <c r="G728" s="59">
        <f>13.4166 * CHOOSE(CONTROL!$C$27, $C$14, 100%, $E$14)</f>
        <v>13.416600000000001</v>
      </c>
      <c r="H728" s="59">
        <f>24.976* CHOOSE(CONTROL!$C$27, $C$14, 100%, $E$14)</f>
        <v>24.975999999999999</v>
      </c>
      <c r="I728" s="59">
        <f>24.9809 * CHOOSE(CONTROL!$C$27, $C$14, 100%, $E$14)</f>
        <v>24.980899999999998</v>
      </c>
      <c r="J728" s="59">
        <f>24.976 * CHOOSE(CONTROL!$C$27, $C$14, 100%, $E$14)</f>
        <v>24.975999999999999</v>
      </c>
      <c r="K728" s="59">
        <f>24.9809 * CHOOSE(CONTROL!$C$27, $C$14, 100%, $E$14)</f>
        <v>24.980899999999998</v>
      </c>
      <c r="L728" s="59">
        <f>13.4117 * CHOOSE(CONTROL!$C$27, $C$14, 100%, $E$14)</f>
        <v>13.4117</v>
      </c>
      <c r="M728" s="59">
        <f>13.4166 * CHOOSE(CONTROL!$C$27, $C$14, 100%, $E$14)</f>
        <v>13.416600000000001</v>
      </c>
      <c r="N728" s="59">
        <f>13.4117 * CHOOSE(CONTROL!$C$27, $C$14, 100%, $E$14)</f>
        <v>13.4117</v>
      </c>
      <c r="O728" s="59">
        <f>13.4166 * CHOOSE(CONTROL!$C$27, $C$14, 100%, $E$14)</f>
        <v>13.416600000000001</v>
      </c>
    </row>
    <row r="729" spans="1:15" ht="15">
      <c r="A729" s="11">
        <v>63280</v>
      </c>
      <c r="B729" s="58">
        <f>11.7211 * CHOOSE(CONTROL!$C$27, $C$14, 100%, $E$14)</f>
        <v>11.7211</v>
      </c>
      <c r="C729" s="58">
        <f>11.7211 * CHOOSE(CONTROL!$C$27, $C$14, 100%, $E$14)</f>
        <v>11.7211</v>
      </c>
      <c r="D729" s="58">
        <f>11.7251 * CHOOSE(CONTROL!$C$27, $C$14, 100%, $E$14)</f>
        <v>11.725099999999999</v>
      </c>
      <c r="E729" s="59">
        <f>13.6066 * CHOOSE(CONTROL!$C$27, $C$14, 100%, $E$14)</f>
        <v>13.6066</v>
      </c>
      <c r="F729" s="59">
        <f>13.6066 * CHOOSE(CONTROL!$C$27, $C$14, 100%, $E$14)</f>
        <v>13.6066</v>
      </c>
      <c r="G729" s="59">
        <f>13.6115 * CHOOSE(CONTROL!$C$27, $C$14, 100%, $E$14)</f>
        <v>13.611499999999999</v>
      </c>
      <c r="H729" s="59">
        <f>25.028* CHOOSE(CONTROL!$C$27, $C$14, 100%, $E$14)</f>
        <v>25.027999999999999</v>
      </c>
      <c r="I729" s="59">
        <f>25.033 * CHOOSE(CONTROL!$C$27, $C$14, 100%, $E$14)</f>
        <v>25.033000000000001</v>
      </c>
      <c r="J729" s="59">
        <f>25.028 * CHOOSE(CONTROL!$C$27, $C$14, 100%, $E$14)</f>
        <v>25.027999999999999</v>
      </c>
      <c r="K729" s="59">
        <f>25.033 * CHOOSE(CONTROL!$C$27, $C$14, 100%, $E$14)</f>
        <v>25.033000000000001</v>
      </c>
      <c r="L729" s="59">
        <f>13.6066 * CHOOSE(CONTROL!$C$27, $C$14, 100%, $E$14)</f>
        <v>13.6066</v>
      </c>
      <c r="M729" s="59">
        <f>13.6115 * CHOOSE(CONTROL!$C$27, $C$14, 100%, $E$14)</f>
        <v>13.611499999999999</v>
      </c>
      <c r="N729" s="59">
        <f>13.6066 * CHOOSE(CONTROL!$C$27, $C$14, 100%, $E$14)</f>
        <v>13.6066</v>
      </c>
      <c r="O729" s="59">
        <f>13.6115 * CHOOSE(CONTROL!$C$27, $C$14, 100%, $E$14)</f>
        <v>13.611499999999999</v>
      </c>
    </row>
    <row r="730" spans="1:15" ht="15">
      <c r="A730" s="11">
        <v>63310</v>
      </c>
      <c r="B730" s="58">
        <f>11.7211 * CHOOSE(CONTROL!$C$27, $C$14, 100%, $E$14)</f>
        <v>11.7211</v>
      </c>
      <c r="C730" s="58">
        <f>11.7211 * CHOOSE(CONTROL!$C$27, $C$14, 100%, $E$14)</f>
        <v>11.7211</v>
      </c>
      <c r="D730" s="58">
        <f>11.7267 * CHOOSE(CONTROL!$C$27, $C$14, 100%, $E$14)</f>
        <v>11.726699999999999</v>
      </c>
      <c r="E730" s="59">
        <f>13.6813 * CHOOSE(CONTROL!$C$27, $C$14, 100%, $E$14)</f>
        <v>13.6813</v>
      </c>
      <c r="F730" s="59">
        <f>13.6813 * CHOOSE(CONTROL!$C$27, $C$14, 100%, $E$14)</f>
        <v>13.6813</v>
      </c>
      <c r="G730" s="59">
        <f>13.6882 * CHOOSE(CONTROL!$C$27, $C$14, 100%, $E$14)</f>
        <v>13.6882</v>
      </c>
      <c r="H730" s="59">
        <f>25.0802* CHOOSE(CONTROL!$C$27, $C$14, 100%, $E$14)</f>
        <v>25.080200000000001</v>
      </c>
      <c r="I730" s="59">
        <f>25.0871 * CHOOSE(CONTROL!$C$27, $C$14, 100%, $E$14)</f>
        <v>25.0871</v>
      </c>
      <c r="J730" s="59">
        <f>25.0802 * CHOOSE(CONTROL!$C$27, $C$14, 100%, $E$14)</f>
        <v>25.080200000000001</v>
      </c>
      <c r="K730" s="59">
        <f>25.0871 * CHOOSE(CONTROL!$C$27, $C$14, 100%, $E$14)</f>
        <v>25.0871</v>
      </c>
      <c r="L730" s="59">
        <f>13.6813 * CHOOSE(CONTROL!$C$27, $C$14, 100%, $E$14)</f>
        <v>13.6813</v>
      </c>
      <c r="M730" s="59">
        <f>13.6882 * CHOOSE(CONTROL!$C$27, $C$14, 100%, $E$14)</f>
        <v>13.6882</v>
      </c>
      <c r="N730" s="59">
        <f>13.6813 * CHOOSE(CONTROL!$C$27, $C$14, 100%, $E$14)</f>
        <v>13.6813</v>
      </c>
      <c r="O730" s="59">
        <f>13.6882 * CHOOSE(CONTROL!$C$27, $C$14, 100%, $E$14)</f>
        <v>13.6882</v>
      </c>
    </row>
    <row r="731" spans="1:15" ht="15">
      <c r="A731" s="11">
        <v>63341</v>
      </c>
      <c r="B731" s="58">
        <f>11.7272 * CHOOSE(CONTROL!$C$27, $C$14, 100%, $E$14)</f>
        <v>11.7272</v>
      </c>
      <c r="C731" s="58">
        <f>11.7272 * CHOOSE(CONTROL!$C$27, $C$14, 100%, $E$14)</f>
        <v>11.7272</v>
      </c>
      <c r="D731" s="58">
        <f>11.7328 * CHOOSE(CONTROL!$C$27, $C$14, 100%, $E$14)</f>
        <v>11.732799999999999</v>
      </c>
      <c r="E731" s="59">
        <f>13.6108 * CHOOSE(CONTROL!$C$27, $C$14, 100%, $E$14)</f>
        <v>13.610799999999999</v>
      </c>
      <c r="F731" s="59">
        <f>13.6108 * CHOOSE(CONTROL!$C$27, $C$14, 100%, $E$14)</f>
        <v>13.610799999999999</v>
      </c>
      <c r="G731" s="59">
        <f>13.6177 * CHOOSE(CONTROL!$C$27, $C$14, 100%, $E$14)</f>
        <v>13.617699999999999</v>
      </c>
      <c r="H731" s="59">
        <f>25.1324* CHOOSE(CONTROL!$C$27, $C$14, 100%, $E$14)</f>
        <v>25.132400000000001</v>
      </c>
      <c r="I731" s="59">
        <f>25.1393 * CHOOSE(CONTROL!$C$27, $C$14, 100%, $E$14)</f>
        <v>25.139299999999999</v>
      </c>
      <c r="J731" s="59">
        <f>25.1324 * CHOOSE(CONTROL!$C$27, $C$14, 100%, $E$14)</f>
        <v>25.132400000000001</v>
      </c>
      <c r="K731" s="59">
        <f>25.1393 * CHOOSE(CONTROL!$C$27, $C$14, 100%, $E$14)</f>
        <v>25.139299999999999</v>
      </c>
      <c r="L731" s="59">
        <f>13.6108 * CHOOSE(CONTROL!$C$27, $C$14, 100%, $E$14)</f>
        <v>13.610799999999999</v>
      </c>
      <c r="M731" s="59">
        <f>13.6177 * CHOOSE(CONTROL!$C$27, $C$14, 100%, $E$14)</f>
        <v>13.617699999999999</v>
      </c>
      <c r="N731" s="59">
        <f>13.6108 * CHOOSE(CONTROL!$C$27, $C$14, 100%, $E$14)</f>
        <v>13.610799999999999</v>
      </c>
      <c r="O731" s="59">
        <f>13.6177 * CHOOSE(CONTROL!$C$27, $C$14, 100%, $E$14)</f>
        <v>13.617699999999999</v>
      </c>
    </row>
    <row r="732" spans="1:15" ht="15">
      <c r="A732" s="11">
        <v>63371</v>
      </c>
      <c r="B732" s="58">
        <f>11.9066 * CHOOSE(CONTROL!$C$27, $C$14, 100%, $E$14)</f>
        <v>11.906599999999999</v>
      </c>
      <c r="C732" s="58">
        <f>11.9066 * CHOOSE(CONTROL!$C$27, $C$14, 100%, $E$14)</f>
        <v>11.906599999999999</v>
      </c>
      <c r="D732" s="58">
        <f>11.9123 * CHOOSE(CONTROL!$C$27, $C$14, 100%, $E$14)</f>
        <v>11.9123</v>
      </c>
      <c r="E732" s="59">
        <f>13.8292 * CHOOSE(CONTROL!$C$27, $C$14, 100%, $E$14)</f>
        <v>13.8292</v>
      </c>
      <c r="F732" s="59">
        <f>13.8292 * CHOOSE(CONTROL!$C$27, $C$14, 100%, $E$14)</f>
        <v>13.8292</v>
      </c>
      <c r="G732" s="59">
        <f>13.836 * CHOOSE(CONTROL!$C$27, $C$14, 100%, $E$14)</f>
        <v>13.836</v>
      </c>
      <c r="H732" s="59">
        <f>25.1848* CHOOSE(CONTROL!$C$27, $C$14, 100%, $E$14)</f>
        <v>25.184799999999999</v>
      </c>
      <c r="I732" s="59">
        <f>25.1917 * CHOOSE(CONTROL!$C$27, $C$14, 100%, $E$14)</f>
        <v>25.191700000000001</v>
      </c>
      <c r="J732" s="59">
        <f>25.1848 * CHOOSE(CONTROL!$C$27, $C$14, 100%, $E$14)</f>
        <v>25.184799999999999</v>
      </c>
      <c r="K732" s="59">
        <f>25.1917 * CHOOSE(CONTROL!$C$27, $C$14, 100%, $E$14)</f>
        <v>25.191700000000001</v>
      </c>
      <c r="L732" s="59">
        <f>13.8292 * CHOOSE(CONTROL!$C$27, $C$14, 100%, $E$14)</f>
        <v>13.8292</v>
      </c>
      <c r="M732" s="59">
        <f>13.836 * CHOOSE(CONTROL!$C$27, $C$14, 100%, $E$14)</f>
        <v>13.836</v>
      </c>
      <c r="N732" s="59">
        <f>13.8292 * CHOOSE(CONTROL!$C$27, $C$14, 100%, $E$14)</f>
        <v>13.8292</v>
      </c>
      <c r="O732" s="59">
        <f>13.836 * CHOOSE(CONTROL!$C$27, $C$14, 100%, $E$14)</f>
        <v>13.836</v>
      </c>
    </row>
    <row r="733" spans="1:15" ht="15">
      <c r="A733" s="11">
        <v>63402</v>
      </c>
      <c r="B733" s="58">
        <f>11.9133 * CHOOSE(CONTROL!$C$27, $C$14, 100%, $E$14)</f>
        <v>11.9133</v>
      </c>
      <c r="C733" s="58">
        <f>11.9133 * CHOOSE(CONTROL!$C$27, $C$14, 100%, $E$14)</f>
        <v>11.9133</v>
      </c>
      <c r="D733" s="58">
        <f>11.9189 * CHOOSE(CONTROL!$C$27, $C$14, 100%, $E$14)</f>
        <v>11.918900000000001</v>
      </c>
      <c r="E733" s="59">
        <f>13.6098 * CHOOSE(CONTROL!$C$27, $C$14, 100%, $E$14)</f>
        <v>13.6098</v>
      </c>
      <c r="F733" s="59">
        <f>13.6098 * CHOOSE(CONTROL!$C$27, $C$14, 100%, $E$14)</f>
        <v>13.6098</v>
      </c>
      <c r="G733" s="59">
        <f>13.6167 * CHOOSE(CONTROL!$C$27, $C$14, 100%, $E$14)</f>
        <v>13.6167</v>
      </c>
      <c r="H733" s="59">
        <f>25.2373* CHOOSE(CONTROL!$C$27, $C$14, 100%, $E$14)</f>
        <v>25.237300000000001</v>
      </c>
      <c r="I733" s="59">
        <f>25.2442 * CHOOSE(CONTROL!$C$27, $C$14, 100%, $E$14)</f>
        <v>25.244199999999999</v>
      </c>
      <c r="J733" s="59">
        <f>25.2373 * CHOOSE(CONTROL!$C$27, $C$14, 100%, $E$14)</f>
        <v>25.237300000000001</v>
      </c>
      <c r="K733" s="59">
        <f>25.2442 * CHOOSE(CONTROL!$C$27, $C$14, 100%, $E$14)</f>
        <v>25.244199999999999</v>
      </c>
      <c r="L733" s="59">
        <f>13.6098 * CHOOSE(CONTROL!$C$27, $C$14, 100%, $E$14)</f>
        <v>13.6098</v>
      </c>
      <c r="M733" s="59">
        <f>13.6167 * CHOOSE(CONTROL!$C$27, $C$14, 100%, $E$14)</f>
        <v>13.6167</v>
      </c>
      <c r="N733" s="59">
        <f>13.6098 * CHOOSE(CONTROL!$C$27, $C$14, 100%, $E$14)</f>
        <v>13.6098</v>
      </c>
      <c r="O733" s="59">
        <f>13.6167 * CHOOSE(CONTROL!$C$27, $C$14, 100%, $E$14)</f>
        <v>13.6167</v>
      </c>
    </row>
    <row r="734" spans="1:15" ht="15">
      <c r="A734" s="11">
        <v>63433</v>
      </c>
      <c r="B734" s="58">
        <f>11.9103 * CHOOSE(CONTROL!$C$27, $C$14, 100%, $E$14)</f>
        <v>11.910299999999999</v>
      </c>
      <c r="C734" s="58">
        <f>11.9103 * CHOOSE(CONTROL!$C$27, $C$14, 100%, $E$14)</f>
        <v>11.910299999999999</v>
      </c>
      <c r="D734" s="58">
        <f>11.9159 * CHOOSE(CONTROL!$C$27, $C$14, 100%, $E$14)</f>
        <v>11.915900000000001</v>
      </c>
      <c r="E734" s="59">
        <f>13.5828 * CHOOSE(CONTROL!$C$27, $C$14, 100%, $E$14)</f>
        <v>13.582800000000001</v>
      </c>
      <c r="F734" s="59">
        <f>13.5828 * CHOOSE(CONTROL!$C$27, $C$14, 100%, $E$14)</f>
        <v>13.582800000000001</v>
      </c>
      <c r="G734" s="59">
        <f>13.5897 * CHOOSE(CONTROL!$C$27, $C$14, 100%, $E$14)</f>
        <v>13.589700000000001</v>
      </c>
      <c r="H734" s="59">
        <f>25.2898* CHOOSE(CONTROL!$C$27, $C$14, 100%, $E$14)</f>
        <v>25.2898</v>
      </c>
      <c r="I734" s="59">
        <f>25.2967 * CHOOSE(CONTROL!$C$27, $C$14, 100%, $E$14)</f>
        <v>25.296700000000001</v>
      </c>
      <c r="J734" s="59">
        <f>25.2898 * CHOOSE(CONTROL!$C$27, $C$14, 100%, $E$14)</f>
        <v>25.2898</v>
      </c>
      <c r="K734" s="59">
        <f>25.2967 * CHOOSE(CONTROL!$C$27, $C$14, 100%, $E$14)</f>
        <v>25.296700000000001</v>
      </c>
      <c r="L734" s="59">
        <f>13.5828 * CHOOSE(CONTROL!$C$27, $C$14, 100%, $E$14)</f>
        <v>13.582800000000001</v>
      </c>
      <c r="M734" s="59">
        <f>13.5897 * CHOOSE(CONTROL!$C$27, $C$14, 100%, $E$14)</f>
        <v>13.589700000000001</v>
      </c>
      <c r="N734" s="59">
        <f>13.5828 * CHOOSE(CONTROL!$C$27, $C$14, 100%, $E$14)</f>
        <v>13.582800000000001</v>
      </c>
      <c r="O734" s="59">
        <f>13.5897 * CHOOSE(CONTROL!$C$27, $C$14, 100%, $E$14)</f>
        <v>13.589700000000001</v>
      </c>
    </row>
    <row r="735" spans="1:15" ht="15">
      <c r="A735" s="11">
        <v>63463</v>
      </c>
      <c r="B735" s="58">
        <f>11.9309 * CHOOSE(CONTROL!$C$27, $C$14, 100%, $E$14)</f>
        <v>11.930899999999999</v>
      </c>
      <c r="C735" s="58">
        <f>11.9309 * CHOOSE(CONTROL!$C$27, $C$14, 100%, $E$14)</f>
        <v>11.930899999999999</v>
      </c>
      <c r="D735" s="58">
        <f>11.9349 * CHOOSE(CONTROL!$C$27, $C$14, 100%, $E$14)</f>
        <v>11.934900000000001</v>
      </c>
      <c r="E735" s="59">
        <f>13.6689 * CHOOSE(CONTROL!$C$27, $C$14, 100%, $E$14)</f>
        <v>13.668900000000001</v>
      </c>
      <c r="F735" s="59">
        <f>13.6689 * CHOOSE(CONTROL!$C$27, $C$14, 100%, $E$14)</f>
        <v>13.668900000000001</v>
      </c>
      <c r="G735" s="59">
        <f>13.6738 * CHOOSE(CONTROL!$C$27, $C$14, 100%, $E$14)</f>
        <v>13.6738</v>
      </c>
      <c r="H735" s="59">
        <f>25.3425* CHOOSE(CONTROL!$C$27, $C$14, 100%, $E$14)</f>
        <v>25.342500000000001</v>
      </c>
      <c r="I735" s="59">
        <f>25.3475 * CHOOSE(CONTROL!$C$27, $C$14, 100%, $E$14)</f>
        <v>25.3475</v>
      </c>
      <c r="J735" s="59">
        <f>25.3425 * CHOOSE(CONTROL!$C$27, $C$14, 100%, $E$14)</f>
        <v>25.342500000000001</v>
      </c>
      <c r="K735" s="59">
        <f>25.3475 * CHOOSE(CONTROL!$C$27, $C$14, 100%, $E$14)</f>
        <v>25.3475</v>
      </c>
      <c r="L735" s="59">
        <f>13.6689 * CHOOSE(CONTROL!$C$27, $C$14, 100%, $E$14)</f>
        <v>13.668900000000001</v>
      </c>
      <c r="M735" s="59">
        <f>13.6738 * CHOOSE(CONTROL!$C$27, $C$14, 100%, $E$14)</f>
        <v>13.6738</v>
      </c>
      <c r="N735" s="59">
        <f>13.6689 * CHOOSE(CONTROL!$C$27, $C$14, 100%, $E$14)</f>
        <v>13.668900000000001</v>
      </c>
      <c r="O735" s="59">
        <f>13.6738 * CHOOSE(CONTROL!$C$27, $C$14, 100%, $E$14)</f>
        <v>13.6738</v>
      </c>
    </row>
    <row r="736" spans="1:15" ht="15">
      <c r="A736" s="11">
        <v>63494</v>
      </c>
      <c r="B736" s="58">
        <f>11.9339 * CHOOSE(CONTROL!$C$27, $C$14, 100%, $E$14)</f>
        <v>11.9339</v>
      </c>
      <c r="C736" s="58">
        <f>11.9339 * CHOOSE(CONTROL!$C$27, $C$14, 100%, $E$14)</f>
        <v>11.9339</v>
      </c>
      <c r="D736" s="58">
        <f>11.9379 * CHOOSE(CONTROL!$C$27, $C$14, 100%, $E$14)</f>
        <v>11.937900000000001</v>
      </c>
      <c r="E736" s="59">
        <f>13.7208 * CHOOSE(CONTROL!$C$27, $C$14, 100%, $E$14)</f>
        <v>13.720800000000001</v>
      </c>
      <c r="F736" s="59">
        <f>13.7208 * CHOOSE(CONTROL!$C$27, $C$14, 100%, $E$14)</f>
        <v>13.720800000000001</v>
      </c>
      <c r="G736" s="59">
        <f>13.7257 * CHOOSE(CONTROL!$C$27, $C$14, 100%, $E$14)</f>
        <v>13.7257</v>
      </c>
      <c r="H736" s="59">
        <f>25.3953* CHOOSE(CONTROL!$C$27, $C$14, 100%, $E$14)</f>
        <v>25.395299999999999</v>
      </c>
      <c r="I736" s="59">
        <f>25.4002 * CHOOSE(CONTROL!$C$27, $C$14, 100%, $E$14)</f>
        <v>25.400200000000002</v>
      </c>
      <c r="J736" s="59">
        <f>25.3953 * CHOOSE(CONTROL!$C$27, $C$14, 100%, $E$14)</f>
        <v>25.395299999999999</v>
      </c>
      <c r="K736" s="59">
        <f>25.4002 * CHOOSE(CONTROL!$C$27, $C$14, 100%, $E$14)</f>
        <v>25.400200000000002</v>
      </c>
      <c r="L736" s="59">
        <f>13.7208 * CHOOSE(CONTROL!$C$27, $C$14, 100%, $E$14)</f>
        <v>13.720800000000001</v>
      </c>
      <c r="M736" s="59">
        <f>13.7257 * CHOOSE(CONTROL!$C$27, $C$14, 100%, $E$14)</f>
        <v>13.7257</v>
      </c>
      <c r="N736" s="59">
        <f>13.7208 * CHOOSE(CONTROL!$C$27, $C$14, 100%, $E$14)</f>
        <v>13.720800000000001</v>
      </c>
      <c r="O736" s="59">
        <f>13.7257 * CHOOSE(CONTROL!$C$27, $C$14, 100%, $E$14)</f>
        <v>13.7257</v>
      </c>
    </row>
    <row r="737" spans="1:15" ht="15">
      <c r="A737" s="11">
        <v>63524</v>
      </c>
      <c r="B737" s="58">
        <f>11.9339 * CHOOSE(CONTROL!$C$27, $C$14, 100%, $E$14)</f>
        <v>11.9339</v>
      </c>
      <c r="C737" s="58">
        <f>11.9339 * CHOOSE(CONTROL!$C$27, $C$14, 100%, $E$14)</f>
        <v>11.9339</v>
      </c>
      <c r="D737" s="58">
        <f>11.9379 * CHOOSE(CONTROL!$C$27, $C$14, 100%, $E$14)</f>
        <v>11.937900000000001</v>
      </c>
      <c r="E737" s="59">
        <f>13.5964 * CHOOSE(CONTROL!$C$27, $C$14, 100%, $E$14)</f>
        <v>13.596399999999999</v>
      </c>
      <c r="F737" s="59">
        <f>13.5964 * CHOOSE(CONTROL!$C$27, $C$14, 100%, $E$14)</f>
        <v>13.596399999999999</v>
      </c>
      <c r="G737" s="59">
        <f>13.6013 * CHOOSE(CONTROL!$C$27, $C$14, 100%, $E$14)</f>
        <v>13.6013</v>
      </c>
      <c r="H737" s="59">
        <f>25.4482* CHOOSE(CONTROL!$C$27, $C$14, 100%, $E$14)</f>
        <v>25.4482</v>
      </c>
      <c r="I737" s="59">
        <f>25.4532 * CHOOSE(CONTROL!$C$27, $C$14, 100%, $E$14)</f>
        <v>25.453199999999999</v>
      </c>
      <c r="J737" s="59">
        <f>25.4482 * CHOOSE(CONTROL!$C$27, $C$14, 100%, $E$14)</f>
        <v>25.4482</v>
      </c>
      <c r="K737" s="59">
        <f>25.4532 * CHOOSE(CONTROL!$C$27, $C$14, 100%, $E$14)</f>
        <v>25.453199999999999</v>
      </c>
      <c r="L737" s="59">
        <f>13.5964 * CHOOSE(CONTROL!$C$27, $C$14, 100%, $E$14)</f>
        <v>13.596399999999999</v>
      </c>
      <c r="M737" s="59">
        <f>13.6013 * CHOOSE(CONTROL!$C$27, $C$14, 100%, $E$14)</f>
        <v>13.6013</v>
      </c>
      <c r="N737" s="59">
        <f>13.5964 * CHOOSE(CONTROL!$C$27, $C$14, 100%, $E$14)</f>
        <v>13.596399999999999</v>
      </c>
      <c r="O737" s="59">
        <f>13.6013 * CHOOSE(CONTROL!$C$27, $C$14, 100%, $E$14)</f>
        <v>13.6013</v>
      </c>
    </row>
    <row r="738" spans="1:15" ht="15">
      <c r="A738" s="11">
        <v>63555</v>
      </c>
      <c r="B738" s="58">
        <f>11.9586 * CHOOSE(CONTROL!$C$27, $C$14, 100%, $E$14)</f>
        <v>11.958600000000001</v>
      </c>
      <c r="C738" s="58">
        <f>11.9586 * CHOOSE(CONTROL!$C$27, $C$14, 100%, $E$14)</f>
        <v>11.958600000000001</v>
      </c>
      <c r="D738" s="58">
        <f>11.9626 * CHOOSE(CONTROL!$C$27, $C$14, 100%, $E$14)</f>
        <v>11.9626</v>
      </c>
      <c r="E738" s="59">
        <f>13.7204 * CHOOSE(CONTROL!$C$27, $C$14, 100%, $E$14)</f>
        <v>13.7204</v>
      </c>
      <c r="F738" s="59">
        <f>13.7204 * CHOOSE(CONTROL!$C$27, $C$14, 100%, $E$14)</f>
        <v>13.7204</v>
      </c>
      <c r="G738" s="59">
        <f>13.7254 * CHOOSE(CONTROL!$C$27, $C$14, 100%, $E$14)</f>
        <v>13.7254</v>
      </c>
      <c r="H738" s="59">
        <f>25.3548* CHOOSE(CONTROL!$C$27, $C$14, 100%, $E$14)</f>
        <v>25.354800000000001</v>
      </c>
      <c r="I738" s="59">
        <f>25.3597 * CHOOSE(CONTROL!$C$27, $C$14, 100%, $E$14)</f>
        <v>25.3597</v>
      </c>
      <c r="J738" s="59">
        <f>25.3548 * CHOOSE(CONTROL!$C$27, $C$14, 100%, $E$14)</f>
        <v>25.354800000000001</v>
      </c>
      <c r="K738" s="59">
        <f>25.3597 * CHOOSE(CONTROL!$C$27, $C$14, 100%, $E$14)</f>
        <v>25.3597</v>
      </c>
      <c r="L738" s="59">
        <f>13.7204 * CHOOSE(CONTROL!$C$27, $C$14, 100%, $E$14)</f>
        <v>13.7204</v>
      </c>
      <c r="M738" s="59">
        <f>13.7254 * CHOOSE(CONTROL!$C$27, $C$14, 100%, $E$14)</f>
        <v>13.7254</v>
      </c>
      <c r="N738" s="59">
        <f>13.7204 * CHOOSE(CONTROL!$C$27, $C$14, 100%, $E$14)</f>
        <v>13.7204</v>
      </c>
      <c r="O738" s="59">
        <f>13.7254 * CHOOSE(CONTROL!$C$27, $C$14, 100%, $E$14)</f>
        <v>13.7254</v>
      </c>
    </row>
    <row r="739" spans="1:15" ht="15">
      <c r="A739" s="11">
        <v>63586</v>
      </c>
      <c r="B739" s="58">
        <f>11.9556 * CHOOSE(CONTROL!$C$27, $C$14, 100%, $E$14)</f>
        <v>11.9556</v>
      </c>
      <c r="C739" s="58">
        <f>11.9556 * CHOOSE(CONTROL!$C$27, $C$14, 100%, $E$14)</f>
        <v>11.9556</v>
      </c>
      <c r="D739" s="58">
        <f>11.9596 * CHOOSE(CONTROL!$C$27, $C$14, 100%, $E$14)</f>
        <v>11.9596</v>
      </c>
      <c r="E739" s="59">
        <f>13.4782 * CHOOSE(CONTROL!$C$27, $C$14, 100%, $E$14)</f>
        <v>13.478199999999999</v>
      </c>
      <c r="F739" s="59">
        <f>13.4782 * CHOOSE(CONTROL!$C$27, $C$14, 100%, $E$14)</f>
        <v>13.478199999999999</v>
      </c>
      <c r="G739" s="59">
        <f>13.4831 * CHOOSE(CONTROL!$C$27, $C$14, 100%, $E$14)</f>
        <v>13.4831</v>
      </c>
      <c r="H739" s="59">
        <f>25.4076* CHOOSE(CONTROL!$C$27, $C$14, 100%, $E$14)</f>
        <v>25.407599999999999</v>
      </c>
      <c r="I739" s="59">
        <f>25.4126 * CHOOSE(CONTROL!$C$27, $C$14, 100%, $E$14)</f>
        <v>25.412600000000001</v>
      </c>
      <c r="J739" s="59">
        <f>25.4076 * CHOOSE(CONTROL!$C$27, $C$14, 100%, $E$14)</f>
        <v>25.407599999999999</v>
      </c>
      <c r="K739" s="59">
        <f>25.4126 * CHOOSE(CONTROL!$C$27, $C$14, 100%, $E$14)</f>
        <v>25.412600000000001</v>
      </c>
      <c r="L739" s="59">
        <f>13.4782 * CHOOSE(CONTROL!$C$27, $C$14, 100%, $E$14)</f>
        <v>13.478199999999999</v>
      </c>
      <c r="M739" s="59">
        <f>13.4831 * CHOOSE(CONTROL!$C$27, $C$14, 100%, $E$14)</f>
        <v>13.4831</v>
      </c>
      <c r="N739" s="59">
        <f>13.4782 * CHOOSE(CONTROL!$C$27, $C$14, 100%, $E$14)</f>
        <v>13.478199999999999</v>
      </c>
      <c r="O739" s="59">
        <f>13.4831 * CHOOSE(CONTROL!$C$27, $C$14, 100%, $E$14)</f>
        <v>13.4831</v>
      </c>
    </row>
    <row r="740" spans="1:15" ht="15">
      <c r="A740" s="11">
        <v>63614</v>
      </c>
      <c r="B740" s="58">
        <f>11.9525 * CHOOSE(CONTROL!$C$27, $C$14, 100%, $E$14)</f>
        <v>11.952500000000001</v>
      </c>
      <c r="C740" s="58">
        <f>11.9525 * CHOOSE(CONTROL!$C$27, $C$14, 100%, $E$14)</f>
        <v>11.952500000000001</v>
      </c>
      <c r="D740" s="58">
        <f>11.9565 * CHOOSE(CONTROL!$C$27, $C$14, 100%, $E$14)</f>
        <v>11.9565</v>
      </c>
      <c r="E740" s="59">
        <f>13.6654 * CHOOSE(CONTROL!$C$27, $C$14, 100%, $E$14)</f>
        <v>13.6654</v>
      </c>
      <c r="F740" s="59">
        <f>13.6654 * CHOOSE(CONTROL!$C$27, $C$14, 100%, $E$14)</f>
        <v>13.6654</v>
      </c>
      <c r="G740" s="59">
        <f>13.6703 * CHOOSE(CONTROL!$C$27, $C$14, 100%, $E$14)</f>
        <v>13.670299999999999</v>
      </c>
      <c r="H740" s="59">
        <f>25.4606* CHOOSE(CONTROL!$C$27, $C$14, 100%, $E$14)</f>
        <v>25.460599999999999</v>
      </c>
      <c r="I740" s="59">
        <f>25.4655 * CHOOSE(CONTROL!$C$27, $C$14, 100%, $E$14)</f>
        <v>25.465499999999999</v>
      </c>
      <c r="J740" s="59">
        <f>25.4606 * CHOOSE(CONTROL!$C$27, $C$14, 100%, $E$14)</f>
        <v>25.460599999999999</v>
      </c>
      <c r="K740" s="59">
        <f>25.4655 * CHOOSE(CONTROL!$C$27, $C$14, 100%, $E$14)</f>
        <v>25.465499999999999</v>
      </c>
      <c r="L740" s="59">
        <f>13.6654 * CHOOSE(CONTROL!$C$27, $C$14, 100%, $E$14)</f>
        <v>13.6654</v>
      </c>
      <c r="M740" s="59">
        <f>13.6703 * CHOOSE(CONTROL!$C$27, $C$14, 100%, $E$14)</f>
        <v>13.670299999999999</v>
      </c>
      <c r="N740" s="59">
        <f>13.6654 * CHOOSE(CONTROL!$C$27, $C$14, 100%, $E$14)</f>
        <v>13.6654</v>
      </c>
      <c r="O740" s="59">
        <f>13.6703 * CHOOSE(CONTROL!$C$27, $C$14, 100%, $E$14)</f>
        <v>13.670299999999999</v>
      </c>
    </row>
    <row r="741" spans="1:15" ht="15">
      <c r="A741" s="11">
        <v>63645</v>
      </c>
      <c r="B741" s="58">
        <f>11.9569 * CHOOSE(CONTROL!$C$27, $C$14, 100%, $E$14)</f>
        <v>11.956899999999999</v>
      </c>
      <c r="C741" s="58">
        <f>11.9569 * CHOOSE(CONTROL!$C$27, $C$14, 100%, $E$14)</f>
        <v>11.956899999999999</v>
      </c>
      <c r="D741" s="58">
        <f>11.9609 * CHOOSE(CONTROL!$C$27, $C$14, 100%, $E$14)</f>
        <v>11.960900000000001</v>
      </c>
      <c r="E741" s="59">
        <f>13.8645 * CHOOSE(CONTROL!$C$27, $C$14, 100%, $E$14)</f>
        <v>13.8645</v>
      </c>
      <c r="F741" s="59">
        <f>13.8645 * CHOOSE(CONTROL!$C$27, $C$14, 100%, $E$14)</f>
        <v>13.8645</v>
      </c>
      <c r="G741" s="59">
        <f>13.8694 * CHOOSE(CONTROL!$C$27, $C$14, 100%, $E$14)</f>
        <v>13.869400000000001</v>
      </c>
      <c r="H741" s="59">
        <f>25.5136* CHOOSE(CONTROL!$C$27, $C$14, 100%, $E$14)</f>
        <v>25.5136</v>
      </c>
      <c r="I741" s="59">
        <f>25.5185 * CHOOSE(CONTROL!$C$27, $C$14, 100%, $E$14)</f>
        <v>25.5185</v>
      </c>
      <c r="J741" s="59">
        <f>25.5136 * CHOOSE(CONTROL!$C$27, $C$14, 100%, $E$14)</f>
        <v>25.5136</v>
      </c>
      <c r="K741" s="59">
        <f>25.5185 * CHOOSE(CONTROL!$C$27, $C$14, 100%, $E$14)</f>
        <v>25.5185</v>
      </c>
      <c r="L741" s="59">
        <f>13.8645 * CHOOSE(CONTROL!$C$27, $C$14, 100%, $E$14)</f>
        <v>13.8645</v>
      </c>
      <c r="M741" s="59">
        <f>13.8694 * CHOOSE(CONTROL!$C$27, $C$14, 100%, $E$14)</f>
        <v>13.869400000000001</v>
      </c>
      <c r="N741" s="59">
        <f>13.8645 * CHOOSE(CONTROL!$C$27, $C$14, 100%, $E$14)</f>
        <v>13.8645</v>
      </c>
      <c r="O741" s="59">
        <f>13.8694 * CHOOSE(CONTROL!$C$27, $C$14, 100%, $E$14)</f>
        <v>13.869400000000001</v>
      </c>
    </row>
    <row r="742" spans="1:15" ht="15">
      <c r="A742" s="11">
        <v>63675</v>
      </c>
      <c r="B742" s="58">
        <f>11.9569 * CHOOSE(CONTROL!$C$27, $C$14, 100%, $E$14)</f>
        <v>11.956899999999999</v>
      </c>
      <c r="C742" s="58">
        <f>11.9569 * CHOOSE(CONTROL!$C$27, $C$14, 100%, $E$14)</f>
        <v>11.956899999999999</v>
      </c>
      <c r="D742" s="58">
        <f>11.9625 * CHOOSE(CONTROL!$C$27, $C$14, 100%, $E$14)</f>
        <v>11.9625</v>
      </c>
      <c r="E742" s="59">
        <f>13.9407 * CHOOSE(CONTROL!$C$27, $C$14, 100%, $E$14)</f>
        <v>13.9407</v>
      </c>
      <c r="F742" s="59">
        <f>13.9407 * CHOOSE(CONTROL!$C$27, $C$14, 100%, $E$14)</f>
        <v>13.9407</v>
      </c>
      <c r="G742" s="59">
        <f>13.9476 * CHOOSE(CONTROL!$C$27, $C$14, 100%, $E$14)</f>
        <v>13.9476</v>
      </c>
      <c r="H742" s="59">
        <f>25.5668* CHOOSE(CONTROL!$C$27, $C$14, 100%, $E$14)</f>
        <v>25.566800000000001</v>
      </c>
      <c r="I742" s="59">
        <f>25.5737 * CHOOSE(CONTROL!$C$27, $C$14, 100%, $E$14)</f>
        <v>25.573699999999999</v>
      </c>
      <c r="J742" s="59">
        <f>25.5668 * CHOOSE(CONTROL!$C$27, $C$14, 100%, $E$14)</f>
        <v>25.566800000000001</v>
      </c>
      <c r="K742" s="59">
        <f>25.5737 * CHOOSE(CONTROL!$C$27, $C$14, 100%, $E$14)</f>
        <v>25.573699999999999</v>
      </c>
      <c r="L742" s="59">
        <f>13.9407 * CHOOSE(CONTROL!$C$27, $C$14, 100%, $E$14)</f>
        <v>13.9407</v>
      </c>
      <c r="M742" s="59">
        <f>13.9476 * CHOOSE(CONTROL!$C$27, $C$14, 100%, $E$14)</f>
        <v>13.9476</v>
      </c>
      <c r="N742" s="59">
        <f>13.9407 * CHOOSE(CONTROL!$C$27, $C$14, 100%, $E$14)</f>
        <v>13.9407</v>
      </c>
      <c r="O742" s="59">
        <f>13.9476 * CHOOSE(CONTROL!$C$27, $C$14, 100%, $E$14)</f>
        <v>13.9476</v>
      </c>
    </row>
    <row r="743" spans="1:15" ht="15">
      <c r="A743" s="11">
        <v>63706</v>
      </c>
      <c r="B743" s="58">
        <f>11.9629 * CHOOSE(CONTROL!$C$27, $C$14, 100%, $E$14)</f>
        <v>11.962899999999999</v>
      </c>
      <c r="C743" s="58">
        <f>11.9629 * CHOOSE(CONTROL!$C$27, $C$14, 100%, $E$14)</f>
        <v>11.962899999999999</v>
      </c>
      <c r="D743" s="58">
        <f>11.9686 * CHOOSE(CONTROL!$C$27, $C$14, 100%, $E$14)</f>
        <v>11.9686</v>
      </c>
      <c r="E743" s="59">
        <f>13.8687 * CHOOSE(CONTROL!$C$27, $C$14, 100%, $E$14)</f>
        <v>13.8687</v>
      </c>
      <c r="F743" s="59">
        <f>13.8687 * CHOOSE(CONTROL!$C$27, $C$14, 100%, $E$14)</f>
        <v>13.8687</v>
      </c>
      <c r="G743" s="59">
        <f>13.8756 * CHOOSE(CONTROL!$C$27, $C$14, 100%, $E$14)</f>
        <v>13.8756</v>
      </c>
      <c r="H743" s="59">
        <f>25.62* CHOOSE(CONTROL!$C$27, $C$14, 100%, $E$14)</f>
        <v>25.62</v>
      </c>
      <c r="I743" s="59">
        <f>25.6269 * CHOOSE(CONTROL!$C$27, $C$14, 100%, $E$14)</f>
        <v>25.626899999999999</v>
      </c>
      <c r="J743" s="59">
        <f>25.62 * CHOOSE(CONTROL!$C$27, $C$14, 100%, $E$14)</f>
        <v>25.62</v>
      </c>
      <c r="K743" s="59">
        <f>25.6269 * CHOOSE(CONTROL!$C$27, $C$14, 100%, $E$14)</f>
        <v>25.626899999999999</v>
      </c>
      <c r="L743" s="59">
        <f>13.8687 * CHOOSE(CONTROL!$C$27, $C$14, 100%, $E$14)</f>
        <v>13.8687</v>
      </c>
      <c r="M743" s="59">
        <f>13.8756 * CHOOSE(CONTROL!$C$27, $C$14, 100%, $E$14)</f>
        <v>13.8756</v>
      </c>
      <c r="N743" s="59">
        <f>13.8687 * CHOOSE(CONTROL!$C$27, $C$14, 100%, $E$14)</f>
        <v>13.8687</v>
      </c>
      <c r="O743" s="59">
        <f>13.8756 * CHOOSE(CONTROL!$C$27, $C$14, 100%, $E$14)</f>
        <v>13.8756</v>
      </c>
    </row>
    <row r="744" spans="1:15" ht="15">
      <c r="A744" s="11">
        <v>63736</v>
      </c>
      <c r="B744" s="58">
        <f>12.1458 * CHOOSE(CONTROL!$C$27, $C$14, 100%, $E$14)</f>
        <v>12.145799999999999</v>
      </c>
      <c r="C744" s="58">
        <f>12.1458 * CHOOSE(CONTROL!$C$27, $C$14, 100%, $E$14)</f>
        <v>12.145799999999999</v>
      </c>
      <c r="D744" s="58">
        <f>12.1514 * CHOOSE(CONTROL!$C$27, $C$14, 100%, $E$14)</f>
        <v>12.151400000000001</v>
      </c>
      <c r="E744" s="59">
        <f>14.0909 * CHOOSE(CONTROL!$C$27, $C$14, 100%, $E$14)</f>
        <v>14.0909</v>
      </c>
      <c r="F744" s="59">
        <f>14.0909 * CHOOSE(CONTROL!$C$27, $C$14, 100%, $E$14)</f>
        <v>14.0909</v>
      </c>
      <c r="G744" s="59">
        <f>14.0978 * CHOOSE(CONTROL!$C$27, $C$14, 100%, $E$14)</f>
        <v>14.097799999999999</v>
      </c>
      <c r="H744" s="59">
        <f>25.6734* CHOOSE(CONTROL!$C$27, $C$14, 100%, $E$14)</f>
        <v>25.673400000000001</v>
      </c>
      <c r="I744" s="59">
        <f>25.6803 * CHOOSE(CONTROL!$C$27, $C$14, 100%, $E$14)</f>
        <v>25.680299999999999</v>
      </c>
      <c r="J744" s="59">
        <f>25.6734 * CHOOSE(CONTROL!$C$27, $C$14, 100%, $E$14)</f>
        <v>25.673400000000001</v>
      </c>
      <c r="K744" s="59">
        <f>25.6803 * CHOOSE(CONTROL!$C$27, $C$14, 100%, $E$14)</f>
        <v>25.680299999999999</v>
      </c>
      <c r="L744" s="59">
        <f>14.0909 * CHOOSE(CONTROL!$C$27, $C$14, 100%, $E$14)</f>
        <v>14.0909</v>
      </c>
      <c r="M744" s="59">
        <f>14.0978 * CHOOSE(CONTROL!$C$27, $C$14, 100%, $E$14)</f>
        <v>14.097799999999999</v>
      </c>
      <c r="N744" s="59">
        <f>14.0909 * CHOOSE(CONTROL!$C$27, $C$14, 100%, $E$14)</f>
        <v>14.0909</v>
      </c>
      <c r="O744" s="59">
        <f>14.0978 * CHOOSE(CONTROL!$C$27, $C$14, 100%, $E$14)</f>
        <v>14.097799999999999</v>
      </c>
    </row>
    <row r="745" spans="1:15" ht="15">
      <c r="A745" s="11">
        <v>63767</v>
      </c>
      <c r="B745" s="58">
        <f>12.1525 * CHOOSE(CONTROL!$C$27, $C$14, 100%, $E$14)</f>
        <v>12.1525</v>
      </c>
      <c r="C745" s="58">
        <f>12.1525 * CHOOSE(CONTROL!$C$27, $C$14, 100%, $E$14)</f>
        <v>12.1525</v>
      </c>
      <c r="D745" s="58">
        <f>12.1581 * CHOOSE(CONTROL!$C$27, $C$14, 100%, $E$14)</f>
        <v>12.158099999999999</v>
      </c>
      <c r="E745" s="59">
        <f>13.8668 * CHOOSE(CONTROL!$C$27, $C$14, 100%, $E$14)</f>
        <v>13.8668</v>
      </c>
      <c r="F745" s="59">
        <f>13.8668 * CHOOSE(CONTROL!$C$27, $C$14, 100%, $E$14)</f>
        <v>13.8668</v>
      </c>
      <c r="G745" s="59">
        <f>13.8737 * CHOOSE(CONTROL!$C$27, $C$14, 100%, $E$14)</f>
        <v>13.873699999999999</v>
      </c>
      <c r="H745" s="59">
        <f>25.7269* CHOOSE(CONTROL!$C$27, $C$14, 100%, $E$14)</f>
        <v>25.726900000000001</v>
      </c>
      <c r="I745" s="59">
        <f>25.7338 * CHOOSE(CONTROL!$C$27, $C$14, 100%, $E$14)</f>
        <v>25.733799999999999</v>
      </c>
      <c r="J745" s="59">
        <f>25.7269 * CHOOSE(CONTROL!$C$27, $C$14, 100%, $E$14)</f>
        <v>25.726900000000001</v>
      </c>
      <c r="K745" s="59">
        <f>25.7338 * CHOOSE(CONTROL!$C$27, $C$14, 100%, $E$14)</f>
        <v>25.733799999999999</v>
      </c>
      <c r="L745" s="59">
        <f>13.8668 * CHOOSE(CONTROL!$C$27, $C$14, 100%, $E$14)</f>
        <v>13.8668</v>
      </c>
      <c r="M745" s="59">
        <f>13.8737 * CHOOSE(CONTROL!$C$27, $C$14, 100%, $E$14)</f>
        <v>13.873699999999999</v>
      </c>
      <c r="N745" s="59">
        <f>13.8668 * CHOOSE(CONTROL!$C$27, $C$14, 100%, $E$14)</f>
        <v>13.8668</v>
      </c>
      <c r="O745" s="59">
        <f>13.8737 * CHOOSE(CONTROL!$C$27, $C$14, 100%, $E$14)</f>
        <v>13.873699999999999</v>
      </c>
    </row>
    <row r="746" spans="1:15" ht="15">
      <c r="A746" s="11">
        <v>63798</v>
      </c>
      <c r="B746" s="58">
        <f>12.1495 * CHOOSE(CONTROL!$C$27, $C$14, 100%, $E$14)</f>
        <v>12.1495</v>
      </c>
      <c r="C746" s="58">
        <f>12.1495 * CHOOSE(CONTROL!$C$27, $C$14, 100%, $E$14)</f>
        <v>12.1495</v>
      </c>
      <c r="D746" s="58">
        <f>12.1551 * CHOOSE(CONTROL!$C$27, $C$14, 100%, $E$14)</f>
        <v>12.155099999999999</v>
      </c>
      <c r="E746" s="59">
        <f>13.8393 * CHOOSE(CONTROL!$C$27, $C$14, 100%, $E$14)</f>
        <v>13.8393</v>
      </c>
      <c r="F746" s="59">
        <f>13.8393 * CHOOSE(CONTROL!$C$27, $C$14, 100%, $E$14)</f>
        <v>13.8393</v>
      </c>
      <c r="G746" s="59">
        <f>13.8462 * CHOOSE(CONTROL!$C$27, $C$14, 100%, $E$14)</f>
        <v>13.8462</v>
      </c>
      <c r="H746" s="59">
        <f>25.7805* CHOOSE(CONTROL!$C$27, $C$14, 100%, $E$14)</f>
        <v>25.7805</v>
      </c>
      <c r="I746" s="59">
        <f>25.7874 * CHOOSE(CONTROL!$C$27, $C$14, 100%, $E$14)</f>
        <v>25.787400000000002</v>
      </c>
      <c r="J746" s="59">
        <f>25.7805 * CHOOSE(CONTROL!$C$27, $C$14, 100%, $E$14)</f>
        <v>25.7805</v>
      </c>
      <c r="K746" s="59">
        <f>25.7874 * CHOOSE(CONTROL!$C$27, $C$14, 100%, $E$14)</f>
        <v>25.787400000000002</v>
      </c>
      <c r="L746" s="59">
        <f>13.8393 * CHOOSE(CONTROL!$C$27, $C$14, 100%, $E$14)</f>
        <v>13.8393</v>
      </c>
      <c r="M746" s="59">
        <f>13.8462 * CHOOSE(CONTROL!$C$27, $C$14, 100%, $E$14)</f>
        <v>13.8462</v>
      </c>
      <c r="N746" s="59">
        <f>13.8393 * CHOOSE(CONTROL!$C$27, $C$14, 100%, $E$14)</f>
        <v>13.8393</v>
      </c>
      <c r="O746" s="59">
        <f>13.8462 * CHOOSE(CONTROL!$C$27, $C$14, 100%, $E$14)</f>
        <v>13.8462</v>
      </c>
    </row>
    <row r="747" spans="1:15" ht="15">
      <c r="A747" s="11">
        <v>63828</v>
      </c>
      <c r="B747" s="58">
        <f>12.1708 * CHOOSE(CONTROL!$C$27, $C$14, 100%, $E$14)</f>
        <v>12.1708</v>
      </c>
      <c r="C747" s="58">
        <f>12.1708 * CHOOSE(CONTROL!$C$27, $C$14, 100%, $E$14)</f>
        <v>12.1708</v>
      </c>
      <c r="D747" s="58">
        <f>12.1748 * CHOOSE(CONTROL!$C$27, $C$14, 100%, $E$14)</f>
        <v>12.174799999999999</v>
      </c>
      <c r="E747" s="59">
        <f>13.9276 * CHOOSE(CONTROL!$C$27, $C$14, 100%, $E$14)</f>
        <v>13.9276</v>
      </c>
      <c r="F747" s="59">
        <f>13.9276 * CHOOSE(CONTROL!$C$27, $C$14, 100%, $E$14)</f>
        <v>13.9276</v>
      </c>
      <c r="G747" s="59">
        <f>13.9325 * CHOOSE(CONTROL!$C$27, $C$14, 100%, $E$14)</f>
        <v>13.932499999999999</v>
      </c>
      <c r="H747" s="59">
        <f>25.8342* CHOOSE(CONTROL!$C$27, $C$14, 100%, $E$14)</f>
        <v>25.834199999999999</v>
      </c>
      <c r="I747" s="59">
        <f>25.8391 * CHOOSE(CONTROL!$C$27, $C$14, 100%, $E$14)</f>
        <v>25.839099999999998</v>
      </c>
      <c r="J747" s="59">
        <f>25.8342 * CHOOSE(CONTROL!$C$27, $C$14, 100%, $E$14)</f>
        <v>25.834199999999999</v>
      </c>
      <c r="K747" s="59">
        <f>25.8391 * CHOOSE(CONTROL!$C$27, $C$14, 100%, $E$14)</f>
        <v>25.839099999999998</v>
      </c>
      <c r="L747" s="59">
        <f>13.9276 * CHOOSE(CONTROL!$C$27, $C$14, 100%, $E$14)</f>
        <v>13.9276</v>
      </c>
      <c r="M747" s="59">
        <f>13.9325 * CHOOSE(CONTROL!$C$27, $C$14, 100%, $E$14)</f>
        <v>13.932499999999999</v>
      </c>
      <c r="N747" s="59">
        <f>13.9276 * CHOOSE(CONTROL!$C$27, $C$14, 100%, $E$14)</f>
        <v>13.9276</v>
      </c>
      <c r="O747" s="59">
        <f>13.9325 * CHOOSE(CONTROL!$C$27, $C$14, 100%, $E$14)</f>
        <v>13.932499999999999</v>
      </c>
    </row>
    <row r="748" spans="1:15" ht="15">
      <c r="A748" s="11">
        <v>63859</v>
      </c>
      <c r="B748" s="58">
        <f>12.1739 * CHOOSE(CONTROL!$C$27, $C$14, 100%, $E$14)</f>
        <v>12.1739</v>
      </c>
      <c r="C748" s="58">
        <f>12.1739 * CHOOSE(CONTROL!$C$27, $C$14, 100%, $E$14)</f>
        <v>12.1739</v>
      </c>
      <c r="D748" s="58">
        <f>12.1779 * CHOOSE(CONTROL!$C$27, $C$14, 100%, $E$14)</f>
        <v>12.177899999999999</v>
      </c>
      <c r="E748" s="59">
        <f>13.9805 * CHOOSE(CONTROL!$C$27, $C$14, 100%, $E$14)</f>
        <v>13.980499999999999</v>
      </c>
      <c r="F748" s="59">
        <f>13.9805 * CHOOSE(CONTROL!$C$27, $C$14, 100%, $E$14)</f>
        <v>13.980499999999999</v>
      </c>
      <c r="G748" s="59">
        <f>13.9854 * CHOOSE(CONTROL!$C$27, $C$14, 100%, $E$14)</f>
        <v>13.9854</v>
      </c>
      <c r="H748" s="59">
        <f>25.888* CHOOSE(CONTROL!$C$27, $C$14, 100%, $E$14)</f>
        <v>25.888000000000002</v>
      </c>
      <c r="I748" s="59">
        <f>25.8929 * CHOOSE(CONTROL!$C$27, $C$14, 100%, $E$14)</f>
        <v>25.892900000000001</v>
      </c>
      <c r="J748" s="59">
        <f>25.888 * CHOOSE(CONTROL!$C$27, $C$14, 100%, $E$14)</f>
        <v>25.888000000000002</v>
      </c>
      <c r="K748" s="59">
        <f>25.8929 * CHOOSE(CONTROL!$C$27, $C$14, 100%, $E$14)</f>
        <v>25.892900000000001</v>
      </c>
      <c r="L748" s="59">
        <f>13.9805 * CHOOSE(CONTROL!$C$27, $C$14, 100%, $E$14)</f>
        <v>13.980499999999999</v>
      </c>
      <c r="M748" s="59">
        <f>13.9854 * CHOOSE(CONTROL!$C$27, $C$14, 100%, $E$14)</f>
        <v>13.9854</v>
      </c>
      <c r="N748" s="59">
        <f>13.9805 * CHOOSE(CONTROL!$C$27, $C$14, 100%, $E$14)</f>
        <v>13.980499999999999</v>
      </c>
      <c r="O748" s="59">
        <f>13.9854 * CHOOSE(CONTROL!$C$27, $C$14, 100%, $E$14)</f>
        <v>13.9854</v>
      </c>
    </row>
    <row r="749" spans="1:15" ht="15">
      <c r="A749" s="11">
        <v>63889</v>
      </c>
      <c r="B749" s="58">
        <f>12.1739 * CHOOSE(CONTROL!$C$27, $C$14, 100%, $E$14)</f>
        <v>12.1739</v>
      </c>
      <c r="C749" s="58">
        <f>12.1739 * CHOOSE(CONTROL!$C$27, $C$14, 100%, $E$14)</f>
        <v>12.1739</v>
      </c>
      <c r="D749" s="58">
        <f>12.1779 * CHOOSE(CONTROL!$C$27, $C$14, 100%, $E$14)</f>
        <v>12.177899999999999</v>
      </c>
      <c r="E749" s="59">
        <f>13.8534 * CHOOSE(CONTROL!$C$27, $C$14, 100%, $E$14)</f>
        <v>13.853400000000001</v>
      </c>
      <c r="F749" s="59">
        <f>13.8534 * CHOOSE(CONTROL!$C$27, $C$14, 100%, $E$14)</f>
        <v>13.853400000000001</v>
      </c>
      <c r="G749" s="59">
        <f>13.8584 * CHOOSE(CONTROL!$C$27, $C$14, 100%, $E$14)</f>
        <v>13.8584</v>
      </c>
      <c r="H749" s="59">
        <f>25.942* CHOOSE(CONTROL!$C$27, $C$14, 100%, $E$14)</f>
        <v>25.942</v>
      </c>
      <c r="I749" s="59">
        <f>25.9469 * CHOOSE(CONTROL!$C$27, $C$14, 100%, $E$14)</f>
        <v>25.946899999999999</v>
      </c>
      <c r="J749" s="59">
        <f>25.942 * CHOOSE(CONTROL!$C$27, $C$14, 100%, $E$14)</f>
        <v>25.942</v>
      </c>
      <c r="K749" s="59">
        <f>25.9469 * CHOOSE(CONTROL!$C$27, $C$14, 100%, $E$14)</f>
        <v>25.946899999999999</v>
      </c>
      <c r="L749" s="59">
        <f>13.8534 * CHOOSE(CONTROL!$C$27, $C$14, 100%, $E$14)</f>
        <v>13.853400000000001</v>
      </c>
      <c r="M749" s="59">
        <f>13.8584 * CHOOSE(CONTROL!$C$27, $C$14, 100%, $E$14)</f>
        <v>13.8584</v>
      </c>
      <c r="N749" s="59">
        <f>13.8534 * CHOOSE(CONTROL!$C$27, $C$14, 100%, $E$14)</f>
        <v>13.853400000000001</v>
      </c>
      <c r="O749" s="59">
        <f>13.8584 * CHOOSE(CONTROL!$C$27, $C$14, 100%, $E$14)</f>
        <v>13.8584</v>
      </c>
    </row>
    <row r="750" spans="1:15" ht="15">
      <c r="A750" s="11">
        <v>63920</v>
      </c>
      <c r="B750" s="58">
        <f>12.1942 * CHOOSE(CONTROL!$C$27, $C$14, 100%, $E$14)</f>
        <v>12.1942</v>
      </c>
      <c r="C750" s="58">
        <f>12.1942 * CHOOSE(CONTROL!$C$27, $C$14, 100%, $E$14)</f>
        <v>12.1942</v>
      </c>
      <c r="D750" s="58">
        <f>12.1982 * CHOOSE(CONTROL!$C$27, $C$14, 100%, $E$14)</f>
        <v>12.1982</v>
      </c>
      <c r="E750" s="59">
        <f>13.9752 * CHOOSE(CONTROL!$C$27, $C$14, 100%, $E$14)</f>
        <v>13.975199999999999</v>
      </c>
      <c r="F750" s="59">
        <f>13.9752 * CHOOSE(CONTROL!$C$27, $C$14, 100%, $E$14)</f>
        <v>13.975199999999999</v>
      </c>
      <c r="G750" s="59">
        <f>13.9801 * CHOOSE(CONTROL!$C$27, $C$14, 100%, $E$14)</f>
        <v>13.9801</v>
      </c>
      <c r="H750" s="59">
        <f>25.8374* CHOOSE(CONTROL!$C$27, $C$14, 100%, $E$14)</f>
        <v>25.837399999999999</v>
      </c>
      <c r="I750" s="59">
        <f>25.8423 * CHOOSE(CONTROL!$C$27, $C$14, 100%, $E$14)</f>
        <v>25.842300000000002</v>
      </c>
      <c r="J750" s="59">
        <f>25.8374 * CHOOSE(CONTROL!$C$27, $C$14, 100%, $E$14)</f>
        <v>25.837399999999999</v>
      </c>
      <c r="K750" s="59">
        <f>25.8423 * CHOOSE(CONTROL!$C$27, $C$14, 100%, $E$14)</f>
        <v>25.842300000000002</v>
      </c>
      <c r="L750" s="59">
        <f>13.9752 * CHOOSE(CONTROL!$C$27, $C$14, 100%, $E$14)</f>
        <v>13.975199999999999</v>
      </c>
      <c r="M750" s="59">
        <f>13.9801 * CHOOSE(CONTROL!$C$27, $C$14, 100%, $E$14)</f>
        <v>13.9801</v>
      </c>
      <c r="N750" s="59">
        <f>13.9752 * CHOOSE(CONTROL!$C$27, $C$14, 100%, $E$14)</f>
        <v>13.975199999999999</v>
      </c>
      <c r="O750" s="59">
        <f>13.9801 * CHOOSE(CONTROL!$C$27, $C$14, 100%, $E$14)</f>
        <v>13.9801</v>
      </c>
    </row>
    <row r="751" spans="1:15" ht="15">
      <c r="A751" s="11">
        <v>63951</v>
      </c>
      <c r="B751" s="58">
        <f>12.1911 * CHOOSE(CONTROL!$C$27, $C$14, 100%, $E$14)</f>
        <v>12.1911</v>
      </c>
      <c r="C751" s="58">
        <f>12.1911 * CHOOSE(CONTROL!$C$27, $C$14, 100%, $E$14)</f>
        <v>12.1911</v>
      </c>
      <c r="D751" s="58">
        <f>12.1951 * CHOOSE(CONTROL!$C$27, $C$14, 100%, $E$14)</f>
        <v>12.1951</v>
      </c>
      <c r="E751" s="59">
        <f>13.728 * CHOOSE(CONTROL!$C$27, $C$14, 100%, $E$14)</f>
        <v>13.728</v>
      </c>
      <c r="F751" s="59">
        <f>13.728 * CHOOSE(CONTROL!$C$27, $C$14, 100%, $E$14)</f>
        <v>13.728</v>
      </c>
      <c r="G751" s="59">
        <f>13.7329 * CHOOSE(CONTROL!$C$27, $C$14, 100%, $E$14)</f>
        <v>13.732900000000001</v>
      </c>
      <c r="H751" s="59">
        <f>25.8912* CHOOSE(CONTROL!$C$27, $C$14, 100%, $E$14)</f>
        <v>25.891200000000001</v>
      </c>
      <c r="I751" s="59">
        <f>25.8961 * CHOOSE(CONTROL!$C$27, $C$14, 100%, $E$14)</f>
        <v>25.896100000000001</v>
      </c>
      <c r="J751" s="59">
        <f>25.8912 * CHOOSE(CONTROL!$C$27, $C$14, 100%, $E$14)</f>
        <v>25.891200000000001</v>
      </c>
      <c r="K751" s="59">
        <f>25.8961 * CHOOSE(CONTROL!$C$27, $C$14, 100%, $E$14)</f>
        <v>25.896100000000001</v>
      </c>
      <c r="L751" s="59">
        <f>13.728 * CHOOSE(CONTROL!$C$27, $C$14, 100%, $E$14)</f>
        <v>13.728</v>
      </c>
      <c r="M751" s="59">
        <f>13.7329 * CHOOSE(CONTROL!$C$27, $C$14, 100%, $E$14)</f>
        <v>13.732900000000001</v>
      </c>
      <c r="N751" s="59">
        <f>13.728 * CHOOSE(CONTROL!$C$27, $C$14, 100%, $E$14)</f>
        <v>13.728</v>
      </c>
      <c r="O751" s="59">
        <f>13.7329 * CHOOSE(CONTROL!$C$27, $C$14, 100%, $E$14)</f>
        <v>13.732900000000001</v>
      </c>
    </row>
    <row r="752" spans="1:15" ht="15">
      <c r="A752" s="11">
        <v>63979</v>
      </c>
      <c r="B752" s="58">
        <f>12.1881 * CHOOSE(CONTROL!$C$27, $C$14, 100%, $E$14)</f>
        <v>12.1881</v>
      </c>
      <c r="C752" s="58">
        <f>12.1881 * CHOOSE(CONTROL!$C$27, $C$14, 100%, $E$14)</f>
        <v>12.1881</v>
      </c>
      <c r="D752" s="58">
        <f>12.1921 * CHOOSE(CONTROL!$C$27, $C$14, 100%, $E$14)</f>
        <v>12.1921</v>
      </c>
      <c r="E752" s="59">
        <f>13.9191 * CHOOSE(CONTROL!$C$27, $C$14, 100%, $E$14)</f>
        <v>13.9191</v>
      </c>
      <c r="F752" s="59">
        <f>13.9191 * CHOOSE(CONTROL!$C$27, $C$14, 100%, $E$14)</f>
        <v>13.9191</v>
      </c>
      <c r="G752" s="59">
        <f>13.924 * CHOOSE(CONTROL!$C$27, $C$14, 100%, $E$14)</f>
        <v>13.923999999999999</v>
      </c>
      <c r="H752" s="59">
        <f>25.9451* CHOOSE(CONTROL!$C$27, $C$14, 100%, $E$14)</f>
        <v>25.9451</v>
      </c>
      <c r="I752" s="59">
        <f>25.9501 * CHOOSE(CONTROL!$C$27, $C$14, 100%, $E$14)</f>
        <v>25.950099999999999</v>
      </c>
      <c r="J752" s="59">
        <f>25.9451 * CHOOSE(CONTROL!$C$27, $C$14, 100%, $E$14)</f>
        <v>25.9451</v>
      </c>
      <c r="K752" s="59">
        <f>25.9501 * CHOOSE(CONTROL!$C$27, $C$14, 100%, $E$14)</f>
        <v>25.950099999999999</v>
      </c>
      <c r="L752" s="59">
        <f>13.9191 * CHOOSE(CONTROL!$C$27, $C$14, 100%, $E$14)</f>
        <v>13.9191</v>
      </c>
      <c r="M752" s="59">
        <f>13.924 * CHOOSE(CONTROL!$C$27, $C$14, 100%, $E$14)</f>
        <v>13.923999999999999</v>
      </c>
      <c r="N752" s="59">
        <f>13.9191 * CHOOSE(CONTROL!$C$27, $C$14, 100%, $E$14)</f>
        <v>13.9191</v>
      </c>
      <c r="O752" s="59">
        <f>13.924 * CHOOSE(CONTROL!$C$27, $C$14, 100%, $E$14)</f>
        <v>13.923999999999999</v>
      </c>
    </row>
    <row r="753" spans="1:15" ht="15">
      <c r="A753" s="11">
        <v>64010</v>
      </c>
      <c r="B753" s="58">
        <f>12.1926 * CHOOSE(CONTROL!$C$27, $C$14, 100%, $E$14)</f>
        <v>12.192600000000001</v>
      </c>
      <c r="C753" s="58">
        <f>12.1926 * CHOOSE(CONTROL!$C$27, $C$14, 100%, $E$14)</f>
        <v>12.192600000000001</v>
      </c>
      <c r="D753" s="58">
        <f>12.1966 * CHOOSE(CONTROL!$C$27, $C$14, 100%, $E$14)</f>
        <v>12.1966</v>
      </c>
      <c r="E753" s="59">
        <f>14.1223 * CHOOSE(CONTROL!$C$27, $C$14, 100%, $E$14)</f>
        <v>14.122299999999999</v>
      </c>
      <c r="F753" s="59">
        <f>14.1223 * CHOOSE(CONTROL!$C$27, $C$14, 100%, $E$14)</f>
        <v>14.122299999999999</v>
      </c>
      <c r="G753" s="59">
        <f>14.1272 * CHOOSE(CONTROL!$C$27, $C$14, 100%, $E$14)</f>
        <v>14.1272</v>
      </c>
      <c r="H753" s="59">
        <f>25.9992* CHOOSE(CONTROL!$C$27, $C$14, 100%, $E$14)</f>
        <v>25.999199999999998</v>
      </c>
      <c r="I753" s="59">
        <f>26.0041 * CHOOSE(CONTROL!$C$27, $C$14, 100%, $E$14)</f>
        <v>26.004100000000001</v>
      </c>
      <c r="J753" s="59">
        <f>25.9992 * CHOOSE(CONTROL!$C$27, $C$14, 100%, $E$14)</f>
        <v>25.999199999999998</v>
      </c>
      <c r="K753" s="59">
        <f>26.0041 * CHOOSE(CONTROL!$C$27, $C$14, 100%, $E$14)</f>
        <v>26.004100000000001</v>
      </c>
      <c r="L753" s="59">
        <f>14.1223 * CHOOSE(CONTROL!$C$27, $C$14, 100%, $E$14)</f>
        <v>14.122299999999999</v>
      </c>
      <c r="M753" s="59">
        <f>14.1272 * CHOOSE(CONTROL!$C$27, $C$14, 100%, $E$14)</f>
        <v>14.1272</v>
      </c>
      <c r="N753" s="59">
        <f>14.1223 * CHOOSE(CONTROL!$C$27, $C$14, 100%, $E$14)</f>
        <v>14.122299999999999</v>
      </c>
      <c r="O753" s="59">
        <f>14.1272 * CHOOSE(CONTROL!$C$27, $C$14, 100%, $E$14)</f>
        <v>14.1272</v>
      </c>
    </row>
    <row r="754" spans="1:15" ht="15">
      <c r="A754" s="11">
        <v>64040</v>
      </c>
      <c r="B754" s="58">
        <f>12.1926 * CHOOSE(CONTROL!$C$27, $C$14, 100%, $E$14)</f>
        <v>12.192600000000001</v>
      </c>
      <c r="C754" s="58">
        <f>12.1926 * CHOOSE(CONTROL!$C$27, $C$14, 100%, $E$14)</f>
        <v>12.192600000000001</v>
      </c>
      <c r="D754" s="58">
        <f>12.1983 * CHOOSE(CONTROL!$C$27, $C$14, 100%, $E$14)</f>
        <v>12.1983</v>
      </c>
      <c r="E754" s="59">
        <f>14.2001 * CHOOSE(CONTROL!$C$27, $C$14, 100%, $E$14)</f>
        <v>14.200100000000001</v>
      </c>
      <c r="F754" s="59">
        <f>14.2001 * CHOOSE(CONTROL!$C$27, $C$14, 100%, $E$14)</f>
        <v>14.200100000000001</v>
      </c>
      <c r="G754" s="59">
        <f>14.207 * CHOOSE(CONTROL!$C$27, $C$14, 100%, $E$14)</f>
        <v>14.207000000000001</v>
      </c>
      <c r="H754" s="59">
        <f>26.0533* CHOOSE(CONTROL!$C$27, $C$14, 100%, $E$14)</f>
        <v>26.0533</v>
      </c>
      <c r="I754" s="59">
        <f>26.0602 * CHOOSE(CONTROL!$C$27, $C$14, 100%, $E$14)</f>
        <v>26.060199999999998</v>
      </c>
      <c r="J754" s="59">
        <f>26.0533 * CHOOSE(CONTROL!$C$27, $C$14, 100%, $E$14)</f>
        <v>26.0533</v>
      </c>
      <c r="K754" s="59">
        <f>26.0602 * CHOOSE(CONTROL!$C$27, $C$14, 100%, $E$14)</f>
        <v>26.060199999999998</v>
      </c>
      <c r="L754" s="59">
        <f>14.2001 * CHOOSE(CONTROL!$C$27, $C$14, 100%, $E$14)</f>
        <v>14.200100000000001</v>
      </c>
      <c r="M754" s="59">
        <f>14.207 * CHOOSE(CONTROL!$C$27, $C$14, 100%, $E$14)</f>
        <v>14.207000000000001</v>
      </c>
      <c r="N754" s="59">
        <f>14.2001 * CHOOSE(CONTROL!$C$27, $C$14, 100%, $E$14)</f>
        <v>14.200100000000001</v>
      </c>
      <c r="O754" s="59">
        <f>14.207 * CHOOSE(CONTROL!$C$27, $C$14, 100%, $E$14)</f>
        <v>14.207000000000001</v>
      </c>
    </row>
    <row r="755" spans="1:15" ht="15">
      <c r="A755" s="11">
        <v>64071</v>
      </c>
      <c r="B755" s="58">
        <f>12.1987 * CHOOSE(CONTROL!$C$27, $C$14, 100%, $E$14)</f>
        <v>12.198700000000001</v>
      </c>
      <c r="C755" s="58">
        <f>12.1987 * CHOOSE(CONTROL!$C$27, $C$14, 100%, $E$14)</f>
        <v>12.198700000000001</v>
      </c>
      <c r="D755" s="58">
        <f>12.2043 * CHOOSE(CONTROL!$C$27, $C$14, 100%, $E$14)</f>
        <v>12.2043</v>
      </c>
      <c r="E755" s="59">
        <f>14.1266 * CHOOSE(CONTROL!$C$27, $C$14, 100%, $E$14)</f>
        <v>14.1266</v>
      </c>
      <c r="F755" s="59">
        <f>14.1266 * CHOOSE(CONTROL!$C$27, $C$14, 100%, $E$14)</f>
        <v>14.1266</v>
      </c>
      <c r="G755" s="59">
        <f>14.1334 * CHOOSE(CONTROL!$C$27, $C$14, 100%, $E$14)</f>
        <v>14.1334</v>
      </c>
      <c r="H755" s="59">
        <f>26.1076* CHOOSE(CONTROL!$C$27, $C$14, 100%, $E$14)</f>
        <v>26.107600000000001</v>
      </c>
      <c r="I755" s="59">
        <f>26.1145 * CHOOSE(CONTROL!$C$27, $C$14, 100%, $E$14)</f>
        <v>26.1145</v>
      </c>
      <c r="J755" s="59">
        <f>26.1076 * CHOOSE(CONTROL!$C$27, $C$14, 100%, $E$14)</f>
        <v>26.107600000000001</v>
      </c>
      <c r="K755" s="59">
        <f>26.1145 * CHOOSE(CONTROL!$C$27, $C$14, 100%, $E$14)</f>
        <v>26.1145</v>
      </c>
      <c r="L755" s="59">
        <f>14.1266 * CHOOSE(CONTROL!$C$27, $C$14, 100%, $E$14)</f>
        <v>14.1266</v>
      </c>
      <c r="M755" s="59">
        <f>14.1334 * CHOOSE(CONTROL!$C$27, $C$14, 100%, $E$14)</f>
        <v>14.1334</v>
      </c>
      <c r="N755" s="59">
        <f>14.1266 * CHOOSE(CONTROL!$C$27, $C$14, 100%, $E$14)</f>
        <v>14.1266</v>
      </c>
      <c r="O755" s="59">
        <f>14.1334 * CHOOSE(CONTROL!$C$27, $C$14, 100%, $E$14)</f>
        <v>14.1334</v>
      </c>
    </row>
    <row r="756" spans="1:15" ht="15">
      <c r="A756" s="11">
        <v>64101</v>
      </c>
      <c r="B756" s="58">
        <f>12.385 * CHOOSE(CONTROL!$C$27, $C$14, 100%, $E$14)</f>
        <v>12.385</v>
      </c>
      <c r="C756" s="58">
        <f>12.385 * CHOOSE(CONTROL!$C$27, $C$14, 100%, $E$14)</f>
        <v>12.385</v>
      </c>
      <c r="D756" s="58">
        <f>12.3906 * CHOOSE(CONTROL!$C$27, $C$14, 100%, $E$14)</f>
        <v>12.390599999999999</v>
      </c>
      <c r="E756" s="59">
        <f>14.3527 * CHOOSE(CONTROL!$C$27, $C$14, 100%, $E$14)</f>
        <v>14.3527</v>
      </c>
      <c r="F756" s="59">
        <f>14.3527 * CHOOSE(CONTROL!$C$27, $C$14, 100%, $E$14)</f>
        <v>14.3527</v>
      </c>
      <c r="G756" s="59">
        <f>14.3596 * CHOOSE(CONTROL!$C$27, $C$14, 100%, $E$14)</f>
        <v>14.3596</v>
      </c>
      <c r="H756" s="59">
        <f>26.162* CHOOSE(CONTROL!$C$27, $C$14, 100%, $E$14)</f>
        <v>26.161999999999999</v>
      </c>
      <c r="I756" s="59">
        <f>26.1689 * CHOOSE(CONTROL!$C$27, $C$14, 100%, $E$14)</f>
        <v>26.168900000000001</v>
      </c>
      <c r="J756" s="59">
        <f>26.162 * CHOOSE(CONTROL!$C$27, $C$14, 100%, $E$14)</f>
        <v>26.161999999999999</v>
      </c>
      <c r="K756" s="59">
        <f>26.1689 * CHOOSE(CONTROL!$C$27, $C$14, 100%, $E$14)</f>
        <v>26.168900000000001</v>
      </c>
      <c r="L756" s="59">
        <f>14.3527 * CHOOSE(CONTROL!$C$27, $C$14, 100%, $E$14)</f>
        <v>14.3527</v>
      </c>
      <c r="M756" s="59">
        <f>14.3596 * CHOOSE(CONTROL!$C$27, $C$14, 100%, $E$14)</f>
        <v>14.3596</v>
      </c>
      <c r="N756" s="59">
        <f>14.3527 * CHOOSE(CONTROL!$C$27, $C$14, 100%, $E$14)</f>
        <v>14.3527</v>
      </c>
      <c r="O756" s="59">
        <f>14.3596 * CHOOSE(CONTROL!$C$27, $C$14, 100%, $E$14)</f>
        <v>14.3596</v>
      </c>
    </row>
    <row r="757" spans="1:15" ht="15">
      <c r="A757" s="11">
        <v>64132</v>
      </c>
      <c r="B757" s="58">
        <f>12.3917 * CHOOSE(CONTROL!$C$27, $C$14, 100%, $E$14)</f>
        <v>12.3917</v>
      </c>
      <c r="C757" s="58">
        <f>12.3917 * CHOOSE(CONTROL!$C$27, $C$14, 100%, $E$14)</f>
        <v>12.3917</v>
      </c>
      <c r="D757" s="58">
        <f>12.3973 * CHOOSE(CONTROL!$C$27, $C$14, 100%, $E$14)</f>
        <v>12.3973</v>
      </c>
      <c r="E757" s="59">
        <f>14.1239 * CHOOSE(CONTROL!$C$27, $C$14, 100%, $E$14)</f>
        <v>14.123900000000001</v>
      </c>
      <c r="F757" s="59">
        <f>14.1239 * CHOOSE(CONTROL!$C$27, $C$14, 100%, $E$14)</f>
        <v>14.123900000000001</v>
      </c>
      <c r="G757" s="59">
        <f>14.1308 * CHOOSE(CONTROL!$C$27, $C$14, 100%, $E$14)</f>
        <v>14.130800000000001</v>
      </c>
      <c r="H757" s="59">
        <f>26.2165* CHOOSE(CONTROL!$C$27, $C$14, 100%, $E$14)</f>
        <v>26.2165</v>
      </c>
      <c r="I757" s="59">
        <f>26.2234 * CHOOSE(CONTROL!$C$27, $C$14, 100%, $E$14)</f>
        <v>26.223400000000002</v>
      </c>
      <c r="J757" s="59">
        <f>26.2165 * CHOOSE(CONTROL!$C$27, $C$14, 100%, $E$14)</f>
        <v>26.2165</v>
      </c>
      <c r="K757" s="59">
        <f>26.2234 * CHOOSE(CONTROL!$C$27, $C$14, 100%, $E$14)</f>
        <v>26.223400000000002</v>
      </c>
      <c r="L757" s="59">
        <f>14.1239 * CHOOSE(CONTROL!$C$27, $C$14, 100%, $E$14)</f>
        <v>14.123900000000001</v>
      </c>
      <c r="M757" s="59">
        <f>14.1308 * CHOOSE(CONTROL!$C$27, $C$14, 100%, $E$14)</f>
        <v>14.130800000000001</v>
      </c>
      <c r="N757" s="59">
        <f>14.1239 * CHOOSE(CONTROL!$C$27, $C$14, 100%, $E$14)</f>
        <v>14.123900000000001</v>
      </c>
      <c r="O757" s="59">
        <f>14.1308 * CHOOSE(CONTROL!$C$27, $C$14, 100%, $E$14)</f>
        <v>14.130800000000001</v>
      </c>
    </row>
    <row r="758" spans="1:15" ht="15">
      <c r="A758" s="11">
        <v>64163</v>
      </c>
      <c r="B758" s="58">
        <f>12.3886 * CHOOSE(CONTROL!$C$27, $C$14, 100%, $E$14)</f>
        <v>12.3886</v>
      </c>
      <c r="C758" s="58">
        <f>12.3886 * CHOOSE(CONTROL!$C$27, $C$14, 100%, $E$14)</f>
        <v>12.3886</v>
      </c>
      <c r="D758" s="58">
        <f>12.3943 * CHOOSE(CONTROL!$C$27, $C$14, 100%, $E$14)</f>
        <v>12.394299999999999</v>
      </c>
      <c r="E758" s="59">
        <f>14.0959 * CHOOSE(CONTROL!$C$27, $C$14, 100%, $E$14)</f>
        <v>14.0959</v>
      </c>
      <c r="F758" s="59">
        <f>14.0959 * CHOOSE(CONTROL!$C$27, $C$14, 100%, $E$14)</f>
        <v>14.0959</v>
      </c>
      <c r="G758" s="59">
        <f>14.1028 * CHOOSE(CONTROL!$C$27, $C$14, 100%, $E$14)</f>
        <v>14.1028</v>
      </c>
      <c r="H758" s="59">
        <f>26.2711* CHOOSE(CONTROL!$C$27, $C$14, 100%, $E$14)</f>
        <v>26.271100000000001</v>
      </c>
      <c r="I758" s="59">
        <f>26.278 * CHOOSE(CONTROL!$C$27, $C$14, 100%, $E$14)</f>
        <v>26.277999999999999</v>
      </c>
      <c r="J758" s="59">
        <f>26.2711 * CHOOSE(CONTROL!$C$27, $C$14, 100%, $E$14)</f>
        <v>26.271100000000001</v>
      </c>
      <c r="K758" s="59">
        <f>26.278 * CHOOSE(CONTROL!$C$27, $C$14, 100%, $E$14)</f>
        <v>26.277999999999999</v>
      </c>
      <c r="L758" s="59">
        <f>14.0959 * CHOOSE(CONTROL!$C$27, $C$14, 100%, $E$14)</f>
        <v>14.0959</v>
      </c>
      <c r="M758" s="59">
        <f>14.1028 * CHOOSE(CONTROL!$C$27, $C$14, 100%, $E$14)</f>
        <v>14.1028</v>
      </c>
      <c r="N758" s="59">
        <f>14.0959 * CHOOSE(CONTROL!$C$27, $C$14, 100%, $E$14)</f>
        <v>14.0959</v>
      </c>
      <c r="O758" s="59">
        <f>14.1028 * CHOOSE(CONTROL!$C$27, $C$14, 100%, $E$14)</f>
        <v>14.1028</v>
      </c>
    </row>
    <row r="759" spans="1:15" ht="15">
      <c r="A759" s="11">
        <v>64193</v>
      </c>
      <c r="B759" s="58">
        <f>12.4108 * CHOOSE(CONTROL!$C$27, $C$14, 100%, $E$14)</f>
        <v>12.4108</v>
      </c>
      <c r="C759" s="58">
        <f>12.4108 * CHOOSE(CONTROL!$C$27, $C$14, 100%, $E$14)</f>
        <v>12.4108</v>
      </c>
      <c r="D759" s="58">
        <f>12.4148 * CHOOSE(CONTROL!$C$27, $C$14, 100%, $E$14)</f>
        <v>12.4148</v>
      </c>
      <c r="E759" s="59">
        <f>14.1862 * CHOOSE(CONTROL!$C$27, $C$14, 100%, $E$14)</f>
        <v>14.186199999999999</v>
      </c>
      <c r="F759" s="59">
        <f>14.1862 * CHOOSE(CONTROL!$C$27, $C$14, 100%, $E$14)</f>
        <v>14.186199999999999</v>
      </c>
      <c r="G759" s="59">
        <f>14.1911 * CHOOSE(CONTROL!$C$27, $C$14, 100%, $E$14)</f>
        <v>14.1911</v>
      </c>
      <c r="H759" s="59">
        <f>26.3259* CHOOSE(CONTROL!$C$27, $C$14, 100%, $E$14)</f>
        <v>26.325900000000001</v>
      </c>
      <c r="I759" s="59">
        <f>26.3308 * CHOOSE(CONTROL!$C$27, $C$14, 100%, $E$14)</f>
        <v>26.3308</v>
      </c>
      <c r="J759" s="59">
        <f>26.3259 * CHOOSE(CONTROL!$C$27, $C$14, 100%, $E$14)</f>
        <v>26.325900000000001</v>
      </c>
      <c r="K759" s="59">
        <f>26.3308 * CHOOSE(CONTROL!$C$27, $C$14, 100%, $E$14)</f>
        <v>26.3308</v>
      </c>
      <c r="L759" s="59">
        <f>14.1862 * CHOOSE(CONTROL!$C$27, $C$14, 100%, $E$14)</f>
        <v>14.186199999999999</v>
      </c>
      <c r="M759" s="59">
        <f>14.1911 * CHOOSE(CONTROL!$C$27, $C$14, 100%, $E$14)</f>
        <v>14.1911</v>
      </c>
      <c r="N759" s="59">
        <f>14.1862 * CHOOSE(CONTROL!$C$27, $C$14, 100%, $E$14)</f>
        <v>14.186199999999999</v>
      </c>
      <c r="O759" s="59">
        <f>14.1911 * CHOOSE(CONTROL!$C$27, $C$14, 100%, $E$14)</f>
        <v>14.1911</v>
      </c>
    </row>
    <row r="760" spans="1:15" ht="15">
      <c r="A760" s="11">
        <v>64224</v>
      </c>
      <c r="B760" s="58">
        <f>12.4138 * CHOOSE(CONTROL!$C$27, $C$14, 100%, $E$14)</f>
        <v>12.4138</v>
      </c>
      <c r="C760" s="58">
        <f>12.4138 * CHOOSE(CONTROL!$C$27, $C$14, 100%, $E$14)</f>
        <v>12.4138</v>
      </c>
      <c r="D760" s="58">
        <f>12.4178 * CHOOSE(CONTROL!$C$27, $C$14, 100%, $E$14)</f>
        <v>12.4178</v>
      </c>
      <c r="E760" s="59">
        <f>14.2402 * CHOOSE(CONTROL!$C$27, $C$14, 100%, $E$14)</f>
        <v>14.2402</v>
      </c>
      <c r="F760" s="59">
        <f>14.2402 * CHOOSE(CONTROL!$C$27, $C$14, 100%, $E$14)</f>
        <v>14.2402</v>
      </c>
      <c r="G760" s="59">
        <f>14.2451 * CHOOSE(CONTROL!$C$27, $C$14, 100%, $E$14)</f>
        <v>14.245100000000001</v>
      </c>
      <c r="H760" s="59">
        <f>26.3807* CHOOSE(CONTROL!$C$27, $C$14, 100%, $E$14)</f>
        <v>26.380700000000001</v>
      </c>
      <c r="I760" s="59">
        <f>26.3856 * CHOOSE(CONTROL!$C$27, $C$14, 100%, $E$14)</f>
        <v>26.3856</v>
      </c>
      <c r="J760" s="59">
        <f>26.3807 * CHOOSE(CONTROL!$C$27, $C$14, 100%, $E$14)</f>
        <v>26.380700000000001</v>
      </c>
      <c r="K760" s="59">
        <f>26.3856 * CHOOSE(CONTROL!$C$27, $C$14, 100%, $E$14)</f>
        <v>26.3856</v>
      </c>
      <c r="L760" s="59">
        <f>14.2402 * CHOOSE(CONTROL!$C$27, $C$14, 100%, $E$14)</f>
        <v>14.2402</v>
      </c>
      <c r="M760" s="59">
        <f>14.2451 * CHOOSE(CONTROL!$C$27, $C$14, 100%, $E$14)</f>
        <v>14.245100000000001</v>
      </c>
      <c r="N760" s="59">
        <f>14.2402 * CHOOSE(CONTROL!$C$27, $C$14, 100%, $E$14)</f>
        <v>14.2402</v>
      </c>
      <c r="O760" s="59">
        <f>14.2451 * CHOOSE(CONTROL!$C$27, $C$14, 100%, $E$14)</f>
        <v>14.245100000000001</v>
      </c>
    </row>
    <row r="761" spans="1:15" ht="15">
      <c r="A761" s="11">
        <v>64254</v>
      </c>
      <c r="B761" s="58">
        <f>12.4138 * CHOOSE(CONTROL!$C$27, $C$14, 100%, $E$14)</f>
        <v>12.4138</v>
      </c>
      <c r="C761" s="58">
        <f>12.4138 * CHOOSE(CONTROL!$C$27, $C$14, 100%, $E$14)</f>
        <v>12.4138</v>
      </c>
      <c r="D761" s="58">
        <f>12.4178 * CHOOSE(CONTROL!$C$27, $C$14, 100%, $E$14)</f>
        <v>12.4178</v>
      </c>
      <c r="E761" s="59">
        <f>14.1105 * CHOOSE(CONTROL!$C$27, $C$14, 100%, $E$14)</f>
        <v>14.1105</v>
      </c>
      <c r="F761" s="59">
        <f>14.1105 * CHOOSE(CONTROL!$C$27, $C$14, 100%, $E$14)</f>
        <v>14.1105</v>
      </c>
      <c r="G761" s="59">
        <f>14.1154 * CHOOSE(CONTROL!$C$27, $C$14, 100%, $E$14)</f>
        <v>14.115399999999999</v>
      </c>
      <c r="H761" s="59">
        <f>26.4357* CHOOSE(CONTROL!$C$27, $C$14, 100%, $E$14)</f>
        <v>26.435700000000001</v>
      </c>
      <c r="I761" s="59">
        <f>26.4406 * CHOOSE(CONTROL!$C$27, $C$14, 100%, $E$14)</f>
        <v>26.4406</v>
      </c>
      <c r="J761" s="59">
        <f>26.4357 * CHOOSE(CONTROL!$C$27, $C$14, 100%, $E$14)</f>
        <v>26.435700000000001</v>
      </c>
      <c r="K761" s="59">
        <f>26.4406 * CHOOSE(CONTROL!$C$27, $C$14, 100%, $E$14)</f>
        <v>26.4406</v>
      </c>
      <c r="L761" s="59">
        <f>14.1105 * CHOOSE(CONTROL!$C$27, $C$14, 100%, $E$14)</f>
        <v>14.1105</v>
      </c>
      <c r="M761" s="59">
        <f>14.1154 * CHOOSE(CONTROL!$C$27, $C$14, 100%, $E$14)</f>
        <v>14.115399999999999</v>
      </c>
      <c r="N761" s="59">
        <f>14.1105 * CHOOSE(CONTROL!$C$27, $C$14, 100%, $E$14)</f>
        <v>14.1105</v>
      </c>
      <c r="O761" s="59">
        <f>14.1154 * CHOOSE(CONTROL!$C$27, $C$14, 100%, $E$14)</f>
        <v>14.115399999999999</v>
      </c>
    </row>
    <row r="762" spans="1:15" ht="15">
      <c r="A762" s="11">
        <v>64285</v>
      </c>
      <c r="B762" s="58">
        <f>12.4297 * CHOOSE(CONTROL!$C$27, $C$14, 100%, $E$14)</f>
        <v>12.4297</v>
      </c>
      <c r="C762" s="58">
        <f>12.4297 * CHOOSE(CONTROL!$C$27, $C$14, 100%, $E$14)</f>
        <v>12.4297</v>
      </c>
      <c r="D762" s="58">
        <f>12.4337 * CHOOSE(CONTROL!$C$27, $C$14, 100%, $E$14)</f>
        <v>12.4337</v>
      </c>
      <c r="E762" s="59">
        <f>14.2299 * CHOOSE(CONTROL!$C$27, $C$14, 100%, $E$14)</f>
        <v>14.229900000000001</v>
      </c>
      <c r="F762" s="59">
        <f>14.2299 * CHOOSE(CONTROL!$C$27, $C$14, 100%, $E$14)</f>
        <v>14.229900000000001</v>
      </c>
      <c r="G762" s="59">
        <f>14.2348 * CHOOSE(CONTROL!$C$27, $C$14, 100%, $E$14)</f>
        <v>14.2348</v>
      </c>
      <c r="H762" s="59">
        <f>26.3199* CHOOSE(CONTROL!$C$27, $C$14, 100%, $E$14)</f>
        <v>26.319900000000001</v>
      </c>
      <c r="I762" s="59">
        <f>26.3248 * CHOOSE(CONTROL!$C$27, $C$14, 100%, $E$14)</f>
        <v>26.3248</v>
      </c>
      <c r="J762" s="59">
        <f>26.3199 * CHOOSE(CONTROL!$C$27, $C$14, 100%, $E$14)</f>
        <v>26.319900000000001</v>
      </c>
      <c r="K762" s="59">
        <f>26.3248 * CHOOSE(CONTROL!$C$27, $C$14, 100%, $E$14)</f>
        <v>26.3248</v>
      </c>
      <c r="L762" s="59">
        <f>14.2299 * CHOOSE(CONTROL!$C$27, $C$14, 100%, $E$14)</f>
        <v>14.229900000000001</v>
      </c>
      <c r="M762" s="59">
        <f>14.2348 * CHOOSE(CONTROL!$C$27, $C$14, 100%, $E$14)</f>
        <v>14.2348</v>
      </c>
      <c r="N762" s="59">
        <f>14.2299 * CHOOSE(CONTROL!$C$27, $C$14, 100%, $E$14)</f>
        <v>14.229900000000001</v>
      </c>
      <c r="O762" s="59">
        <f>14.2348 * CHOOSE(CONTROL!$C$27, $C$14, 100%, $E$14)</f>
        <v>14.2348</v>
      </c>
    </row>
    <row r="763" spans="1:15" ht="15">
      <c r="A763" s="11">
        <v>64316</v>
      </c>
      <c r="B763" s="58">
        <f>12.4267 * CHOOSE(CONTROL!$C$27, $C$14, 100%, $E$14)</f>
        <v>12.4267</v>
      </c>
      <c r="C763" s="58">
        <f>12.4267 * CHOOSE(CONTROL!$C$27, $C$14, 100%, $E$14)</f>
        <v>12.4267</v>
      </c>
      <c r="D763" s="58">
        <f>12.4307 * CHOOSE(CONTROL!$C$27, $C$14, 100%, $E$14)</f>
        <v>12.4307</v>
      </c>
      <c r="E763" s="59">
        <f>13.9777 * CHOOSE(CONTROL!$C$27, $C$14, 100%, $E$14)</f>
        <v>13.9777</v>
      </c>
      <c r="F763" s="59">
        <f>13.9777 * CHOOSE(CONTROL!$C$27, $C$14, 100%, $E$14)</f>
        <v>13.9777</v>
      </c>
      <c r="G763" s="59">
        <f>13.9827 * CHOOSE(CONTROL!$C$27, $C$14, 100%, $E$14)</f>
        <v>13.982699999999999</v>
      </c>
      <c r="H763" s="59">
        <f>26.3747* CHOOSE(CONTROL!$C$27, $C$14, 100%, $E$14)</f>
        <v>26.374700000000001</v>
      </c>
      <c r="I763" s="59">
        <f>26.3797 * CHOOSE(CONTROL!$C$27, $C$14, 100%, $E$14)</f>
        <v>26.3797</v>
      </c>
      <c r="J763" s="59">
        <f>26.3747 * CHOOSE(CONTROL!$C$27, $C$14, 100%, $E$14)</f>
        <v>26.374700000000001</v>
      </c>
      <c r="K763" s="59">
        <f>26.3797 * CHOOSE(CONTROL!$C$27, $C$14, 100%, $E$14)</f>
        <v>26.3797</v>
      </c>
      <c r="L763" s="59">
        <f>13.9777 * CHOOSE(CONTROL!$C$27, $C$14, 100%, $E$14)</f>
        <v>13.9777</v>
      </c>
      <c r="M763" s="59">
        <f>13.9827 * CHOOSE(CONTROL!$C$27, $C$14, 100%, $E$14)</f>
        <v>13.982699999999999</v>
      </c>
      <c r="N763" s="59">
        <f>13.9777 * CHOOSE(CONTROL!$C$27, $C$14, 100%, $E$14)</f>
        <v>13.9777</v>
      </c>
      <c r="O763" s="59">
        <f>13.9827 * CHOOSE(CONTROL!$C$27, $C$14, 100%, $E$14)</f>
        <v>13.982699999999999</v>
      </c>
    </row>
    <row r="764" spans="1:15" ht="15">
      <c r="A764" s="11">
        <v>64345</v>
      </c>
      <c r="B764" s="58">
        <f>12.4237 * CHOOSE(CONTROL!$C$27, $C$14, 100%, $E$14)</f>
        <v>12.4237</v>
      </c>
      <c r="C764" s="58">
        <f>12.4237 * CHOOSE(CONTROL!$C$27, $C$14, 100%, $E$14)</f>
        <v>12.4237</v>
      </c>
      <c r="D764" s="58">
        <f>12.4277 * CHOOSE(CONTROL!$C$27, $C$14, 100%, $E$14)</f>
        <v>12.4277</v>
      </c>
      <c r="E764" s="59">
        <f>14.1727 * CHOOSE(CONTROL!$C$27, $C$14, 100%, $E$14)</f>
        <v>14.172700000000001</v>
      </c>
      <c r="F764" s="59">
        <f>14.1727 * CHOOSE(CONTROL!$C$27, $C$14, 100%, $E$14)</f>
        <v>14.172700000000001</v>
      </c>
      <c r="G764" s="59">
        <f>14.1777 * CHOOSE(CONTROL!$C$27, $C$14, 100%, $E$14)</f>
        <v>14.1777</v>
      </c>
      <c r="H764" s="59">
        <f>26.4297* CHOOSE(CONTROL!$C$27, $C$14, 100%, $E$14)</f>
        <v>26.4297</v>
      </c>
      <c r="I764" s="59">
        <f>26.4346 * CHOOSE(CONTROL!$C$27, $C$14, 100%, $E$14)</f>
        <v>26.4346</v>
      </c>
      <c r="J764" s="59">
        <f>26.4297 * CHOOSE(CONTROL!$C$27, $C$14, 100%, $E$14)</f>
        <v>26.4297</v>
      </c>
      <c r="K764" s="59">
        <f>26.4346 * CHOOSE(CONTROL!$C$27, $C$14, 100%, $E$14)</f>
        <v>26.4346</v>
      </c>
      <c r="L764" s="59">
        <f>14.1727 * CHOOSE(CONTROL!$C$27, $C$14, 100%, $E$14)</f>
        <v>14.172700000000001</v>
      </c>
      <c r="M764" s="59">
        <f>14.1777 * CHOOSE(CONTROL!$C$27, $C$14, 100%, $E$14)</f>
        <v>14.1777</v>
      </c>
      <c r="N764" s="59">
        <f>14.1727 * CHOOSE(CONTROL!$C$27, $C$14, 100%, $E$14)</f>
        <v>14.172700000000001</v>
      </c>
      <c r="O764" s="59">
        <f>14.1777 * CHOOSE(CONTROL!$C$27, $C$14, 100%, $E$14)</f>
        <v>14.1777</v>
      </c>
    </row>
    <row r="765" spans="1:15" ht="15">
      <c r="A765" s="11">
        <v>64376</v>
      </c>
      <c r="B765" s="58">
        <f>12.4284 * CHOOSE(CONTROL!$C$27, $C$14, 100%, $E$14)</f>
        <v>12.4284</v>
      </c>
      <c r="C765" s="58">
        <f>12.4284 * CHOOSE(CONTROL!$C$27, $C$14, 100%, $E$14)</f>
        <v>12.4284</v>
      </c>
      <c r="D765" s="58">
        <f>12.4324 * CHOOSE(CONTROL!$C$27, $C$14, 100%, $E$14)</f>
        <v>12.432399999999999</v>
      </c>
      <c r="E765" s="59">
        <f>14.3802 * CHOOSE(CONTROL!$C$27, $C$14, 100%, $E$14)</f>
        <v>14.3802</v>
      </c>
      <c r="F765" s="59">
        <f>14.3802 * CHOOSE(CONTROL!$C$27, $C$14, 100%, $E$14)</f>
        <v>14.3802</v>
      </c>
      <c r="G765" s="59">
        <f>14.3851 * CHOOSE(CONTROL!$C$27, $C$14, 100%, $E$14)</f>
        <v>14.3851</v>
      </c>
      <c r="H765" s="59">
        <f>26.4848* CHOOSE(CONTROL!$C$27, $C$14, 100%, $E$14)</f>
        <v>26.4848</v>
      </c>
      <c r="I765" s="59">
        <f>26.4897 * CHOOSE(CONTROL!$C$27, $C$14, 100%, $E$14)</f>
        <v>26.489699999999999</v>
      </c>
      <c r="J765" s="59">
        <f>26.4848 * CHOOSE(CONTROL!$C$27, $C$14, 100%, $E$14)</f>
        <v>26.4848</v>
      </c>
      <c r="K765" s="59">
        <f>26.4897 * CHOOSE(CONTROL!$C$27, $C$14, 100%, $E$14)</f>
        <v>26.489699999999999</v>
      </c>
      <c r="L765" s="59">
        <f>14.3802 * CHOOSE(CONTROL!$C$27, $C$14, 100%, $E$14)</f>
        <v>14.3802</v>
      </c>
      <c r="M765" s="59">
        <f>14.3851 * CHOOSE(CONTROL!$C$27, $C$14, 100%, $E$14)</f>
        <v>14.3851</v>
      </c>
      <c r="N765" s="59">
        <f>14.3802 * CHOOSE(CONTROL!$C$27, $C$14, 100%, $E$14)</f>
        <v>14.3802</v>
      </c>
      <c r="O765" s="59">
        <f>14.3851 * CHOOSE(CONTROL!$C$27, $C$14, 100%, $E$14)</f>
        <v>14.3851</v>
      </c>
    </row>
    <row r="766" spans="1:15" ht="15">
      <c r="A766" s="11">
        <v>64406</v>
      </c>
      <c r="B766" s="58">
        <f>12.4284 * CHOOSE(CONTROL!$C$27, $C$14, 100%, $E$14)</f>
        <v>12.4284</v>
      </c>
      <c r="C766" s="58">
        <f>12.4284 * CHOOSE(CONTROL!$C$27, $C$14, 100%, $E$14)</f>
        <v>12.4284</v>
      </c>
      <c r="D766" s="58">
        <f>12.434 * CHOOSE(CONTROL!$C$27, $C$14, 100%, $E$14)</f>
        <v>12.433999999999999</v>
      </c>
      <c r="E766" s="59">
        <f>14.4596 * CHOOSE(CONTROL!$C$27, $C$14, 100%, $E$14)</f>
        <v>14.4596</v>
      </c>
      <c r="F766" s="59">
        <f>14.4596 * CHOOSE(CONTROL!$C$27, $C$14, 100%, $E$14)</f>
        <v>14.4596</v>
      </c>
      <c r="G766" s="59">
        <f>14.4665 * CHOOSE(CONTROL!$C$27, $C$14, 100%, $E$14)</f>
        <v>14.4665</v>
      </c>
      <c r="H766" s="59">
        <f>26.5399* CHOOSE(CONTROL!$C$27, $C$14, 100%, $E$14)</f>
        <v>26.539899999999999</v>
      </c>
      <c r="I766" s="59">
        <f>26.5468 * CHOOSE(CONTROL!$C$27, $C$14, 100%, $E$14)</f>
        <v>26.546800000000001</v>
      </c>
      <c r="J766" s="59">
        <f>26.5399 * CHOOSE(CONTROL!$C$27, $C$14, 100%, $E$14)</f>
        <v>26.539899999999999</v>
      </c>
      <c r="K766" s="59">
        <f>26.5468 * CHOOSE(CONTROL!$C$27, $C$14, 100%, $E$14)</f>
        <v>26.546800000000001</v>
      </c>
      <c r="L766" s="59">
        <f>14.4596 * CHOOSE(CONTROL!$C$27, $C$14, 100%, $E$14)</f>
        <v>14.4596</v>
      </c>
      <c r="M766" s="59">
        <f>14.4665 * CHOOSE(CONTROL!$C$27, $C$14, 100%, $E$14)</f>
        <v>14.4665</v>
      </c>
      <c r="N766" s="59">
        <f>14.4596 * CHOOSE(CONTROL!$C$27, $C$14, 100%, $E$14)</f>
        <v>14.4596</v>
      </c>
      <c r="O766" s="59">
        <f>14.4665 * CHOOSE(CONTROL!$C$27, $C$14, 100%, $E$14)</f>
        <v>14.4665</v>
      </c>
    </row>
    <row r="767" spans="1:15" ht="15">
      <c r="A767" s="11">
        <v>64437</v>
      </c>
      <c r="B767" s="58">
        <f>12.4345 * CHOOSE(CONTROL!$C$27, $C$14, 100%, $E$14)</f>
        <v>12.4345</v>
      </c>
      <c r="C767" s="58">
        <f>12.4345 * CHOOSE(CONTROL!$C$27, $C$14, 100%, $E$14)</f>
        <v>12.4345</v>
      </c>
      <c r="D767" s="58">
        <f>12.4401 * CHOOSE(CONTROL!$C$27, $C$14, 100%, $E$14)</f>
        <v>12.440099999999999</v>
      </c>
      <c r="E767" s="59">
        <f>14.3844 * CHOOSE(CONTROL!$C$27, $C$14, 100%, $E$14)</f>
        <v>14.384399999999999</v>
      </c>
      <c r="F767" s="59">
        <f>14.3844 * CHOOSE(CONTROL!$C$27, $C$14, 100%, $E$14)</f>
        <v>14.384399999999999</v>
      </c>
      <c r="G767" s="59">
        <f>14.3913 * CHOOSE(CONTROL!$C$27, $C$14, 100%, $E$14)</f>
        <v>14.391299999999999</v>
      </c>
      <c r="H767" s="59">
        <f>26.5952* CHOOSE(CONTROL!$C$27, $C$14, 100%, $E$14)</f>
        <v>26.595199999999998</v>
      </c>
      <c r="I767" s="59">
        <f>26.6021 * CHOOSE(CONTROL!$C$27, $C$14, 100%, $E$14)</f>
        <v>26.6021</v>
      </c>
      <c r="J767" s="59">
        <f>26.5952 * CHOOSE(CONTROL!$C$27, $C$14, 100%, $E$14)</f>
        <v>26.595199999999998</v>
      </c>
      <c r="K767" s="59">
        <f>26.6021 * CHOOSE(CONTROL!$C$27, $C$14, 100%, $E$14)</f>
        <v>26.6021</v>
      </c>
      <c r="L767" s="59">
        <f>14.3844 * CHOOSE(CONTROL!$C$27, $C$14, 100%, $E$14)</f>
        <v>14.384399999999999</v>
      </c>
      <c r="M767" s="59">
        <f>14.3913 * CHOOSE(CONTROL!$C$27, $C$14, 100%, $E$14)</f>
        <v>14.391299999999999</v>
      </c>
      <c r="N767" s="59">
        <f>14.3844 * CHOOSE(CONTROL!$C$27, $C$14, 100%, $E$14)</f>
        <v>14.384399999999999</v>
      </c>
      <c r="O767" s="59">
        <f>14.3913 * CHOOSE(CONTROL!$C$27, $C$14, 100%, $E$14)</f>
        <v>14.391299999999999</v>
      </c>
    </row>
    <row r="768" spans="1:15" ht="15">
      <c r="A768" s="11">
        <v>64467</v>
      </c>
      <c r="B768" s="58">
        <f>12.6242 * CHOOSE(CONTROL!$C$27, $C$14, 100%, $E$14)</f>
        <v>12.6242</v>
      </c>
      <c r="C768" s="58">
        <f>12.6242 * CHOOSE(CONTROL!$C$27, $C$14, 100%, $E$14)</f>
        <v>12.6242</v>
      </c>
      <c r="D768" s="58">
        <f>12.6298 * CHOOSE(CONTROL!$C$27, $C$14, 100%, $E$14)</f>
        <v>12.629799999999999</v>
      </c>
      <c r="E768" s="59">
        <f>14.6145 * CHOOSE(CONTROL!$C$27, $C$14, 100%, $E$14)</f>
        <v>14.6145</v>
      </c>
      <c r="F768" s="59">
        <f>14.6145 * CHOOSE(CONTROL!$C$27, $C$14, 100%, $E$14)</f>
        <v>14.6145</v>
      </c>
      <c r="G768" s="59">
        <f>14.6214 * CHOOSE(CONTROL!$C$27, $C$14, 100%, $E$14)</f>
        <v>14.6214</v>
      </c>
      <c r="H768" s="59">
        <f>26.6506* CHOOSE(CONTROL!$C$27, $C$14, 100%, $E$14)</f>
        <v>26.650600000000001</v>
      </c>
      <c r="I768" s="59">
        <f>26.6575 * CHOOSE(CONTROL!$C$27, $C$14, 100%, $E$14)</f>
        <v>26.657499999999999</v>
      </c>
      <c r="J768" s="59">
        <f>26.6506 * CHOOSE(CONTROL!$C$27, $C$14, 100%, $E$14)</f>
        <v>26.650600000000001</v>
      </c>
      <c r="K768" s="59">
        <f>26.6575 * CHOOSE(CONTROL!$C$27, $C$14, 100%, $E$14)</f>
        <v>26.657499999999999</v>
      </c>
      <c r="L768" s="59">
        <f>14.6145 * CHOOSE(CONTROL!$C$27, $C$14, 100%, $E$14)</f>
        <v>14.6145</v>
      </c>
      <c r="M768" s="59">
        <f>14.6214 * CHOOSE(CONTROL!$C$27, $C$14, 100%, $E$14)</f>
        <v>14.6214</v>
      </c>
      <c r="N768" s="59">
        <f>14.6145 * CHOOSE(CONTROL!$C$27, $C$14, 100%, $E$14)</f>
        <v>14.6145</v>
      </c>
      <c r="O768" s="59">
        <f>14.6214 * CHOOSE(CONTROL!$C$27, $C$14, 100%, $E$14)</f>
        <v>14.6214</v>
      </c>
    </row>
    <row r="769" spans="1:15" ht="15">
      <c r="A769" s="11">
        <v>64498</v>
      </c>
      <c r="B769" s="58">
        <f>12.6309 * CHOOSE(CONTROL!$C$27, $C$14, 100%, $E$14)</f>
        <v>12.6309</v>
      </c>
      <c r="C769" s="58">
        <f>12.6309 * CHOOSE(CONTROL!$C$27, $C$14, 100%, $E$14)</f>
        <v>12.6309</v>
      </c>
      <c r="D769" s="58">
        <f>12.6365 * CHOOSE(CONTROL!$C$27, $C$14, 100%, $E$14)</f>
        <v>12.6365</v>
      </c>
      <c r="E769" s="59">
        <f>14.381 * CHOOSE(CONTROL!$C$27, $C$14, 100%, $E$14)</f>
        <v>14.381</v>
      </c>
      <c r="F769" s="59">
        <f>14.381 * CHOOSE(CONTROL!$C$27, $C$14, 100%, $E$14)</f>
        <v>14.381</v>
      </c>
      <c r="G769" s="59">
        <f>14.3879 * CHOOSE(CONTROL!$C$27, $C$14, 100%, $E$14)</f>
        <v>14.3879</v>
      </c>
      <c r="H769" s="59">
        <f>26.7061* CHOOSE(CONTROL!$C$27, $C$14, 100%, $E$14)</f>
        <v>26.706099999999999</v>
      </c>
      <c r="I769" s="59">
        <f>26.713 * CHOOSE(CONTROL!$C$27, $C$14, 100%, $E$14)</f>
        <v>26.713000000000001</v>
      </c>
      <c r="J769" s="59">
        <f>26.7061 * CHOOSE(CONTROL!$C$27, $C$14, 100%, $E$14)</f>
        <v>26.706099999999999</v>
      </c>
      <c r="K769" s="59">
        <f>26.713 * CHOOSE(CONTROL!$C$27, $C$14, 100%, $E$14)</f>
        <v>26.713000000000001</v>
      </c>
      <c r="L769" s="59">
        <f>14.381 * CHOOSE(CONTROL!$C$27, $C$14, 100%, $E$14)</f>
        <v>14.381</v>
      </c>
      <c r="M769" s="59">
        <f>14.3879 * CHOOSE(CONTROL!$C$27, $C$14, 100%, $E$14)</f>
        <v>14.3879</v>
      </c>
      <c r="N769" s="59">
        <f>14.381 * CHOOSE(CONTROL!$C$27, $C$14, 100%, $E$14)</f>
        <v>14.381</v>
      </c>
      <c r="O769" s="59">
        <f>14.3879 * CHOOSE(CONTROL!$C$27, $C$14, 100%, $E$14)</f>
        <v>14.3879</v>
      </c>
    </row>
    <row r="770" spans="1:15" ht="15">
      <c r="A770" s="11">
        <v>64529</v>
      </c>
      <c r="B770" s="58">
        <f>12.6278 * CHOOSE(CONTROL!$C$27, $C$14, 100%, $E$14)</f>
        <v>12.627800000000001</v>
      </c>
      <c r="C770" s="58">
        <f>12.6278 * CHOOSE(CONTROL!$C$27, $C$14, 100%, $E$14)</f>
        <v>12.627800000000001</v>
      </c>
      <c r="D770" s="58">
        <f>12.6334 * CHOOSE(CONTROL!$C$27, $C$14, 100%, $E$14)</f>
        <v>12.6334</v>
      </c>
      <c r="E770" s="59">
        <f>14.3524 * CHOOSE(CONTROL!$C$27, $C$14, 100%, $E$14)</f>
        <v>14.352399999999999</v>
      </c>
      <c r="F770" s="59">
        <f>14.3524 * CHOOSE(CONTROL!$C$27, $C$14, 100%, $E$14)</f>
        <v>14.352399999999999</v>
      </c>
      <c r="G770" s="59">
        <f>14.3593 * CHOOSE(CONTROL!$C$27, $C$14, 100%, $E$14)</f>
        <v>14.359299999999999</v>
      </c>
      <c r="H770" s="59">
        <f>26.7618* CHOOSE(CONTROL!$C$27, $C$14, 100%, $E$14)</f>
        <v>26.761800000000001</v>
      </c>
      <c r="I770" s="59">
        <f>26.7687 * CHOOSE(CONTROL!$C$27, $C$14, 100%, $E$14)</f>
        <v>26.768699999999999</v>
      </c>
      <c r="J770" s="59">
        <f>26.7618 * CHOOSE(CONTROL!$C$27, $C$14, 100%, $E$14)</f>
        <v>26.761800000000001</v>
      </c>
      <c r="K770" s="59">
        <f>26.7687 * CHOOSE(CONTROL!$C$27, $C$14, 100%, $E$14)</f>
        <v>26.768699999999999</v>
      </c>
      <c r="L770" s="59">
        <f>14.3524 * CHOOSE(CONTROL!$C$27, $C$14, 100%, $E$14)</f>
        <v>14.352399999999999</v>
      </c>
      <c r="M770" s="59">
        <f>14.3593 * CHOOSE(CONTROL!$C$27, $C$14, 100%, $E$14)</f>
        <v>14.359299999999999</v>
      </c>
      <c r="N770" s="59">
        <f>14.3524 * CHOOSE(CONTROL!$C$27, $C$14, 100%, $E$14)</f>
        <v>14.352399999999999</v>
      </c>
      <c r="O770" s="59">
        <f>14.3593 * CHOOSE(CONTROL!$C$27, $C$14, 100%, $E$14)</f>
        <v>14.359299999999999</v>
      </c>
    </row>
    <row r="771" spans="1:15" ht="15">
      <c r="A771" s="11">
        <v>64559</v>
      </c>
      <c r="B771" s="58">
        <f>12.6507 * CHOOSE(CONTROL!$C$27, $C$14, 100%, $E$14)</f>
        <v>12.650700000000001</v>
      </c>
      <c r="C771" s="58">
        <f>12.6507 * CHOOSE(CONTROL!$C$27, $C$14, 100%, $E$14)</f>
        <v>12.650700000000001</v>
      </c>
      <c r="D771" s="58">
        <f>12.6547 * CHOOSE(CONTROL!$C$27, $C$14, 100%, $E$14)</f>
        <v>12.6547</v>
      </c>
      <c r="E771" s="59">
        <f>14.4448 * CHOOSE(CONTROL!$C$27, $C$14, 100%, $E$14)</f>
        <v>14.444800000000001</v>
      </c>
      <c r="F771" s="59">
        <f>14.4448 * CHOOSE(CONTROL!$C$27, $C$14, 100%, $E$14)</f>
        <v>14.444800000000001</v>
      </c>
      <c r="G771" s="59">
        <f>14.4498 * CHOOSE(CONTROL!$C$27, $C$14, 100%, $E$14)</f>
        <v>14.4498</v>
      </c>
      <c r="H771" s="59">
        <f>26.8175* CHOOSE(CONTROL!$C$27, $C$14, 100%, $E$14)</f>
        <v>26.817499999999999</v>
      </c>
      <c r="I771" s="59">
        <f>26.8225 * CHOOSE(CONTROL!$C$27, $C$14, 100%, $E$14)</f>
        <v>26.822500000000002</v>
      </c>
      <c r="J771" s="59">
        <f>26.8175 * CHOOSE(CONTROL!$C$27, $C$14, 100%, $E$14)</f>
        <v>26.817499999999999</v>
      </c>
      <c r="K771" s="59">
        <f>26.8225 * CHOOSE(CONTROL!$C$27, $C$14, 100%, $E$14)</f>
        <v>26.822500000000002</v>
      </c>
      <c r="L771" s="59">
        <f>14.4448 * CHOOSE(CONTROL!$C$27, $C$14, 100%, $E$14)</f>
        <v>14.444800000000001</v>
      </c>
      <c r="M771" s="59">
        <f>14.4498 * CHOOSE(CONTROL!$C$27, $C$14, 100%, $E$14)</f>
        <v>14.4498</v>
      </c>
      <c r="N771" s="59">
        <f>14.4448 * CHOOSE(CONTROL!$C$27, $C$14, 100%, $E$14)</f>
        <v>14.444800000000001</v>
      </c>
      <c r="O771" s="59">
        <f>14.4498 * CHOOSE(CONTROL!$C$27, $C$14, 100%, $E$14)</f>
        <v>14.4498</v>
      </c>
    </row>
    <row r="772" spans="1:15" ht="15">
      <c r="A772" s="11">
        <v>64590</v>
      </c>
      <c r="B772" s="58">
        <f>12.6538 * CHOOSE(CONTROL!$C$27, $C$14, 100%, $E$14)</f>
        <v>12.6538</v>
      </c>
      <c r="C772" s="58">
        <f>12.6538 * CHOOSE(CONTROL!$C$27, $C$14, 100%, $E$14)</f>
        <v>12.6538</v>
      </c>
      <c r="D772" s="58">
        <f>12.6578 * CHOOSE(CONTROL!$C$27, $C$14, 100%, $E$14)</f>
        <v>12.6578</v>
      </c>
      <c r="E772" s="59">
        <f>14.4999 * CHOOSE(CONTROL!$C$27, $C$14, 100%, $E$14)</f>
        <v>14.4999</v>
      </c>
      <c r="F772" s="59">
        <f>14.4999 * CHOOSE(CONTROL!$C$27, $C$14, 100%, $E$14)</f>
        <v>14.4999</v>
      </c>
      <c r="G772" s="59">
        <f>14.5048 * CHOOSE(CONTROL!$C$27, $C$14, 100%, $E$14)</f>
        <v>14.504799999999999</v>
      </c>
      <c r="H772" s="59">
        <f>26.8734* CHOOSE(CONTROL!$C$27, $C$14, 100%, $E$14)</f>
        <v>26.8734</v>
      </c>
      <c r="I772" s="59">
        <f>26.8783 * CHOOSE(CONTROL!$C$27, $C$14, 100%, $E$14)</f>
        <v>26.878299999999999</v>
      </c>
      <c r="J772" s="59">
        <f>26.8734 * CHOOSE(CONTROL!$C$27, $C$14, 100%, $E$14)</f>
        <v>26.8734</v>
      </c>
      <c r="K772" s="59">
        <f>26.8783 * CHOOSE(CONTROL!$C$27, $C$14, 100%, $E$14)</f>
        <v>26.878299999999999</v>
      </c>
      <c r="L772" s="59">
        <f>14.4999 * CHOOSE(CONTROL!$C$27, $C$14, 100%, $E$14)</f>
        <v>14.4999</v>
      </c>
      <c r="M772" s="59">
        <f>14.5048 * CHOOSE(CONTROL!$C$27, $C$14, 100%, $E$14)</f>
        <v>14.504799999999999</v>
      </c>
      <c r="N772" s="59">
        <f>14.4999 * CHOOSE(CONTROL!$C$27, $C$14, 100%, $E$14)</f>
        <v>14.4999</v>
      </c>
      <c r="O772" s="59">
        <f>14.5048 * CHOOSE(CONTROL!$C$27, $C$14, 100%, $E$14)</f>
        <v>14.504799999999999</v>
      </c>
    </row>
    <row r="773" spans="1:15" ht="15">
      <c r="A773" s="11">
        <v>64620</v>
      </c>
      <c r="B773" s="58">
        <f>12.6538 * CHOOSE(CONTROL!$C$27, $C$14, 100%, $E$14)</f>
        <v>12.6538</v>
      </c>
      <c r="C773" s="58">
        <f>12.6538 * CHOOSE(CONTROL!$C$27, $C$14, 100%, $E$14)</f>
        <v>12.6538</v>
      </c>
      <c r="D773" s="58">
        <f>12.6578 * CHOOSE(CONTROL!$C$27, $C$14, 100%, $E$14)</f>
        <v>12.6578</v>
      </c>
      <c r="E773" s="59">
        <f>14.3676 * CHOOSE(CONTROL!$C$27, $C$14, 100%, $E$14)</f>
        <v>14.367599999999999</v>
      </c>
      <c r="F773" s="59">
        <f>14.3676 * CHOOSE(CONTROL!$C$27, $C$14, 100%, $E$14)</f>
        <v>14.367599999999999</v>
      </c>
      <c r="G773" s="59">
        <f>14.3725 * CHOOSE(CONTROL!$C$27, $C$14, 100%, $E$14)</f>
        <v>14.3725</v>
      </c>
      <c r="H773" s="59">
        <f>26.9294* CHOOSE(CONTROL!$C$27, $C$14, 100%, $E$14)</f>
        <v>26.929400000000001</v>
      </c>
      <c r="I773" s="59">
        <f>26.9343 * CHOOSE(CONTROL!$C$27, $C$14, 100%, $E$14)</f>
        <v>26.9343</v>
      </c>
      <c r="J773" s="59">
        <f>26.9294 * CHOOSE(CONTROL!$C$27, $C$14, 100%, $E$14)</f>
        <v>26.929400000000001</v>
      </c>
      <c r="K773" s="59">
        <f>26.9343 * CHOOSE(CONTROL!$C$27, $C$14, 100%, $E$14)</f>
        <v>26.9343</v>
      </c>
      <c r="L773" s="59">
        <f>14.3676 * CHOOSE(CONTROL!$C$27, $C$14, 100%, $E$14)</f>
        <v>14.367599999999999</v>
      </c>
      <c r="M773" s="59">
        <f>14.3725 * CHOOSE(CONTROL!$C$27, $C$14, 100%, $E$14)</f>
        <v>14.3725</v>
      </c>
      <c r="N773" s="59">
        <f>14.3676 * CHOOSE(CONTROL!$C$27, $C$14, 100%, $E$14)</f>
        <v>14.367599999999999</v>
      </c>
      <c r="O773" s="59">
        <f>14.3725 * CHOOSE(CONTROL!$C$27, $C$14, 100%, $E$14)</f>
        <v>14.3725</v>
      </c>
    </row>
    <row r="774" spans="1:15" ht="15">
      <c r="A774" s="11">
        <v>64651</v>
      </c>
      <c r="B774" s="58">
        <f>12.6653 * CHOOSE(CONTROL!$C$27, $C$14, 100%, $E$14)</f>
        <v>12.6653</v>
      </c>
      <c r="C774" s="58">
        <f>12.6653 * CHOOSE(CONTROL!$C$27, $C$14, 100%, $E$14)</f>
        <v>12.6653</v>
      </c>
      <c r="D774" s="58">
        <f>12.6693 * CHOOSE(CONTROL!$C$27, $C$14, 100%, $E$14)</f>
        <v>12.6693</v>
      </c>
      <c r="E774" s="59">
        <f>14.4846 * CHOOSE(CONTROL!$C$27, $C$14, 100%, $E$14)</f>
        <v>14.4846</v>
      </c>
      <c r="F774" s="59">
        <f>14.4846 * CHOOSE(CONTROL!$C$27, $C$14, 100%, $E$14)</f>
        <v>14.4846</v>
      </c>
      <c r="G774" s="59">
        <f>14.4895 * CHOOSE(CONTROL!$C$27, $C$14, 100%, $E$14)</f>
        <v>14.4895</v>
      </c>
      <c r="H774" s="59">
        <f>26.8025* CHOOSE(CONTROL!$C$27, $C$14, 100%, $E$14)</f>
        <v>26.802499999999998</v>
      </c>
      <c r="I774" s="59">
        <f>26.8074 * CHOOSE(CONTROL!$C$27, $C$14, 100%, $E$14)</f>
        <v>26.807400000000001</v>
      </c>
      <c r="J774" s="59">
        <f>26.8025 * CHOOSE(CONTROL!$C$27, $C$14, 100%, $E$14)</f>
        <v>26.802499999999998</v>
      </c>
      <c r="K774" s="59">
        <f>26.8074 * CHOOSE(CONTROL!$C$27, $C$14, 100%, $E$14)</f>
        <v>26.807400000000001</v>
      </c>
      <c r="L774" s="59">
        <f>14.4846 * CHOOSE(CONTROL!$C$27, $C$14, 100%, $E$14)</f>
        <v>14.4846</v>
      </c>
      <c r="M774" s="59">
        <f>14.4895 * CHOOSE(CONTROL!$C$27, $C$14, 100%, $E$14)</f>
        <v>14.4895</v>
      </c>
      <c r="N774" s="59">
        <f>14.4846 * CHOOSE(CONTROL!$C$27, $C$14, 100%, $E$14)</f>
        <v>14.4846</v>
      </c>
      <c r="O774" s="59">
        <f>14.4895 * CHOOSE(CONTROL!$C$27, $C$14, 100%, $E$14)</f>
        <v>14.4895</v>
      </c>
    </row>
    <row r="775" spans="1:15" ht="15">
      <c r="A775" s="11">
        <v>64682</v>
      </c>
      <c r="B775" s="58">
        <f>12.6623 * CHOOSE(CONTROL!$C$27, $C$14, 100%, $E$14)</f>
        <v>12.6623</v>
      </c>
      <c r="C775" s="58">
        <f>12.6623 * CHOOSE(CONTROL!$C$27, $C$14, 100%, $E$14)</f>
        <v>12.6623</v>
      </c>
      <c r="D775" s="58">
        <f>12.6663 * CHOOSE(CONTROL!$C$27, $C$14, 100%, $E$14)</f>
        <v>12.6663</v>
      </c>
      <c r="E775" s="59">
        <f>14.2275 * CHOOSE(CONTROL!$C$27, $C$14, 100%, $E$14)</f>
        <v>14.227499999999999</v>
      </c>
      <c r="F775" s="59">
        <f>14.2275 * CHOOSE(CONTROL!$C$27, $C$14, 100%, $E$14)</f>
        <v>14.227499999999999</v>
      </c>
      <c r="G775" s="59">
        <f>14.2324 * CHOOSE(CONTROL!$C$27, $C$14, 100%, $E$14)</f>
        <v>14.2324</v>
      </c>
      <c r="H775" s="59">
        <f>26.8583* CHOOSE(CONTROL!$C$27, $C$14, 100%, $E$14)</f>
        <v>26.8583</v>
      </c>
      <c r="I775" s="59">
        <f>26.8632 * CHOOSE(CONTROL!$C$27, $C$14, 100%, $E$14)</f>
        <v>26.863199999999999</v>
      </c>
      <c r="J775" s="59">
        <f>26.8583 * CHOOSE(CONTROL!$C$27, $C$14, 100%, $E$14)</f>
        <v>26.8583</v>
      </c>
      <c r="K775" s="59">
        <f>26.8632 * CHOOSE(CONTROL!$C$27, $C$14, 100%, $E$14)</f>
        <v>26.863199999999999</v>
      </c>
      <c r="L775" s="59">
        <f>14.2275 * CHOOSE(CONTROL!$C$27, $C$14, 100%, $E$14)</f>
        <v>14.227499999999999</v>
      </c>
      <c r="M775" s="59">
        <f>14.2324 * CHOOSE(CONTROL!$C$27, $C$14, 100%, $E$14)</f>
        <v>14.2324</v>
      </c>
      <c r="N775" s="59">
        <f>14.2275 * CHOOSE(CONTROL!$C$27, $C$14, 100%, $E$14)</f>
        <v>14.227499999999999</v>
      </c>
      <c r="O775" s="59">
        <f>14.2324 * CHOOSE(CONTROL!$C$27, $C$14, 100%, $E$14)</f>
        <v>14.2324</v>
      </c>
    </row>
    <row r="776" spans="1:15" ht="15">
      <c r="A776" s="11">
        <v>64710</v>
      </c>
      <c r="B776" s="58">
        <f>12.6592 * CHOOSE(CONTROL!$C$27, $C$14, 100%, $E$14)</f>
        <v>12.6592</v>
      </c>
      <c r="C776" s="58">
        <f>12.6592 * CHOOSE(CONTROL!$C$27, $C$14, 100%, $E$14)</f>
        <v>12.6592</v>
      </c>
      <c r="D776" s="58">
        <f>12.6632 * CHOOSE(CONTROL!$C$27, $C$14, 100%, $E$14)</f>
        <v>12.6632</v>
      </c>
      <c r="E776" s="59">
        <f>14.4264 * CHOOSE(CONTROL!$C$27, $C$14, 100%, $E$14)</f>
        <v>14.426399999999999</v>
      </c>
      <c r="F776" s="59">
        <f>14.4264 * CHOOSE(CONTROL!$C$27, $C$14, 100%, $E$14)</f>
        <v>14.426399999999999</v>
      </c>
      <c r="G776" s="59">
        <f>14.4313 * CHOOSE(CONTROL!$C$27, $C$14, 100%, $E$14)</f>
        <v>14.4313</v>
      </c>
      <c r="H776" s="59">
        <f>26.9143* CHOOSE(CONTROL!$C$27, $C$14, 100%, $E$14)</f>
        <v>26.914300000000001</v>
      </c>
      <c r="I776" s="59">
        <f>26.9192 * CHOOSE(CONTROL!$C$27, $C$14, 100%, $E$14)</f>
        <v>26.9192</v>
      </c>
      <c r="J776" s="59">
        <f>26.9143 * CHOOSE(CONTROL!$C$27, $C$14, 100%, $E$14)</f>
        <v>26.914300000000001</v>
      </c>
      <c r="K776" s="59">
        <f>26.9192 * CHOOSE(CONTROL!$C$27, $C$14, 100%, $E$14)</f>
        <v>26.9192</v>
      </c>
      <c r="L776" s="59">
        <f>14.4264 * CHOOSE(CONTROL!$C$27, $C$14, 100%, $E$14)</f>
        <v>14.426399999999999</v>
      </c>
      <c r="M776" s="59">
        <f>14.4313 * CHOOSE(CONTROL!$C$27, $C$14, 100%, $E$14)</f>
        <v>14.4313</v>
      </c>
      <c r="N776" s="59">
        <f>14.4264 * CHOOSE(CONTROL!$C$27, $C$14, 100%, $E$14)</f>
        <v>14.426399999999999</v>
      </c>
      <c r="O776" s="59">
        <f>14.4313 * CHOOSE(CONTROL!$C$27, $C$14, 100%, $E$14)</f>
        <v>14.4313</v>
      </c>
    </row>
    <row r="777" spans="1:15" ht="15">
      <c r="A777" s="11">
        <v>64741</v>
      </c>
      <c r="B777" s="58">
        <f>12.6642 * CHOOSE(CONTROL!$C$27, $C$14, 100%, $E$14)</f>
        <v>12.664199999999999</v>
      </c>
      <c r="C777" s="58">
        <f>12.6642 * CHOOSE(CONTROL!$C$27, $C$14, 100%, $E$14)</f>
        <v>12.664199999999999</v>
      </c>
      <c r="D777" s="58">
        <f>12.6682 * CHOOSE(CONTROL!$C$27, $C$14, 100%, $E$14)</f>
        <v>12.668200000000001</v>
      </c>
      <c r="E777" s="59">
        <f>14.638 * CHOOSE(CONTROL!$C$27, $C$14, 100%, $E$14)</f>
        <v>14.638</v>
      </c>
      <c r="F777" s="59">
        <f>14.638 * CHOOSE(CONTROL!$C$27, $C$14, 100%, $E$14)</f>
        <v>14.638</v>
      </c>
      <c r="G777" s="59">
        <f>14.643 * CHOOSE(CONTROL!$C$27, $C$14, 100%, $E$14)</f>
        <v>14.643000000000001</v>
      </c>
      <c r="H777" s="59">
        <f>26.9703* CHOOSE(CONTROL!$C$27, $C$14, 100%, $E$14)</f>
        <v>26.970300000000002</v>
      </c>
      <c r="I777" s="59">
        <f>26.9752 * CHOOSE(CONTROL!$C$27, $C$14, 100%, $E$14)</f>
        <v>26.975200000000001</v>
      </c>
      <c r="J777" s="59">
        <f>26.9703 * CHOOSE(CONTROL!$C$27, $C$14, 100%, $E$14)</f>
        <v>26.970300000000002</v>
      </c>
      <c r="K777" s="59">
        <f>26.9752 * CHOOSE(CONTROL!$C$27, $C$14, 100%, $E$14)</f>
        <v>26.975200000000001</v>
      </c>
      <c r="L777" s="59">
        <f>14.638 * CHOOSE(CONTROL!$C$27, $C$14, 100%, $E$14)</f>
        <v>14.638</v>
      </c>
      <c r="M777" s="59">
        <f>14.643 * CHOOSE(CONTROL!$C$27, $C$14, 100%, $E$14)</f>
        <v>14.643000000000001</v>
      </c>
      <c r="N777" s="59">
        <f>14.638 * CHOOSE(CONTROL!$C$27, $C$14, 100%, $E$14)</f>
        <v>14.638</v>
      </c>
      <c r="O777" s="59">
        <f>14.643 * CHOOSE(CONTROL!$C$27, $C$14, 100%, $E$14)</f>
        <v>14.643000000000001</v>
      </c>
    </row>
    <row r="778" spans="1:15" ht="15">
      <c r="A778" s="11">
        <v>64771</v>
      </c>
      <c r="B778" s="58">
        <f>12.6642 * CHOOSE(CONTROL!$C$27, $C$14, 100%, $E$14)</f>
        <v>12.664199999999999</v>
      </c>
      <c r="C778" s="58">
        <f>12.6642 * CHOOSE(CONTROL!$C$27, $C$14, 100%, $E$14)</f>
        <v>12.664199999999999</v>
      </c>
      <c r="D778" s="58">
        <f>12.6698 * CHOOSE(CONTROL!$C$27, $C$14, 100%, $E$14)</f>
        <v>12.6698</v>
      </c>
      <c r="E778" s="59">
        <f>14.719 * CHOOSE(CONTROL!$C$27, $C$14, 100%, $E$14)</f>
        <v>14.718999999999999</v>
      </c>
      <c r="F778" s="59">
        <f>14.719 * CHOOSE(CONTROL!$C$27, $C$14, 100%, $E$14)</f>
        <v>14.718999999999999</v>
      </c>
      <c r="G778" s="59">
        <f>14.7259 * CHOOSE(CONTROL!$C$27, $C$14, 100%, $E$14)</f>
        <v>14.725899999999999</v>
      </c>
      <c r="H778" s="59">
        <f>27.0265* CHOOSE(CONTROL!$C$27, $C$14, 100%, $E$14)</f>
        <v>27.026499999999999</v>
      </c>
      <c r="I778" s="59">
        <f>27.0334 * CHOOSE(CONTROL!$C$27, $C$14, 100%, $E$14)</f>
        <v>27.0334</v>
      </c>
      <c r="J778" s="59">
        <f>27.0265 * CHOOSE(CONTROL!$C$27, $C$14, 100%, $E$14)</f>
        <v>27.026499999999999</v>
      </c>
      <c r="K778" s="59">
        <f>27.0334 * CHOOSE(CONTROL!$C$27, $C$14, 100%, $E$14)</f>
        <v>27.0334</v>
      </c>
      <c r="L778" s="59">
        <f>14.719 * CHOOSE(CONTROL!$C$27, $C$14, 100%, $E$14)</f>
        <v>14.718999999999999</v>
      </c>
      <c r="M778" s="59">
        <f>14.7259 * CHOOSE(CONTROL!$C$27, $C$14, 100%, $E$14)</f>
        <v>14.725899999999999</v>
      </c>
      <c r="N778" s="59">
        <f>14.719 * CHOOSE(CONTROL!$C$27, $C$14, 100%, $E$14)</f>
        <v>14.718999999999999</v>
      </c>
      <c r="O778" s="59">
        <f>14.7259 * CHOOSE(CONTROL!$C$27, $C$14, 100%, $E$14)</f>
        <v>14.725899999999999</v>
      </c>
    </row>
    <row r="779" spans="1:15" ht="15">
      <c r="A779" s="11">
        <v>64802</v>
      </c>
      <c r="B779" s="58">
        <f>12.6702 * CHOOSE(CONTROL!$C$27, $C$14, 100%, $E$14)</f>
        <v>12.670199999999999</v>
      </c>
      <c r="C779" s="58">
        <f>12.6702 * CHOOSE(CONTROL!$C$27, $C$14, 100%, $E$14)</f>
        <v>12.670199999999999</v>
      </c>
      <c r="D779" s="58">
        <f>12.6759 * CHOOSE(CONTROL!$C$27, $C$14, 100%, $E$14)</f>
        <v>12.6759</v>
      </c>
      <c r="E779" s="59">
        <f>14.6423 * CHOOSE(CONTROL!$C$27, $C$14, 100%, $E$14)</f>
        <v>14.642300000000001</v>
      </c>
      <c r="F779" s="59">
        <f>14.6423 * CHOOSE(CONTROL!$C$27, $C$14, 100%, $E$14)</f>
        <v>14.642300000000001</v>
      </c>
      <c r="G779" s="59">
        <f>14.6492 * CHOOSE(CONTROL!$C$27, $C$14, 100%, $E$14)</f>
        <v>14.6492</v>
      </c>
      <c r="H779" s="59">
        <f>27.0828* CHOOSE(CONTROL!$C$27, $C$14, 100%, $E$14)</f>
        <v>27.082799999999999</v>
      </c>
      <c r="I779" s="59">
        <f>27.0897 * CHOOSE(CONTROL!$C$27, $C$14, 100%, $E$14)</f>
        <v>27.089700000000001</v>
      </c>
      <c r="J779" s="59">
        <f>27.0828 * CHOOSE(CONTROL!$C$27, $C$14, 100%, $E$14)</f>
        <v>27.082799999999999</v>
      </c>
      <c r="K779" s="59">
        <f>27.0897 * CHOOSE(CONTROL!$C$27, $C$14, 100%, $E$14)</f>
        <v>27.089700000000001</v>
      </c>
      <c r="L779" s="59">
        <f>14.6423 * CHOOSE(CONTROL!$C$27, $C$14, 100%, $E$14)</f>
        <v>14.642300000000001</v>
      </c>
      <c r="M779" s="59">
        <f>14.6492 * CHOOSE(CONTROL!$C$27, $C$14, 100%, $E$14)</f>
        <v>14.6492</v>
      </c>
      <c r="N779" s="59">
        <f>14.6423 * CHOOSE(CONTROL!$C$27, $C$14, 100%, $E$14)</f>
        <v>14.642300000000001</v>
      </c>
      <c r="O779" s="59">
        <f>14.6492 * CHOOSE(CONTROL!$C$27, $C$14, 100%, $E$14)</f>
        <v>14.6492</v>
      </c>
    </row>
    <row r="780" spans="1:15" ht="15">
      <c r="A780" s="11">
        <v>64832</v>
      </c>
      <c r="B780" s="58">
        <f>12.8633 * CHOOSE(CONTROL!$C$27, $C$14, 100%, $E$14)</f>
        <v>12.863300000000001</v>
      </c>
      <c r="C780" s="58">
        <f>12.8633 * CHOOSE(CONTROL!$C$27, $C$14, 100%, $E$14)</f>
        <v>12.863300000000001</v>
      </c>
      <c r="D780" s="58">
        <f>12.869 * CHOOSE(CONTROL!$C$27, $C$14, 100%, $E$14)</f>
        <v>12.869</v>
      </c>
      <c r="E780" s="59">
        <f>14.8762 * CHOOSE(CONTROL!$C$27, $C$14, 100%, $E$14)</f>
        <v>14.876200000000001</v>
      </c>
      <c r="F780" s="59">
        <f>14.8762 * CHOOSE(CONTROL!$C$27, $C$14, 100%, $E$14)</f>
        <v>14.876200000000001</v>
      </c>
      <c r="G780" s="59">
        <f>14.8831 * CHOOSE(CONTROL!$C$27, $C$14, 100%, $E$14)</f>
        <v>14.883100000000001</v>
      </c>
      <c r="H780" s="59">
        <f>27.1392* CHOOSE(CONTROL!$C$27, $C$14, 100%, $E$14)</f>
        <v>27.139199999999999</v>
      </c>
      <c r="I780" s="59">
        <f>27.1461 * CHOOSE(CONTROL!$C$27, $C$14, 100%, $E$14)</f>
        <v>27.146100000000001</v>
      </c>
      <c r="J780" s="59">
        <f>27.1392 * CHOOSE(CONTROL!$C$27, $C$14, 100%, $E$14)</f>
        <v>27.139199999999999</v>
      </c>
      <c r="K780" s="59">
        <f>27.1461 * CHOOSE(CONTROL!$C$27, $C$14, 100%, $E$14)</f>
        <v>27.146100000000001</v>
      </c>
      <c r="L780" s="59">
        <f>14.8762 * CHOOSE(CONTROL!$C$27, $C$14, 100%, $E$14)</f>
        <v>14.876200000000001</v>
      </c>
      <c r="M780" s="59">
        <f>14.8831 * CHOOSE(CONTROL!$C$27, $C$14, 100%, $E$14)</f>
        <v>14.883100000000001</v>
      </c>
      <c r="N780" s="59">
        <f>14.8762 * CHOOSE(CONTROL!$C$27, $C$14, 100%, $E$14)</f>
        <v>14.876200000000001</v>
      </c>
      <c r="O780" s="59">
        <f>14.8831 * CHOOSE(CONTROL!$C$27, $C$14, 100%, $E$14)</f>
        <v>14.883100000000001</v>
      </c>
    </row>
    <row r="781" spans="1:15" ht="15">
      <c r="A781" s="11">
        <v>64863</v>
      </c>
      <c r="B781" s="58">
        <f>12.87 * CHOOSE(CONTROL!$C$27, $C$14, 100%, $E$14)</f>
        <v>12.87</v>
      </c>
      <c r="C781" s="58">
        <f>12.87 * CHOOSE(CONTROL!$C$27, $C$14, 100%, $E$14)</f>
        <v>12.87</v>
      </c>
      <c r="D781" s="58">
        <f>12.8757 * CHOOSE(CONTROL!$C$27, $C$14, 100%, $E$14)</f>
        <v>12.8757</v>
      </c>
      <c r="E781" s="59">
        <f>14.6381 * CHOOSE(CONTROL!$C$27, $C$14, 100%, $E$14)</f>
        <v>14.6381</v>
      </c>
      <c r="F781" s="59">
        <f>14.6381 * CHOOSE(CONTROL!$C$27, $C$14, 100%, $E$14)</f>
        <v>14.6381</v>
      </c>
      <c r="G781" s="59">
        <f>14.645 * CHOOSE(CONTROL!$C$27, $C$14, 100%, $E$14)</f>
        <v>14.645</v>
      </c>
      <c r="H781" s="59">
        <f>27.1958* CHOOSE(CONTROL!$C$27, $C$14, 100%, $E$14)</f>
        <v>27.195799999999998</v>
      </c>
      <c r="I781" s="59">
        <f>27.2027 * CHOOSE(CONTROL!$C$27, $C$14, 100%, $E$14)</f>
        <v>27.2027</v>
      </c>
      <c r="J781" s="59">
        <f>27.1958 * CHOOSE(CONTROL!$C$27, $C$14, 100%, $E$14)</f>
        <v>27.195799999999998</v>
      </c>
      <c r="K781" s="59">
        <f>27.2027 * CHOOSE(CONTROL!$C$27, $C$14, 100%, $E$14)</f>
        <v>27.2027</v>
      </c>
      <c r="L781" s="59">
        <f>14.6381 * CHOOSE(CONTROL!$C$27, $C$14, 100%, $E$14)</f>
        <v>14.6381</v>
      </c>
      <c r="M781" s="59">
        <f>14.645 * CHOOSE(CONTROL!$C$27, $C$14, 100%, $E$14)</f>
        <v>14.645</v>
      </c>
      <c r="N781" s="59">
        <f>14.6381 * CHOOSE(CONTROL!$C$27, $C$14, 100%, $E$14)</f>
        <v>14.6381</v>
      </c>
      <c r="O781" s="59">
        <f>14.645 * CHOOSE(CONTROL!$C$27, $C$14, 100%, $E$14)</f>
        <v>14.645</v>
      </c>
    </row>
    <row r="782" spans="1:15" ht="15">
      <c r="A782" s="11">
        <v>64894</v>
      </c>
      <c r="B782" s="58">
        <f>12.867 * CHOOSE(CONTROL!$C$27, $C$14, 100%, $E$14)</f>
        <v>12.867000000000001</v>
      </c>
      <c r="C782" s="58">
        <f>12.867 * CHOOSE(CONTROL!$C$27, $C$14, 100%, $E$14)</f>
        <v>12.867000000000001</v>
      </c>
      <c r="D782" s="58">
        <f>12.8726 * CHOOSE(CONTROL!$C$27, $C$14, 100%, $E$14)</f>
        <v>12.8726</v>
      </c>
      <c r="E782" s="59">
        <f>14.609 * CHOOSE(CONTROL!$C$27, $C$14, 100%, $E$14)</f>
        <v>14.609</v>
      </c>
      <c r="F782" s="59">
        <f>14.609 * CHOOSE(CONTROL!$C$27, $C$14, 100%, $E$14)</f>
        <v>14.609</v>
      </c>
      <c r="G782" s="59">
        <f>14.6158 * CHOOSE(CONTROL!$C$27, $C$14, 100%, $E$14)</f>
        <v>14.6158</v>
      </c>
      <c r="H782" s="59">
        <f>27.2524* CHOOSE(CONTROL!$C$27, $C$14, 100%, $E$14)</f>
        <v>27.252400000000002</v>
      </c>
      <c r="I782" s="59">
        <f>27.2593 * CHOOSE(CONTROL!$C$27, $C$14, 100%, $E$14)</f>
        <v>27.2593</v>
      </c>
      <c r="J782" s="59">
        <f>27.2524 * CHOOSE(CONTROL!$C$27, $C$14, 100%, $E$14)</f>
        <v>27.252400000000002</v>
      </c>
      <c r="K782" s="59">
        <f>27.2593 * CHOOSE(CONTROL!$C$27, $C$14, 100%, $E$14)</f>
        <v>27.2593</v>
      </c>
      <c r="L782" s="59">
        <f>14.609 * CHOOSE(CONTROL!$C$27, $C$14, 100%, $E$14)</f>
        <v>14.609</v>
      </c>
      <c r="M782" s="59">
        <f>14.6158 * CHOOSE(CONTROL!$C$27, $C$14, 100%, $E$14)</f>
        <v>14.6158</v>
      </c>
      <c r="N782" s="59">
        <f>14.609 * CHOOSE(CONTROL!$C$27, $C$14, 100%, $E$14)</f>
        <v>14.609</v>
      </c>
      <c r="O782" s="59">
        <f>14.6158 * CHOOSE(CONTROL!$C$27, $C$14, 100%, $E$14)</f>
        <v>14.6158</v>
      </c>
    </row>
    <row r="783" spans="1:15" ht="15">
      <c r="A783" s="11">
        <v>64924</v>
      </c>
      <c r="B783" s="58">
        <f>12.8907 * CHOOSE(CONTROL!$C$27, $C$14, 100%, $E$14)</f>
        <v>12.890700000000001</v>
      </c>
      <c r="C783" s="58">
        <f>12.8907 * CHOOSE(CONTROL!$C$27, $C$14, 100%, $E$14)</f>
        <v>12.890700000000001</v>
      </c>
      <c r="D783" s="58">
        <f>12.8947 * CHOOSE(CONTROL!$C$27, $C$14, 100%, $E$14)</f>
        <v>12.8947</v>
      </c>
      <c r="E783" s="59">
        <f>14.7035 * CHOOSE(CONTROL!$C$27, $C$14, 100%, $E$14)</f>
        <v>14.7035</v>
      </c>
      <c r="F783" s="59">
        <f>14.7035 * CHOOSE(CONTROL!$C$27, $C$14, 100%, $E$14)</f>
        <v>14.7035</v>
      </c>
      <c r="G783" s="59">
        <f>14.7084 * CHOOSE(CONTROL!$C$27, $C$14, 100%, $E$14)</f>
        <v>14.708399999999999</v>
      </c>
      <c r="H783" s="59">
        <f>27.3092* CHOOSE(CONTROL!$C$27, $C$14, 100%, $E$14)</f>
        <v>27.309200000000001</v>
      </c>
      <c r="I783" s="59">
        <f>27.3141 * CHOOSE(CONTROL!$C$27, $C$14, 100%, $E$14)</f>
        <v>27.3141</v>
      </c>
      <c r="J783" s="59">
        <f>27.3092 * CHOOSE(CONTROL!$C$27, $C$14, 100%, $E$14)</f>
        <v>27.309200000000001</v>
      </c>
      <c r="K783" s="59">
        <f>27.3141 * CHOOSE(CONTROL!$C$27, $C$14, 100%, $E$14)</f>
        <v>27.3141</v>
      </c>
      <c r="L783" s="59">
        <f>14.7035 * CHOOSE(CONTROL!$C$27, $C$14, 100%, $E$14)</f>
        <v>14.7035</v>
      </c>
      <c r="M783" s="59">
        <f>14.7084 * CHOOSE(CONTROL!$C$27, $C$14, 100%, $E$14)</f>
        <v>14.708399999999999</v>
      </c>
      <c r="N783" s="59">
        <f>14.7035 * CHOOSE(CONTROL!$C$27, $C$14, 100%, $E$14)</f>
        <v>14.7035</v>
      </c>
      <c r="O783" s="59">
        <f>14.7084 * CHOOSE(CONTROL!$C$27, $C$14, 100%, $E$14)</f>
        <v>14.708399999999999</v>
      </c>
    </row>
    <row r="784" spans="1:15" ht="15">
      <c r="A784" s="11">
        <v>64955</v>
      </c>
      <c r="B784" s="58">
        <f>12.8937 * CHOOSE(CONTROL!$C$27, $C$14, 100%, $E$14)</f>
        <v>12.893700000000001</v>
      </c>
      <c r="C784" s="58">
        <f>12.8937 * CHOOSE(CONTROL!$C$27, $C$14, 100%, $E$14)</f>
        <v>12.893700000000001</v>
      </c>
      <c r="D784" s="58">
        <f>12.8977 * CHOOSE(CONTROL!$C$27, $C$14, 100%, $E$14)</f>
        <v>12.8977</v>
      </c>
      <c r="E784" s="59">
        <f>14.7596 * CHOOSE(CONTROL!$C$27, $C$14, 100%, $E$14)</f>
        <v>14.759600000000001</v>
      </c>
      <c r="F784" s="59">
        <f>14.7596 * CHOOSE(CONTROL!$C$27, $C$14, 100%, $E$14)</f>
        <v>14.759600000000001</v>
      </c>
      <c r="G784" s="59">
        <f>14.7645 * CHOOSE(CONTROL!$C$27, $C$14, 100%, $E$14)</f>
        <v>14.7645</v>
      </c>
      <c r="H784" s="59">
        <f>27.3661* CHOOSE(CONTROL!$C$27, $C$14, 100%, $E$14)</f>
        <v>27.366099999999999</v>
      </c>
      <c r="I784" s="59">
        <f>27.371 * CHOOSE(CONTROL!$C$27, $C$14, 100%, $E$14)</f>
        <v>27.370999999999999</v>
      </c>
      <c r="J784" s="59">
        <f>27.3661 * CHOOSE(CONTROL!$C$27, $C$14, 100%, $E$14)</f>
        <v>27.366099999999999</v>
      </c>
      <c r="K784" s="59">
        <f>27.371 * CHOOSE(CONTROL!$C$27, $C$14, 100%, $E$14)</f>
        <v>27.370999999999999</v>
      </c>
      <c r="L784" s="59">
        <f>14.7596 * CHOOSE(CONTROL!$C$27, $C$14, 100%, $E$14)</f>
        <v>14.759600000000001</v>
      </c>
      <c r="M784" s="59">
        <f>14.7645 * CHOOSE(CONTROL!$C$27, $C$14, 100%, $E$14)</f>
        <v>14.7645</v>
      </c>
      <c r="N784" s="59">
        <f>14.7596 * CHOOSE(CONTROL!$C$27, $C$14, 100%, $E$14)</f>
        <v>14.759600000000001</v>
      </c>
      <c r="O784" s="59">
        <f>14.7645 * CHOOSE(CONTROL!$C$27, $C$14, 100%, $E$14)</f>
        <v>14.7645</v>
      </c>
    </row>
    <row r="785" spans="1:15" ht="15">
      <c r="A785" s="11">
        <v>64985</v>
      </c>
      <c r="B785" s="58">
        <f>12.8937 * CHOOSE(CONTROL!$C$27, $C$14, 100%, $E$14)</f>
        <v>12.893700000000001</v>
      </c>
      <c r="C785" s="58">
        <f>12.8937 * CHOOSE(CONTROL!$C$27, $C$14, 100%, $E$14)</f>
        <v>12.893700000000001</v>
      </c>
      <c r="D785" s="58">
        <f>12.8977 * CHOOSE(CONTROL!$C$27, $C$14, 100%, $E$14)</f>
        <v>12.8977</v>
      </c>
      <c r="E785" s="59">
        <f>14.6246 * CHOOSE(CONTROL!$C$27, $C$14, 100%, $E$14)</f>
        <v>14.624599999999999</v>
      </c>
      <c r="F785" s="59">
        <f>14.6246 * CHOOSE(CONTROL!$C$27, $C$14, 100%, $E$14)</f>
        <v>14.624599999999999</v>
      </c>
      <c r="G785" s="59">
        <f>14.6296 * CHOOSE(CONTROL!$C$27, $C$14, 100%, $E$14)</f>
        <v>14.6296</v>
      </c>
      <c r="H785" s="59">
        <f>27.4231* CHOOSE(CONTROL!$C$27, $C$14, 100%, $E$14)</f>
        <v>27.423100000000002</v>
      </c>
      <c r="I785" s="59">
        <f>27.428 * CHOOSE(CONTROL!$C$27, $C$14, 100%, $E$14)</f>
        <v>27.428000000000001</v>
      </c>
      <c r="J785" s="59">
        <f>27.4231 * CHOOSE(CONTROL!$C$27, $C$14, 100%, $E$14)</f>
        <v>27.423100000000002</v>
      </c>
      <c r="K785" s="59">
        <f>27.428 * CHOOSE(CONTROL!$C$27, $C$14, 100%, $E$14)</f>
        <v>27.428000000000001</v>
      </c>
      <c r="L785" s="59">
        <f>14.6246 * CHOOSE(CONTROL!$C$27, $C$14, 100%, $E$14)</f>
        <v>14.624599999999999</v>
      </c>
      <c r="M785" s="59">
        <f>14.6296 * CHOOSE(CONTROL!$C$27, $C$14, 100%, $E$14)</f>
        <v>14.6296</v>
      </c>
      <c r="N785" s="59">
        <f>14.6246 * CHOOSE(CONTROL!$C$27, $C$14, 100%, $E$14)</f>
        <v>14.624599999999999</v>
      </c>
      <c r="O785" s="59">
        <f>14.6296 * CHOOSE(CONTROL!$C$27, $C$14, 100%, $E$14)</f>
        <v>14.6296</v>
      </c>
    </row>
    <row r="786" spans="1:15" ht="15">
      <c r="A786" s="11">
        <v>65016</v>
      </c>
      <c r="B786" s="58">
        <f>12.9009 * CHOOSE(CONTROL!$C$27, $C$14, 100%, $E$14)</f>
        <v>12.9009</v>
      </c>
      <c r="C786" s="58">
        <f>12.9009 * CHOOSE(CONTROL!$C$27, $C$14, 100%, $E$14)</f>
        <v>12.9009</v>
      </c>
      <c r="D786" s="58">
        <f>12.9049 * CHOOSE(CONTROL!$C$27, $C$14, 100%, $E$14)</f>
        <v>12.9049</v>
      </c>
      <c r="E786" s="59">
        <f>14.7393 * CHOOSE(CONTROL!$C$27, $C$14, 100%, $E$14)</f>
        <v>14.7393</v>
      </c>
      <c r="F786" s="59">
        <f>14.7393 * CHOOSE(CONTROL!$C$27, $C$14, 100%, $E$14)</f>
        <v>14.7393</v>
      </c>
      <c r="G786" s="59">
        <f>14.7443 * CHOOSE(CONTROL!$C$27, $C$14, 100%, $E$14)</f>
        <v>14.744300000000001</v>
      </c>
      <c r="H786" s="59">
        <f>27.285* CHOOSE(CONTROL!$C$27, $C$14, 100%, $E$14)</f>
        <v>27.285</v>
      </c>
      <c r="I786" s="59">
        <f>27.2899 * CHOOSE(CONTROL!$C$27, $C$14, 100%, $E$14)</f>
        <v>27.289899999999999</v>
      </c>
      <c r="J786" s="59">
        <f>27.285 * CHOOSE(CONTROL!$C$27, $C$14, 100%, $E$14)</f>
        <v>27.285</v>
      </c>
      <c r="K786" s="59">
        <f>27.2899 * CHOOSE(CONTROL!$C$27, $C$14, 100%, $E$14)</f>
        <v>27.289899999999999</v>
      </c>
      <c r="L786" s="59">
        <f>14.7393 * CHOOSE(CONTROL!$C$27, $C$14, 100%, $E$14)</f>
        <v>14.7393</v>
      </c>
      <c r="M786" s="59">
        <f>14.7443 * CHOOSE(CONTROL!$C$27, $C$14, 100%, $E$14)</f>
        <v>14.744300000000001</v>
      </c>
      <c r="N786" s="59">
        <f>14.7393 * CHOOSE(CONTROL!$C$27, $C$14, 100%, $E$14)</f>
        <v>14.7393</v>
      </c>
      <c r="O786" s="59">
        <f>14.7443 * CHOOSE(CONTROL!$C$27, $C$14, 100%, $E$14)</f>
        <v>14.744300000000001</v>
      </c>
    </row>
    <row r="787" spans="1:15" ht="15">
      <c r="A787" s="11">
        <v>65047</v>
      </c>
      <c r="B787" s="58">
        <f>12.8978 * CHOOSE(CONTROL!$C$27, $C$14, 100%, $E$14)</f>
        <v>12.8978</v>
      </c>
      <c r="C787" s="58">
        <f>12.8978 * CHOOSE(CONTROL!$C$27, $C$14, 100%, $E$14)</f>
        <v>12.8978</v>
      </c>
      <c r="D787" s="58">
        <f>12.9018 * CHOOSE(CONTROL!$C$27, $C$14, 100%, $E$14)</f>
        <v>12.9018</v>
      </c>
      <c r="E787" s="59">
        <f>14.4773 * CHOOSE(CONTROL!$C$27, $C$14, 100%, $E$14)</f>
        <v>14.4773</v>
      </c>
      <c r="F787" s="59">
        <f>14.4773 * CHOOSE(CONTROL!$C$27, $C$14, 100%, $E$14)</f>
        <v>14.4773</v>
      </c>
      <c r="G787" s="59">
        <f>14.4822 * CHOOSE(CONTROL!$C$27, $C$14, 100%, $E$14)</f>
        <v>14.482200000000001</v>
      </c>
      <c r="H787" s="59">
        <f>27.3418* CHOOSE(CONTROL!$C$27, $C$14, 100%, $E$14)</f>
        <v>27.341799999999999</v>
      </c>
      <c r="I787" s="59">
        <f>27.3468 * CHOOSE(CONTROL!$C$27, $C$14, 100%, $E$14)</f>
        <v>27.346800000000002</v>
      </c>
      <c r="J787" s="59">
        <f>27.3418 * CHOOSE(CONTROL!$C$27, $C$14, 100%, $E$14)</f>
        <v>27.341799999999999</v>
      </c>
      <c r="K787" s="59">
        <f>27.3468 * CHOOSE(CONTROL!$C$27, $C$14, 100%, $E$14)</f>
        <v>27.346800000000002</v>
      </c>
      <c r="L787" s="59">
        <f>14.4773 * CHOOSE(CONTROL!$C$27, $C$14, 100%, $E$14)</f>
        <v>14.4773</v>
      </c>
      <c r="M787" s="59">
        <f>14.4822 * CHOOSE(CONTROL!$C$27, $C$14, 100%, $E$14)</f>
        <v>14.482200000000001</v>
      </c>
      <c r="N787" s="59">
        <f>14.4773 * CHOOSE(CONTROL!$C$27, $C$14, 100%, $E$14)</f>
        <v>14.4773</v>
      </c>
      <c r="O787" s="59">
        <f>14.4822 * CHOOSE(CONTROL!$C$27, $C$14, 100%, $E$14)</f>
        <v>14.482200000000001</v>
      </c>
    </row>
    <row r="788" spans="1:15" ht="15">
      <c r="A788" s="11">
        <v>65075</v>
      </c>
      <c r="B788" s="58">
        <f>12.8948 * CHOOSE(CONTROL!$C$27, $C$14, 100%, $E$14)</f>
        <v>12.8948</v>
      </c>
      <c r="C788" s="58">
        <f>12.8948 * CHOOSE(CONTROL!$C$27, $C$14, 100%, $E$14)</f>
        <v>12.8948</v>
      </c>
      <c r="D788" s="58">
        <f>12.8988 * CHOOSE(CONTROL!$C$27, $C$14, 100%, $E$14)</f>
        <v>12.8988</v>
      </c>
      <c r="E788" s="59">
        <f>14.6801 * CHOOSE(CONTROL!$C$27, $C$14, 100%, $E$14)</f>
        <v>14.680099999999999</v>
      </c>
      <c r="F788" s="59">
        <f>14.6801 * CHOOSE(CONTROL!$C$27, $C$14, 100%, $E$14)</f>
        <v>14.680099999999999</v>
      </c>
      <c r="G788" s="59">
        <f>14.685 * CHOOSE(CONTROL!$C$27, $C$14, 100%, $E$14)</f>
        <v>14.685</v>
      </c>
      <c r="H788" s="59">
        <f>27.3988* CHOOSE(CONTROL!$C$27, $C$14, 100%, $E$14)</f>
        <v>27.398800000000001</v>
      </c>
      <c r="I788" s="59">
        <f>27.4037 * CHOOSE(CONTROL!$C$27, $C$14, 100%, $E$14)</f>
        <v>27.403700000000001</v>
      </c>
      <c r="J788" s="59">
        <f>27.3988 * CHOOSE(CONTROL!$C$27, $C$14, 100%, $E$14)</f>
        <v>27.398800000000001</v>
      </c>
      <c r="K788" s="59">
        <f>27.4037 * CHOOSE(CONTROL!$C$27, $C$14, 100%, $E$14)</f>
        <v>27.403700000000001</v>
      </c>
      <c r="L788" s="59">
        <f>14.6801 * CHOOSE(CONTROL!$C$27, $C$14, 100%, $E$14)</f>
        <v>14.680099999999999</v>
      </c>
      <c r="M788" s="59">
        <f>14.685 * CHOOSE(CONTROL!$C$27, $C$14, 100%, $E$14)</f>
        <v>14.685</v>
      </c>
      <c r="N788" s="59">
        <f>14.6801 * CHOOSE(CONTROL!$C$27, $C$14, 100%, $E$14)</f>
        <v>14.680099999999999</v>
      </c>
      <c r="O788" s="59">
        <f>14.685 * CHOOSE(CONTROL!$C$27, $C$14, 100%, $E$14)</f>
        <v>14.685</v>
      </c>
    </row>
    <row r="789" spans="1:15" ht="15">
      <c r="A789" s="11">
        <v>65106</v>
      </c>
      <c r="B789" s="58">
        <f>12.8999 * CHOOSE(CONTROL!$C$27, $C$14, 100%, $E$14)</f>
        <v>12.899900000000001</v>
      </c>
      <c r="C789" s="58">
        <f>12.8999 * CHOOSE(CONTROL!$C$27, $C$14, 100%, $E$14)</f>
        <v>12.899900000000001</v>
      </c>
      <c r="D789" s="58">
        <f>12.9039 * CHOOSE(CONTROL!$C$27, $C$14, 100%, $E$14)</f>
        <v>12.9039</v>
      </c>
      <c r="E789" s="59">
        <f>14.8959 * CHOOSE(CONTROL!$C$27, $C$14, 100%, $E$14)</f>
        <v>14.895899999999999</v>
      </c>
      <c r="F789" s="59">
        <f>14.8959 * CHOOSE(CONTROL!$C$27, $C$14, 100%, $E$14)</f>
        <v>14.895899999999999</v>
      </c>
      <c r="G789" s="59">
        <f>14.9008 * CHOOSE(CONTROL!$C$27, $C$14, 100%, $E$14)</f>
        <v>14.9008</v>
      </c>
      <c r="H789" s="59">
        <f>27.4559* CHOOSE(CONTROL!$C$27, $C$14, 100%, $E$14)</f>
        <v>27.4559</v>
      </c>
      <c r="I789" s="59">
        <f>27.4608 * CHOOSE(CONTROL!$C$27, $C$14, 100%, $E$14)</f>
        <v>27.460799999999999</v>
      </c>
      <c r="J789" s="59">
        <f>27.4559 * CHOOSE(CONTROL!$C$27, $C$14, 100%, $E$14)</f>
        <v>27.4559</v>
      </c>
      <c r="K789" s="59">
        <f>27.4608 * CHOOSE(CONTROL!$C$27, $C$14, 100%, $E$14)</f>
        <v>27.460799999999999</v>
      </c>
      <c r="L789" s="59">
        <f>14.8959 * CHOOSE(CONTROL!$C$27, $C$14, 100%, $E$14)</f>
        <v>14.895899999999999</v>
      </c>
      <c r="M789" s="59">
        <f>14.9008 * CHOOSE(CONTROL!$C$27, $C$14, 100%, $E$14)</f>
        <v>14.9008</v>
      </c>
      <c r="N789" s="59">
        <f>14.8959 * CHOOSE(CONTROL!$C$27, $C$14, 100%, $E$14)</f>
        <v>14.895899999999999</v>
      </c>
      <c r="O789" s="59">
        <f>14.9008 * CHOOSE(CONTROL!$C$27, $C$14, 100%, $E$14)</f>
        <v>14.9008</v>
      </c>
    </row>
    <row r="790" spans="1:15" ht="15">
      <c r="A790" s="11">
        <v>65136</v>
      </c>
      <c r="B790" s="58">
        <f>12.8999 * CHOOSE(CONTROL!$C$27, $C$14, 100%, $E$14)</f>
        <v>12.899900000000001</v>
      </c>
      <c r="C790" s="58">
        <f>12.8999 * CHOOSE(CONTROL!$C$27, $C$14, 100%, $E$14)</f>
        <v>12.899900000000001</v>
      </c>
      <c r="D790" s="58">
        <f>12.9056 * CHOOSE(CONTROL!$C$27, $C$14, 100%, $E$14)</f>
        <v>12.9056</v>
      </c>
      <c r="E790" s="59">
        <f>14.9784 * CHOOSE(CONTROL!$C$27, $C$14, 100%, $E$14)</f>
        <v>14.978400000000001</v>
      </c>
      <c r="F790" s="59">
        <f>14.9784 * CHOOSE(CONTROL!$C$27, $C$14, 100%, $E$14)</f>
        <v>14.978400000000001</v>
      </c>
      <c r="G790" s="59">
        <f>14.9853 * CHOOSE(CONTROL!$C$27, $C$14, 100%, $E$14)</f>
        <v>14.985300000000001</v>
      </c>
      <c r="H790" s="59">
        <f>27.5131* CHOOSE(CONTROL!$C$27, $C$14, 100%, $E$14)</f>
        <v>27.513100000000001</v>
      </c>
      <c r="I790" s="59">
        <f>27.52 * CHOOSE(CONTROL!$C$27, $C$14, 100%, $E$14)</f>
        <v>27.52</v>
      </c>
      <c r="J790" s="59">
        <f>27.5131 * CHOOSE(CONTROL!$C$27, $C$14, 100%, $E$14)</f>
        <v>27.513100000000001</v>
      </c>
      <c r="K790" s="59">
        <f>27.52 * CHOOSE(CONTROL!$C$27, $C$14, 100%, $E$14)</f>
        <v>27.52</v>
      </c>
      <c r="L790" s="59">
        <f>14.9784 * CHOOSE(CONTROL!$C$27, $C$14, 100%, $E$14)</f>
        <v>14.978400000000001</v>
      </c>
      <c r="M790" s="59">
        <f>14.9853 * CHOOSE(CONTROL!$C$27, $C$14, 100%, $E$14)</f>
        <v>14.985300000000001</v>
      </c>
      <c r="N790" s="59">
        <f>14.9784 * CHOOSE(CONTROL!$C$27, $C$14, 100%, $E$14)</f>
        <v>14.978400000000001</v>
      </c>
      <c r="O790" s="59">
        <f>14.9853 * CHOOSE(CONTROL!$C$27, $C$14, 100%, $E$14)</f>
        <v>14.985300000000001</v>
      </c>
    </row>
    <row r="791" spans="1:15" ht="15">
      <c r="A791" s="11">
        <v>65167</v>
      </c>
      <c r="B791" s="58">
        <f>12.906 * CHOOSE(CONTROL!$C$27, $C$14, 100%, $E$14)</f>
        <v>12.906000000000001</v>
      </c>
      <c r="C791" s="58">
        <f>12.906 * CHOOSE(CONTROL!$C$27, $C$14, 100%, $E$14)</f>
        <v>12.906000000000001</v>
      </c>
      <c r="D791" s="58">
        <f>12.9116 * CHOOSE(CONTROL!$C$27, $C$14, 100%, $E$14)</f>
        <v>12.9116</v>
      </c>
      <c r="E791" s="59">
        <f>14.9001 * CHOOSE(CONTROL!$C$27, $C$14, 100%, $E$14)</f>
        <v>14.9001</v>
      </c>
      <c r="F791" s="59">
        <f>14.9001 * CHOOSE(CONTROL!$C$27, $C$14, 100%, $E$14)</f>
        <v>14.9001</v>
      </c>
      <c r="G791" s="59">
        <f>14.907 * CHOOSE(CONTROL!$C$27, $C$14, 100%, $E$14)</f>
        <v>14.907</v>
      </c>
      <c r="H791" s="59">
        <f>27.5704* CHOOSE(CONTROL!$C$27, $C$14, 100%, $E$14)</f>
        <v>27.570399999999999</v>
      </c>
      <c r="I791" s="59">
        <f>27.5773 * CHOOSE(CONTROL!$C$27, $C$14, 100%, $E$14)</f>
        <v>27.577300000000001</v>
      </c>
      <c r="J791" s="59">
        <f>27.5704 * CHOOSE(CONTROL!$C$27, $C$14, 100%, $E$14)</f>
        <v>27.570399999999999</v>
      </c>
      <c r="K791" s="59">
        <f>27.5773 * CHOOSE(CONTROL!$C$27, $C$14, 100%, $E$14)</f>
        <v>27.577300000000001</v>
      </c>
      <c r="L791" s="59">
        <f>14.9001 * CHOOSE(CONTROL!$C$27, $C$14, 100%, $E$14)</f>
        <v>14.9001</v>
      </c>
      <c r="M791" s="59">
        <f>14.907 * CHOOSE(CONTROL!$C$27, $C$14, 100%, $E$14)</f>
        <v>14.907</v>
      </c>
      <c r="N791" s="59">
        <f>14.9001 * CHOOSE(CONTROL!$C$27, $C$14, 100%, $E$14)</f>
        <v>14.9001</v>
      </c>
      <c r="O791" s="59">
        <f>14.907 * CHOOSE(CONTROL!$C$27, $C$14, 100%, $E$14)</f>
        <v>14.907</v>
      </c>
    </row>
    <row r="792" spans="1:15" ht="15">
      <c r="A792" s="11">
        <v>65197</v>
      </c>
      <c r="B792" s="58">
        <f>13.1025 * CHOOSE(CONTROL!$C$27, $C$14, 100%, $E$14)</f>
        <v>13.102499999999999</v>
      </c>
      <c r="C792" s="58">
        <f>13.1025 * CHOOSE(CONTROL!$C$27, $C$14, 100%, $E$14)</f>
        <v>13.102499999999999</v>
      </c>
      <c r="D792" s="58">
        <f>13.1082 * CHOOSE(CONTROL!$C$27, $C$14, 100%, $E$14)</f>
        <v>13.1082</v>
      </c>
      <c r="E792" s="59">
        <f>15.138 * CHOOSE(CONTROL!$C$27, $C$14, 100%, $E$14)</f>
        <v>15.138</v>
      </c>
      <c r="F792" s="59">
        <f>15.138 * CHOOSE(CONTROL!$C$27, $C$14, 100%, $E$14)</f>
        <v>15.138</v>
      </c>
      <c r="G792" s="59">
        <f>15.1449 * CHOOSE(CONTROL!$C$27, $C$14, 100%, $E$14)</f>
        <v>15.1449</v>
      </c>
      <c r="H792" s="59">
        <f>27.6278* CHOOSE(CONTROL!$C$27, $C$14, 100%, $E$14)</f>
        <v>27.627800000000001</v>
      </c>
      <c r="I792" s="59">
        <f>27.6347 * CHOOSE(CONTROL!$C$27, $C$14, 100%, $E$14)</f>
        <v>27.634699999999999</v>
      </c>
      <c r="J792" s="59">
        <f>27.6278 * CHOOSE(CONTROL!$C$27, $C$14, 100%, $E$14)</f>
        <v>27.627800000000001</v>
      </c>
      <c r="K792" s="59">
        <f>27.6347 * CHOOSE(CONTROL!$C$27, $C$14, 100%, $E$14)</f>
        <v>27.634699999999999</v>
      </c>
      <c r="L792" s="59">
        <f>15.138 * CHOOSE(CONTROL!$C$27, $C$14, 100%, $E$14)</f>
        <v>15.138</v>
      </c>
      <c r="M792" s="59">
        <f>15.1449 * CHOOSE(CONTROL!$C$27, $C$14, 100%, $E$14)</f>
        <v>15.1449</v>
      </c>
      <c r="N792" s="59">
        <f>15.138 * CHOOSE(CONTROL!$C$27, $C$14, 100%, $E$14)</f>
        <v>15.138</v>
      </c>
      <c r="O792" s="59">
        <f>15.1449 * CHOOSE(CONTROL!$C$27, $C$14, 100%, $E$14)</f>
        <v>15.1449</v>
      </c>
    </row>
    <row r="793" spans="1:15" ht="15">
      <c r="A793" s="11">
        <v>65228</v>
      </c>
      <c r="B793" s="58">
        <f>13.1092 * CHOOSE(CONTROL!$C$27, $C$14, 100%, $E$14)</f>
        <v>13.1092</v>
      </c>
      <c r="C793" s="58">
        <f>13.1092 * CHOOSE(CONTROL!$C$27, $C$14, 100%, $E$14)</f>
        <v>13.1092</v>
      </c>
      <c r="D793" s="58">
        <f>13.1148 * CHOOSE(CONTROL!$C$27, $C$14, 100%, $E$14)</f>
        <v>13.114800000000001</v>
      </c>
      <c r="E793" s="59">
        <f>14.8951 * CHOOSE(CONTROL!$C$27, $C$14, 100%, $E$14)</f>
        <v>14.895099999999999</v>
      </c>
      <c r="F793" s="59">
        <f>14.8951 * CHOOSE(CONTROL!$C$27, $C$14, 100%, $E$14)</f>
        <v>14.895099999999999</v>
      </c>
      <c r="G793" s="59">
        <f>14.902 * CHOOSE(CONTROL!$C$27, $C$14, 100%, $E$14)</f>
        <v>14.901999999999999</v>
      </c>
      <c r="H793" s="59">
        <f>27.6854* CHOOSE(CONTROL!$C$27, $C$14, 100%, $E$14)</f>
        <v>27.685400000000001</v>
      </c>
      <c r="I793" s="59">
        <f>27.6923 * CHOOSE(CONTROL!$C$27, $C$14, 100%, $E$14)</f>
        <v>27.692299999999999</v>
      </c>
      <c r="J793" s="59">
        <f>27.6854 * CHOOSE(CONTROL!$C$27, $C$14, 100%, $E$14)</f>
        <v>27.685400000000001</v>
      </c>
      <c r="K793" s="59">
        <f>27.6923 * CHOOSE(CONTROL!$C$27, $C$14, 100%, $E$14)</f>
        <v>27.692299999999999</v>
      </c>
      <c r="L793" s="59">
        <f>14.8951 * CHOOSE(CONTROL!$C$27, $C$14, 100%, $E$14)</f>
        <v>14.895099999999999</v>
      </c>
      <c r="M793" s="59">
        <f>14.902 * CHOOSE(CONTROL!$C$27, $C$14, 100%, $E$14)</f>
        <v>14.901999999999999</v>
      </c>
      <c r="N793" s="59">
        <f>14.8951 * CHOOSE(CONTROL!$C$27, $C$14, 100%, $E$14)</f>
        <v>14.895099999999999</v>
      </c>
      <c r="O793" s="59">
        <f>14.902 * CHOOSE(CONTROL!$C$27, $C$14, 100%, $E$14)</f>
        <v>14.901999999999999</v>
      </c>
    </row>
    <row r="794" spans="1:15" ht="15">
      <c r="A794" s="11">
        <v>65259</v>
      </c>
      <c r="B794" s="58">
        <f>13.1062 * CHOOSE(CONTROL!$C$27, $C$14, 100%, $E$14)</f>
        <v>13.106199999999999</v>
      </c>
      <c r="C794" s="58">
        <f>13.1062 * CHOOSE(CONTROL!$C$27, $C$14, 100%, $E$14)</f>
        <v>13.106199999999999</v>
      </c>
      <c r="D794" s="58">
        <f>13.1118 * CHOOSE(CONTROL!$C$27, $C$14, 100%, $E$14)</f>
        <v>13.111800000000001</v>
      </c>
      <c r="E794" s="59">
        <f>14.8655 * CHOOSE(CONTROL!$C$27, $C$14, 100%, $E$14)</f>
        <v>14.865500000000001</v>
      </c>
      <c r="F794" s="59">
        <f>14.8655 * CHOOSE(CONTROL!$C$27, $C$14, 100%, $E$14)</f>
        <v>14.865500000000001</v>
      </c>
      <c r="G794" s="59">
        <f>14.8724 * CHOOSE(CONTROL!$C$27, $C$14, 100%, $E$14)</f>
        <v>14.872400000000001</v>
      </c>
      <c r="H794" s="59">
        <f>27.7431* CHOOSE(CONTROL!$C$27, $C$14, 100%, $E$14)</f>
        <v>27.743099999999998</v>
      </c>
      <c r="I794" s="59">
        <f>27.75 * CHOOSE(CONTROL!$C$27, $C$14, 100%, $E$14)</f>
        <v>27.75</v>
      </c>
      <c r="J794" s="59">
        <f>27.7431 * CHOOSE(CONTROL!$C$27, $C$14, 100%, $E$14)</f>
        <v>27.743099999999998</v>
      </c>
      <c r="K794" s="59">
        <f>27.75 * CHOOSE(CONTROL!$C$27, $C$14, 100%, $E$14)</f>
        <v>27.75</v>
      </c>
      <c r="L794" s="59">
        <f>14.8655 * CHOOSE(CONTROL!$C$27, $C$14, 100%, $E$14)</f>
        <v>14.865500000000001</v>
      </c>
      <c r="M794" s="59">
        <f>14.8724 * CHOOSE(CONTROL!$C$27, $C$14, 100%, $E$14)</f>
        <v>14.872400000000001</v>
      </c>
      <c r="N794" s="59">
        <f>14.8655 * CHOOSE(CONTROL!$C$27, $C$14, 100%, $E$14)</f>
        <v>14.865500000000001</v>
      </c>
      <c r="O794" s="59">
        <f>14.8724 * CHOOSE(CONTROL!$C$27, $C$14, 100%, $E$14)</f>
        <v>14.872400000000001</v>
      </c>
    </row>
    <row r="795" spans="1:15" ht="15">
      <c r="A795" s="11">
        <v>65289</v>
      </c>
      <c r="B795" s="58">
        <f>13.1306 * CHOOSE(CONTROL!$C$27, $C$14, 100%, $E$14)</f>
        <v>13.130599999999999</v>
      </c>
      <c r="C795" s="58">
        <f>13.1306 * CHOOSE(CONTROL!$C$27, $C$14, 100%, $E$14)</f>
        <v>13.130599999999999</v>
      </c>
      <c r="D795" s="58">
        <f>13.1346 * CHOOSE(CONTROL!$C$27, $C$14, 100%, $E$14)</f>
        <v>13.134600000000001</v>
      </c>
      <c r="E795" s="59">
        <f>14.9621 * CHOOSE(CONTROL!$C$27, $C$14, 100%, $E$14)</f>
        <v>14.9621</v>
      </c>
      <c r="F795" s="59">
        <f>14.9621 * CHOOSE(CONTROL!$C$27, $C$14, 100%, $E$14)</f>
        <v>14.9621</v>
      </c>
      <c r="G795" s="59">
        <f>14.967 * CHOOSE(CONTROL!$C$27, $C$14, 100%, $E$14)</f>
        <v>14.967000000000001</v>
      </c>
      <c r="H795" s="59">
        <f>27.8009* CHOOSE(CONTROL!$C$27, $C$14, 100%, $E$14)</f>
        <v>27.800899999999999</v>
      </c>
      <c r="I795" s="59">
        <f>27.8058 * CHOOSE(CONTROL!$C$27, $C$14, 100%, $E$14)</f>
        <v>27.805800000000001</v>
      </c>
      <c r="J795" s="59">
        <f>27.8009 * CHOOSE(CONTROL!$C$27, $C$14, 100%, $E$14)</f>
        <v>27.800899999999999</v>
      </c>
      <c r="K795" s="59">
        <f>27.8058 * CHOOSE(CONTROL!$C$27, $C$14, 100%, $E$14)</f>
        <v>27.805800000000001</v>
      </c>
      <c r="L795" s="59">
        <f>14.9621 * CHOOSE(CONTROL!$C$27, $C$14, 100%, $E$14)</f>
        <v>14.9621</v>
      </c>
      <c r="M795" s="59">
        <f>14.967 * CHOOSE(CONTROL!$C$27, $C$14, 100%, $E$14)</f>
        <v>14.967000000000001</v>
      </c>
      <c r="N795" s="59">
        <f>14.9621 * CHOOSE(CONTROL!$C$27, $C$14, 100%, $E$14)</f>
        <v>14.9621</v>
      </c>
      <c r="O795" s="59">
        <f>14.967 * CHOOSE(CONTROL!$C$27, $C$14, 100%, $E$14)</f>
        <v>14.967000000000001</v>
      </c>
    </row>
    <row r="796" spans="1:15" ht="15">
      <c r="A796" s="11">
        <v>65320</v>
      </c>
      <c r="B796" s="58">
        <f>13.1336 * CHOOSE(CONTROL!$C$27, $C$14, 100%, $E$14)</f>
        <v>13.133599999999999</v>
      </c>
      <c r="C796" s="58">
        <f>13.1336 * CHOOSE(CONTROL!$C$27, $C$14, 100%, $E$14)</f>
        <v>13.133599999999999</v>
      </c>
      <c r="D796" s="58">
        <f>13.1376 * CHOOSE(CONTROL!$C$27, $C$14, 100%, $E$14)</f>
        <v>13.137600000000001</v>
      </c>
      <c r="E796" s="59">
        <f>15.0192 * CHOOSE(CONTROL!$C$27, $C$14, 100%, $E$14)</f>
        <v>15.0192</v>
      </c>
      <c r="F796" s="59">
        <f>15.0192 * CHOOSE(CONTROL!$C$27, $C$14, 100%, $E$14)</f>
        <v>15.0192</v>
      </c>
      <c r="G796" s="59">
        <f>15.0242 * CHOOSE(CONTROL!$C$27, $C$14, 100%, $E$14)</f>
        <v>15.0242</v>
      </c>
      <c r="H796" s="59">
        <f>27.8588* CHOOSE(CONTROL!$C$27, $C$14, 100%, $E$14)</f>
        <v>27.858799999999999</v>
      </c>
      <c r="I796" s="59">
        <f>27.8637 * CHOOSE(CONTROL!$C$27, $C$14, 100%, $E$14)</f>
        <v>27.863700000000001</v>
      </c>
      <c r="J796" s="59">
        <f>27.8588 * CHOOSE(CONTROL!$C$27, $C$14, 100%, $E$14)</f>
        <v>27.858799999999999</v>
      </c>
      <c r="K796" s="59">
        <f>27.8637 * CHOOSE(CONTROL!$C$27, $C$14, 100%, $E$14)</f>
        <v>27.863700000000001</v>
      </c>
      <c r="L796" s="59">
        <f>15.0192 * CHOOSE(CONTROL!$C$27, $C$14, 100%, $E$14)</f>
        <v>15.0192</v>
      </c>
      <c r="M796" s="59">
        <f>15.0242 * CHOOSE(CONTROL!$C$27, $C$14, 100%, $E$14)</f>
        <v>15.0242</v>
      </c>
      <c r="N796" s="59">
        <f>15.0192 * CHOOSE(CONTROL!$C$27, $C$14, 100%, $E$14)</f>
        <v>15.0192</v>
      </c>
      <c r="O796" s="59">
        <f>15.0242 * CHOOSE(CONTROL!$C$27, $C$14, 100%, $E$14)</f>
        <v>15.0242</v>
      </c>
    </row>
    <row r="797" spans="1:15" ht="15">
      <c r="A797" s="11">
        <v>65350</v>
      </c>
      <c r="B797" s="58">
        <f>13.1336 * CHOOSE(CONTROL!$C$27, $C$14, 100%, $E$14)</f>
        <v>13.133599999999999</v>
      </c>
      <c r="C797" s="58">
        <f>13.1336 * CHOOSE(CONTROL!$C$27, $C$14, 100%, $E$14)</f>
        <v>13.133599999999999</v>
      </c>
      <c r="D797" s="58">
        <f>13.1376 * CHOOSE(CONTROL!$C$27, $C$14, 100%, $E$14)</f>
        <v>13.137600000000001</v>
      </c>
      <c r="E797" s="59">
        <f>14.8817 * CHOOSE(CONTROL!$C$27, $C$14, 100%, $E$14)</f>
        <v>14.8817</v>
      </c>
      <c r="F797" s="59">
        <f>14.8817 * CHOOSE(CONTROL!$C$27, $C$14, 100%, $E$14)</f>
        <v>14.8817</v>
      </c>
      <c r="G797" s="59">
        <f>14.8866 * CHOOSE(CONTROL!$C$27, $C$14, 100%, $E$14)</f>
        <v>14.8866</v>
      </c>
      <c r="H797" s="59">
        <f>27.9168* CHOOSE(CONTROL!$C$27, $C$14, 100%, $E$14)</f>
        <v>27.916799999999999</v>
      </c>
      <c r="I797" s="59">
        <f>27.9218 * CHOOSE(CONTROL!$C$27, $C$14, 100%, $E$14)</f>
        <v>27.921800000000001</v>
      </c>
      <c r="J797" s="59">
        <f>27.9168 * CHOOSE(CONTROL!$C$27, $C$14, 100%, $E$14)</f>
        <v>27.916799999999999</v>
      </c>
      <c r="K797" s="59">
        <f>27.9218 * CHOOSE(CONTROL!$C$27, $C$14, 100%, $E$14)</f>
        <v>27.921800000000001</v>
      </c>
      <c r="L797" s="59">
        <f>14.8817 * CHOOSE(CONTROL!$C$27, $C$14, 100%, $E$14)</f>
        <v>14.8817</v>
      </c>
      <c r="M797" s="59">
        <f>14.8866 * CHOOSE(CONTROL!$C$27, $C$14, 100%, $E$14)</f>
        <v>14.8866</v>
      </c>
      <c r="N797" s="59">
        <f>14.8817 * CHOOSE(CONTROL!$C$27, $C$14, 100%, $E$14)</f>
        <v>14.8817</v>
      </c>
      <c r="O797" s="59">
        <f>14.8866 * CHOOSE(CONTROL!$C$27, $C$14, 100%, $E$14)</f>
        <v>14.8866</v>
      </c>
    </row>
    <row r="798" spans="1:15" ht="15">
      <c r="A798" s="11">
        <v>65381</v>
      </c>
      <c r="B798" s="58">
        <f>13.1365 * CHOOSE(CONTROL!$C$27, $C$14, 100%, $E$14)</f>
        <v>13.1365</v>
      </c>
      <c r="C798" s="58">
        <f>13.1365 * CHOOSE(CONTROL!$C$27, $C$14, 100%, $E$14)</f>
        <v>13.1365</v>
      </c>
      <c r="D798" s="58">
        <f>13.1405 * CHOOSE(CONTROL!$C$27, $C$14, 100%, $E$14)</f>
        <v>13.140499999999999</v>
      </c>
      <c r="E798" s="59">
        <f>14.9941 * CHOOSE(CONTROL!$C$27, $C$14, 100%, $E$14)</f>
        <v>14.9941</v>
      </c>
      <c r="F798" s="59">
        <f>14.9941 * CHOOSE(CONTROL!$C$27, $C$14, 100%, $E$14)</f>
        <v>14.9941</v>
      </c>
      <c r="G798" s="59">
        <f>14.999 * CHOOSE(CONTROL!$C$27, $C$14, 100%, $E$14)</f>
        <v>14.999000000000001</v>
      </c>
      <c r="H798" s="59">
        <f>27.7676* CHOOSE(CONTROL!$C$27, $C$14, 100%, $E$14)</f>
        <v>27.767600000000002</v>
      </c>
      <c r="I798" s="59">
        <f>27.7725 * CHOOSE(CONTROL!$C$27, $C$14, 100%, $E$14)</f>
        <v>27.772500000000001</v>
      </c>
      <c r="J798" s="59">
        <f>27.7676 * CHOOSE(CONTROL!$C$27, $C$14, 100%, $E$14)</f>
        <v>27.767600000000002</v>
      </c>
      <c r="K798" s="59">
        <f>27.7725 * CHOOSE(CONTROL!$C$27, $C$14, 100%, $E$14)</f>
        <v>27.772500000000001</v>
      </c>
      <c r="L798" s="59">
        <f>14.9941 * CHOOSE(CONTROL!$C$27, $C$14, 100%, $E$14)</f>
        <v>14.9941</v>
      </c>
      <c r="M798" s="59">
        <f>14.999 * CHOOSE(CONTROL!$C$27, $C$14, 100%, $E$14)</f>
        <v>14.999000000000001</v>
      </c>
      <c r="N798" s="59">
        <f>14.9941 * CHOOSE(CONTROL!$C$27, $C$14, 100%, $E$14)</f>
        <v>14.9941</v>
      </c>
      <c r="O798" s="59">
        <f>14.999 * CHOOSE(CONTROL!$C$27, $C$14, 100%, $E$14)</f>
        <v>14.999000000000001</v>
      </c>
    </row>
    <row r="799" spans="1:15" ht="15">
      <c r="A799" s="11">
        <v>65412</v>
      </c>
      <c r="B799" s="58">
        <f>13.1334 * CHOOSE(CONTROL!$C$27, $C$14, 100%, $E$14)</f>
        <v>13.1334</v>
      </c>
      <c r="C799" s="58">
        <f>13.1334 * CHOOSE(CONTROL!$C$27, $C$14, 100%, $E$14)</f>
        <v>13.1334</v>
      </c>
      <c r="D799" s="58">
        <f>13.1374 * CHOOSE(CONTROL!$C$27, $C$14, 100%, $E$14)</f>
        <v>13.1374</v>
      </c>
      <c r="E799" s="59">
        <f>14.7271 * CHOOSE(CONTROL!$C$27, $C$14, 100%, $E$14)</f>
        <v>14.7271</v>
      </c>
      <c r="F799" s="59">
        <f>14.7271 * CHOOSE(CONTROL!$C$27, $C$14, 100%, $E$14)</f>
        <v>14.7271</v>
      </c>
      <c r="G799" s="59">
        <f>14.732 * CHOOSE(CONTROL!$C$27, $C$14, 100%, $E$14)</f>
        <v>14.731999999999999</v>
      </c>
      <c r="H799" s="59">
        <f>27.8254* CHOOSE(CONTROL!$C$27, $C$14, 100%, $E$14)</f>
        <v>27.825399999999998</v>
      </c>
      <c r="I799" s="59">
        <f>27.8303 * CHOOSE(CONTROL!$C$27, $C$14, 100%, $E$14)</f>
        <v>27.830300000000001</v>
      </c>
      <c r="J799" s="59">
        <f>27.8254 * CHOOSE(CONTROL!$C$27, $C$14, 100%, $E$14)</f>
        <v>27.825399999999998</v>
      </c>
      <c r="K799" s="59">
        <f>27.8303 * CHOOSE(CONTROL!$C$27, $C$14, 100%, $E$14)</f>
        <v>27.830300000000001</v>
      </c>
      <c r="L799" s="59">
        <f>14.7271 * CHOOSE(CONTROL!$C$27, $C$14, 100%, $E$14)</f>
        <v>14.7271</v>
      </c>
      <c r="M799" s="59">
        <f>14.732 * CHOOSE(CONTROL!$C$27, $C$14, 100%, $E$14)</f>
        <v>14.731999999999999</v>
      </c>
      <c r="N799" s="59">
        <f>14.7271 * CHOOSE(CONTROL!$C$27, $C$14, 100%, $E$14)</f>
        <v>14.7271</v>
      </c>
      <c r="O799" s="59">
        <f>14.732 * CHOOSE(CONTROL!$C$27, $C$14, 100%, $E$14)</f>
        <v>14.731999999999999</v>
      </c>
    </row>
    <row r="800" spans="1:15" ht="15">
      <c r="A800" s="11">
        <v>65440</v>
      </c>
      <c r="B800" s="58">
        <f>13.1304 * CHOOSE(CONTROL!$C$27, $C$14, 100%, $E$14)</f>
        <v>13.1304</v>
      </c>
      <c r="C800" s="58">
        <f>13.1304 * CHOOSE(CONTROL!$C$27, $C$14, 100%, $E$14)</f>
        <v>13.1304</v>
      </c>
      <c r="D800" s="58">
        <f>13.1344 * CHOOSE(CONTROL!$C$27, $C$14, 100%, $E$14)</f>
        <v>13.134399999999999</v>
      </c>
      <c r="E800" s="59">
        <f>14.9338 * CHOOSE(CONTROL!$C$27, $C$14, 100%, $E$14)</f>
        <v>14.9338</v>
      </c>
      <c r="F800" s="59">
        <f>14.9338 * CHOOSE(CONTROL!$C$27, $C$14, 100%, $E$14)</f>
        <v>14.9338</v>
      </c>
      <c r="G800" s="59">
        <f>14.9387 * CHOOSE(CONTROL!$C$27, $C$14, 100%, $E$14)</f>
        <v>14.938700000000001</v>
      </c>
      <c r="H800" s="59">
        <f>27.8834* CHOOSE(CONTROL!$C$27, $C$14, 100%, $E$14)</f>
        <v>27.883400000000002</v>
      </c>
      <c r="I800" s="59">
        <f>27.8883 * CHOOSE(CONTROL!$C$27, $C$14, 100%, $E$14)</f>
        <v>27.888300000000001</v>
      </c>
      <c r="J800" s="59">
        <f>27.8834 * CHOOSE(CONTROL!$C$27, $C$14, 100%, $E$14)</f>
        <v>27.883400000000002</v>
      </c>
      <c r="K800" s="59">
        <f>27.8883 * CHOOSE(CONTROL!$C$27, $C$14, 100%, $E$14)</f>
        <v>27.888300000000001</v>
      </c>
      <c r="L800" s="59">
        <f>14.9338 * CHOOSE(CONTROL!$C$27, $C$14, 100%, $E$14)</f>
        <v>14.9338</v>
      </c>
      <c r="M800" s="59">
        <f>14.9387 * CHOOSE(CONTROL!$C$27, $C$14, 100%, $E$14)</f>
        <v>14.938700000000001</v>
      </c>
      <c r="N800" s="59">
        <f>14.9338 * CHOOSE(CONTROL!$C$27, $C$14, 100%, $E$14)</f>
        <v>14.9338</v>
      </c>
      <c r="O800" s="59">
        <f>14.9387 * CHOOSE(CONTROL!$C$27, $C$14, 100%, $E$14)</f>
        <v>14.938700000000001</v>
      </c>
    </row>
    <row r="801" spans="1:15" ht="15">
      <c r="A801" s="11">
        <v>65471</v>
      </c>
      <c r="B801" s="58">
        <f>13.1357 * CHOOSE(CONTROL!$C$27, $C$14, 100%, $E$14)</f>
        <v>13.1357</v>
      </c>
      <c r="C801" s="58">
        <f>13.1357 * CHOOSE(CONTROL!$C$27, $C$14, 100%, $E$14)</f>
        <v>13.1357</v>
      </c>
      <c r="D801" s="58">
        <f>13.1397 * CHOOSE(CONTROL!$C$27, $C$14, 100%, $E$14)</f>
        <v>13.139699999999999</v>
      </c>
      <c r="E801" s="59">
        <f>15.1538 * CHOOSE(CONTROL!$C$27, $C$14, 100%, $E$14)</f>
        <v>15.1538</v>
      </c>
      <c r="F801" s="59">
        <f>15.1538 * CHOOSE(CONTROL!$C$27, $C$14, 100%, $E$14)</f>
        <v>15.1538</v>
      </c>
      <c r="G801" s="59">
        <f>15.1587 * CHOOSE(CONTROL!$C$27, $C$14, 100%, $E$14)</f>
        <v>15.1587</v>
      </c>
      <c r="H801" s="59">
        <f>27.9415* CHOOSE(CONTROL!$C$27, $C$14, 100%, $E$14)</f>
        <v>27.941500000000001</v>
      </c>
      <c r="I801" s="59">
        <f>27.9464 * CHOOSE(CONTROL!$C$27, $C$14, 100%, $E$14)</f>
        <v>27.946400000000001</v>
      </c>
      <c r="J801" s="59">
        <f>27.9415 * CHOOSE(CONTROL!$C$27, $C$14, 100%, $E$14)</f>
        <v>27.941500000000001</v>
      </c>
      <c r="K801" s="59">
        <f>27.9464 * CHOOSE(CONTROL!$C$27, $C$14, 100%, $E$14)</f>
        <v>27.946400000000001</v>
      </c>
      <c r="L801" s="59">
        <f>15.1538 * CHOOSE(CONTROL!$C$27, $C$14, 100%, $E$14)</f>
        <v>15.1538</v>
      </c>
      <c r="M801" s="59">
        <f>15.1587 * CHOOSE(CONTROL!$C$27, $C$14, 100%, $E$14)</f>
        <v>15.1587</v>
      </c>
      <c r="N801" s="59">
        <f>15.1538 * CHOOSE(CONTROL!$C$27, $C$14, 100%, $E$14)</f>
        <v>15.1538</v>
      </c>
      <c r="O801" s="59">
        <f>15.1587 * CHOOSE(CONTROL!$C$27, $C$14, 100%, $E$14)</f>
        <v>15.1587</v>
      </c>
    </row>
    <row r="802" spans="1:15" ht="15">
      <c r="A802" s="11">
        <v>65501</v>
      </c>
      <c r="B802" s="58">
        <f>13.1357 * CHOOSE(CONTROL!$C$27, $C$14, 100%, $E$14)</f>
        <v>13.1357</v>
      </c>
      <c r="C802" s="58">
        <f>13.1357 * CHOOSE(CONTROL!$C$27, $C$14, 100%, $E$14)</f>
        <v>13.1357</v>
      </c>
      <c r="D802" s="58">
        <f>13.1413 * CHOOSE(CONTROL!$C$27, $C$14, 100%, $E$14)</f>
        <v>13.141299999999999</v>
      </c>
      <c r="E802" s="59">
        <f>15.2378 * CHOOSE(CONTROL!$C$27, $C$14, 100%, $E$14)</f>
        <v>15.2378</v>
      </c>
      <c r="F802" s="59">
        <f>15.2378 * CHOOSE(CONTROL!$C$27, $C$14, 100%, $E$14)</f>
        <v>15.2378</v>
      </c>
      <c r="G802" s="59">
        <f>15.2447 * CHOOSE(CONTROL!$C$27, $C$14, 100%, $E$14)</f>
        <v>15.2447</v>
      </c>
      <c r="H802" s="59">
        <f>27.9997* CHOOSE(CONTROL!$C$27, $C$14, 100%, $E$14)</f>
        <v>27.999700000000001</v>
      </c>
      <c r="I802" s="59">
        <f>28.0066 * CHOOSE(CONTROL!$C$27, $C$14, 100%, $E$14)</f>
        <v>28.006599999999999</v>
      </c>
      <c r="J802" s="59">
        <f>27.9997 * CHOOSE(CONTROL!$C$27, $C$14, 100%, $E$14)</f>
        <v>27.999700000000001</v>
      </c>
      <c r="K802" s="59">
        <f>28.0066 * CHOOSE(CONTROL!$C$27, $C$14, 100%, $E$14)</f>
        <v>28.006599999999999</v>
      </c>
      <c r="L802" s="59">
        <f>15.2378 * CHOOSE(CONTROL!$C$27, $C$14, 100%, $E$14)</f>
        <v>15.2378</v>
      </c>
      <c r="M802" s="59">
        <f>15.2447 * CHOOSE(CONTROL!$C$27, $C$14, 100%, $E$14)</f>
        <v>15.2447</v>
      </c>
      <c r="N802" s="59">
        <f>15.2378 * CHOOSE(CONTROL!$C$27, $C$14, 100%, $E$14)</f>
        <v>15.2378</v>
      </c>
      <c r="O802" s="59">
        <f>15.2447 * CHOOSE(CONTROL!$C$27, $C$14, 100%, $E$14)</f>
        <v>15.2447</v>
      </c>
    </row>
    <row r="803" spans="1:15" ht="15">
      <c r="A803" s="11">
        <v>65532</v>
      </c>
      <c r="B803" s="58">
        <f>13.1418 * CHOOSE(CONTROL!$C$27, $C$14, 100%, $E$14)</f>
        <v>13.1418</v>
      </c>
      <c r="C803" s="58">
        <f>13.1418 * CHOOSE(CONTROL!$C$27, $C$14, 100%, $E$14)</f>
        <v>13.1418</v>
      </c>
      <c r="D803" s="58">
        <f>13.1474 * CHOOSE(CONTROL!$C$27, $C$14, 100%, $E$14)</f>
        <v>13.147399999999999</v>
      </c>
      <c r="E803" s="59">
        <f>15.158 * CHOOSE(CONTROL!$C$27, $C$14, 100%, $E$14)</f>
        <v>15.157999999999999</v>
      </c>
      <c r="F803" s="59">
        <f>15.158 * CHOOSE(CONTROL!$C$27, $C$14, 100%, $E$14)</f>
        <v>15.157999999999999</v>
      </c>
      <c r="G803" s="59">
        <f>15.1649 * CHOOSE(CONTROL!$C$27, $C$14, 100%, $E$14)</f>
        <v>15.164899999999999</v>
      </c>
      <c r="H803" s="59">
        <f>28.058* CHOOSE(CONTROL!$C$27, $C$14, 100%, $E$14)</f>
        <v>28.058</v>
      </c>
      <c r="I803" s="59">
        <f>28.0649 * CHOOSE(CONTROL!$C$27, $C$14, 100%, $E$14)</f>
        <v>28.064900000000002</v>
      </c>
      <c r="J803" s="59">
        <f>28.058 * CHOOSE(CONTROL!$C$27, $C$14, 100%, $E$14)</f>
        <v>28.058</v>
      </c>
      <c r="K803" s="59">
        <f>28.0649 * CHOOSE(CONTROL!$C$27, $C$14, 100%, $E$14)</f>
        <v>28.064900000000002</v>
      </c>
      <c r="L803" s="59">
        <f>15.158 * CHOOSE(CONTROL!$C$27, $C$14, 100%, $E$14)</f>
        <v>15.157999999999999</v>
      </c>
      <c r="M803" s="59">
        <f>15.1649 * CHOOSE(CONTROL!$C$27, $C$14, 100%, $E$14)</f>
        <v>15.164899999999999</v>
      </c>
      <c r="N803" s="59">
        <f>15.158 * CHOOSE(CONTROL!$C$27, $C$14, 100%, $E$14)</f>
        <v>15.157999999999999</v>
      </c>
      <c r="O803" s="59">
        <f>15.1649 * CHOOSE(CONTROL!$C$27, $C$14, 100%, $E$14)</f>
        <v>15.164899999999999</v>
      </c>
    </row>
    <row r="804" spans="1:15" ht="15">
      <c r="A804" s="11">
        <v>65562</v>
      </c>
      <c r="B804" s="58">
        <f>13.3417 * CHOOSE(CONTROL!$C$27, $C$14, 100%, $E$14)</f>
        <v>13.341699999999999</v>
      </c>
      <c r="C804" s="58">
        <f>13.3417 * CHOOSE(CONTROL!$C$27, $C$14, 100%, $E$14)</f>
        <v>13.341699999999999</v>
      </c>
      <c r="D804" s="58">
        <f>13.3473 * CHOOSE(CONTROL!$C$27, $C$14, 100%, $E$14)</f>
        <v>13.347300000000001</v>
      </c>
      <c r="E804" s="59">
        <f>15.3998 * CHOOSE(CONTROL!$C$27, $C$14, 100%, $E$14)</f>
        <v>15.399800000000001</v>
      </c>
      <c r="F804" s="59">
        <f>15.3998 * CHOOSE(CONTROL!$C$27, $C$14, 100%, $E$14)</f>
        <v>15.399800000000001</v>
      </c>
      <c r="G804" s="59">
        <f>15.4067 * CHOOSE(CONTROL!$C$27, $C$14, 100%, $E$14)</f>
        <v>15.406700000000001</v>
      </c>
      <c r="H804" s="59">
        <f>28.1165* CHOOSE(CONTROL!$C$27, $C$14, 100%, $E$14)</f>
        <v>28.116499999999998</v>
      </c>
      <c r="I804" s="59">
        <f>28.1233 * CHOOSE(CONTROL!$C$27, $C$14, 100%, $E$14)</f>
        <v>28.1233</v>
      </c>
      <c r="J804" s="59">
        <f>28.1165 * CHOOSE(CONTROL!$C$27, $C$14, 100%, $E$14)</f>
        <v>28.116499999999998</v>
      </c>
      <c r="K804" s="59">
        <f>28.1233 * CHOOSE(CONTROL!$C$27, $C$14, 100%, $E$14)</f>
        <v>28.1233</v>
      </c>
      <c r="L804" s="59">
        <f>15.3998 * CHOOSE(CONTROL!$C$27, $C$14, 100%, $E$14)</f>
        <v>15.399800000000001</v>
      </c>
      <c r="M804" s="59">
        <f>15.4067 * CHOOSE(CONTROL!$C$27, $C$14, 100%, $E$14)</f>
        <v>15.406700000000001</v>
      </c>
      <c r="N804" s="59">
        <f>15.3998 * CHOOSE(CONTROL!$C$27, $C$14, 100%, $E$14)</f>
        <v>15.399800000000001</v>
      </c>
      <c r="O804" s="59">
        <f>15.4067 * CHOOSE(CONTROL!$C$27, $C$14, 100%, $E$14)</f>
        <v>15.406700000000001</v>
      </c>
    </row>
    <row r="805" spans="1:15" ht="15">
      <c r="A805" s="11">
        <v>65593</v>
      </c>
      <c r="B805" s="58">
        <f>13.3484 * CHOOSE(CONTROL!$C$27, $C$14, 100%, $E$14)</f>
        <v>13.3484</v>
      </c>
      <c r="C805" s="58">
        <f>13.3484 * CHOOSE(CONTROL!$C$27, $C$14, 100%, $E$14)</f>
        <v>13.3484</v>
      </c>
      <c r="D805" s="58">
        <f>13.354 * CHOOSE(CONTROL!$C$27, $C$14, 100%, $E$14)</f>
        <v>13.353999999999999</v>
      </c>
      <c r="E805" s="59">
        <f>15.1522 * CHOOSE(CONTROL!$C$27, $C$14, 100%, $E$14)</f>
        <v>15.152200000000001</v>
      </c>
      <c r="F805" s="59">
        <f>15.1522 * CHOOSE(CONTROL!$C$27, $C$14, 100%, $E$14)</f>
        <v>15.152200000000001</v>
      </c>
      <c r="G805" s="59">
        <f>15.1591 * CHOOSE(CONTROL!$C$27, $C$14, 100%, $E$14)</f>
        <v>15.1591</v>
      </c>
      <c r="H805" s="59">
        <f>28.175* CHOOSE(CONTROL!$C$27, $C$14, 100%, $E$14)</f>
        <v>28.175000000000001</v>
      </c>
      <c r="I805" s="59">
        <f>28.1819 * CHOOSE(CONTROL!$C$27, $C$14, 100%, $E$14)</f>
        <v>28.181899999999999</v>
      </c>
      <c r="J805" s="59">
        <f>28.175 * CHOOSE(CONTROL!$C$27, $C$14, 100%, $E$14)</f>
        <v>28.175000000000001</v>
      </c>
      <c r="K805" s="59">
        <f>28.1819 * CHOOSE(CONTROL!$C$27, $C$14, 100%, $E$14)</f>
        <v>28.181899999999999</v>
      </c>
      <c r="L805" s="59">
        <f>15.1522 * CHOOSE(CONTROL!$C$27, $C$14, 100%, $E$14)</f>
        <v>15.152200000000001</v>
      </c>
      <c r="M805" s="59">
        <f>15.1591 * CHOOSE(CONTROL!$C$27, $C$14, 100%, $E$14)</f>
        <v>15.1591</v>
      </c>
      <c r="N805" s="59">
        <f>15.1522 * CHOOSE(CONTROL!$C$27, $C$14, 100%, $E$14)</f>
        <v>15.152200000000001</v>
      </c>
      <c r="O805" s="59">
        <f>15.1591 * CHOOSE(CONTROL!$C$27, $C$14, 100%, $E$14)</f>
        <v>15.1591</v>
      </c>
    </row>
    <row r="806" spans="1:15" ht="15">
      <c r="A806" s="11">
        <v>65624</v>
      </c>
      <c r="B806" s="58">
        <f>13.3454 * CHOOSE(CONTROL!$C$27, $C$14, 100%, $E$14)</f>
        <v>13.3454</v>
      </c>
      <c r="C806" s="58">
        <f>13.3454 * CHOOSE(CONTROL!$C$27, $C$14, 100%, $E$14)</f>
        <v>13.3454</v>
      </c>
      <c r="D806" s="58">
        <f>13.351 * CHOOSE(CONTROL!$C$27, $C$14, 100%, $E$14)</f>
        <v>13.351000000000001</v>
      </c>
      <c r="E806" s="59">
        <f>15.1221 * CHOOSE(CONTROL!$C$27, $C$14, 100%, $E$14)</f>
        <v>15.1221</v>
      </c>
      <c r="F806" s="59">
        <f>15.1221 * CHOOSE(CONTROL!$C$27, $C$14, 100%, $E$14)</f>
        <v>15.1221</v>
      </c>
      <c r="G806" s="59">
        <f>15.1289 * CHOOSE(CONTROL!$C$27, $C$14, 100%, $E$14)</f>
        <v>15.1289</v>
      </c>
      <c r="H806" s="59">
        <f>28.2337* CHOOSE(CONTROL!$C$27, $C$14, 100%, $E$14)</f>
        <v>28.233699999999999</v>
      </c>
      <c r="I806" s="59">
        <f>28.2406 * CHOOSE(CONTROL!$C$27, $C$14, 100%, $E$14)</f>
        <v>28.240600000000001</v>
      </c>
      <c r="J806" s="59">
        <f>28.2337 * CHOOSE(CONTROL!$C$27, $C$14, 100%, $E$14)</f>
        <v>28.233699999999999</v>
      </c>
      <c r="K806" s="59">
        <f>28.2406 * CHOOSE(CONTROL!$C$27, $C$14, 100%, $E$14)</f>
        <v>28.240600000000001</v>
      </c>
      <c r="L806" s="59">
        <f>15.1221 * CHOOSE(CONTROL!$C$27, $C$14, 100%, $E$14)</f>
        <v>15.1221</v>
      </c>
      <c r="M806" s="59">
        <f>15.1289 * CHOOSE(CONTROL!$C$27, $C$14, 100%, $E$14)</f>
        <v>15.1289</v>
      </c>
      <c r="N806" s="59">
        <f>15.1221 * CHOOSE(CONTROL!$C$27, $C$14, 100%, $E$14)</f>
        <v>15.1221</v>
      </c>
      <c r="O806" s="59">
        <f>15.1289 * CHOOSE(CONTROL!$C$27, $C$14, 100%, $E$14)</f>
        <v>15.1289</v>
      </c>
    </row>
    <row r="807" spans="1:15" ht="15">
      <c r="A807" s="11">
        <v>65654</v>
      </c>
      <c r="B807" s="58">
        <f>13.3705 * CHOOSE(CONTROL!$C$27, $C$14, 100%, $E$14)</f>
        <v>13.3705</v>
      </c>
      <c r="C807" s="58">
        <f>13.3705 * CHOOSE(CONTROL!$C$27, $C$14, 100%, $E$14)</f>
        <v>13.3705</v>
      </c>
      <c r="D807" s="58">
        <f>13.3745 * CHOOSE(CONTROL!$C$27, $C$14, 100%, $E$14)</f>
        <v>13.374499999999999</v>
      </c>
      <c r="E807" s="59">
        <f>15.2207 * CHOOSE(CONTROL!$C$27, $C$14, 100%, $E$14)</f>
        <v>15.220700000000001</v>
      </c>
      <c r="F807" s="59">
        <f>15.2207 * CHOOSE(CONTROL!$C$27, $C$14, 100%, $E$14)</f>
        <v>15.220700000000001</v>
      </c>
      <c r="G807" s="59">
        <f>15.2257 * CHOOSE(CONTROL!$C$27, $C$14, 100%, $E$14)</f>
        <v>15.2257</v>
      </c>
      <c r="H807" s="59">
        <f>28.2926* CHOOSE(CONTROL!$C$27, $C$14, 100%, $E$14)</f>
        <v>28.2926</v>
      </c>
      <c r="I807" s="59">
        <f>28.2975 * CHOOSE(CONTROL!$C$27, $C$14, 100%, $E$14)</f>
        <v>28.297499999999999</v>
      </c>
      <c r="J807" s="59">
        <f>28.2926 * CHOOSE(CONTROL!$C$27, $C$14, 100%, $E$14)</f>
        <v>28.2926</v>
      </c>
      <c r="K807" s="59">
        <f>28.2975 * CHOOSE(CONTROL!$C$27, $C$14, 100%, $E$14)</f>
        <v>28.297499999999999</v>
      </c>
      <c r="L807" s="59">
        <f>15.2207 * CHOOSE(CONTROL!$C$27, $C$14, 100%, $E$14)</f>
        <v>15.220700000000001</v>
      </c>
      <c r="M807" s="59">
        <f>15.2257 * CHOOSE(CONTROL!$C$27, $C$14, 100%, $E$14)</f>
        <v>15.2257</v>
      </c>
      <c r="N807" s="59">
        <f>15.2207 * CHOOSE(CONTROL!$C$27, $C$14, 100%, $E$14)</f>
        <v>15.220700000000001</v>
      </c>
      <c r="O807" s="59">
        <f>15.2257 * CHOOSE(CONTROL!$C$27, $C$14, 100%, $E$14)</f>
        <v>15.2257</v>
      </c>
    </row>
    <row r="808" spans="1:15" ht="15">
      <c r="A808" s="11">
        <v>65685</v>
      </c>
      <c r="B808" s="58">
        <f>13.3736 * CHOOSE(CONTROL!$C$27, $C$14, 100%, $E$14)</f>
        <v>13.3736</v>
      </c>
      <c r="C808" s="58">
        <f>13.3736 * CHOOSE(CONTROL!$C$27, $C$14, 100%, $E$14)</f>
        <v>13.3736</v>
      </c>
      <c r="D808" s="58">
        <f>13.3776 * CHOOSE(CONTROL!$C$27, $C$14, 100%, $E$14)</f>
        <v>13.377599999999999</v>
      </c>
      <c r="E808" s="59">
        <f>15.2789 * CHOOSE(CONTROL!$C$27, $C$14, 100%, $E$14)</f>
        <v>15.2789</v>
      </c>
      <c r="F808" s="59">
        <f>15.2789 * CHOOSE(CONTROL!$C$27, $C$14, 100%, $E$14)</f>
        <v>15.2789</v>
      </c>
      <c r="G808" s="59">
        <f>15.2838 * CHOOSE(CONTROL!$C$27, $C$14, 100%, $E$14)</f>
        <v>15.283799999999999</v>
      </c>
      <c r="H808" s="59">
        <f>28.3515* CHOOSE(CONTROL!$C$27, $C$14, 100%, $E$14)</f>
        <v>28.351500000000001</v>
      </c>
      <c r="I808" s="59">
        <f>28.3564 * CHOOSE(CONTROL!$C$27, $C$14, 100%, $E$14)</f>
        <v>28.356400000000001</v>
      </c>
      <c r="J808" s="59">
        <f>28.3515 * CHOOSE(CONTROL!$C$27, $C$14, 100%, $E$14)</f>
        <v>28.351500000000001</v>
      </c>
      <c r="K808" s="59">
        <f>28.3564 * CHOOSE(CONTROL!$C$27, $C$14, 100%, $E$14)</f>
        <v>28.356400000000001</v>
      </c>
      <c r="L808" s="59">
        <f>15.2789 * CHOOSE(CONTROL!$C$27, $C$14, 100%, $E$14)</f>
        <v>15.2789</v>
      </c>
      <c r="M808" s="59">
        <f>15.2838 * CHOOSE(CONTROL!$C$27, $C$14, 100%, $E$14)</f>
        <v>15.283799999999999</v>
      </c>
      <c r="N808" s="59">
        <f>15.2789 * CHOOSE(CONTROL!$C$27, $C$14, 100%, $E$14)</f>
        <v>15.2789</v>
      </c>
      <c r="O808" s="59">
        <f>15.2838 * CHOOSE(CONTROL!$C$27, $C$14, 100%, $E$14)</f>
        <v>15.283799999999999</v>
      </c>
    </row>
    <row r="809" spans="1:15" ht="15">
      <c r="A809" s="11">
        <v>65715</v>
      </c>
      <c r="B809" s="58">
        <f>13.3736 * CHOOSE(CONTROL!$C$27, $C$14, 100%, $E$14)</f>
        <v>13.3736</v>
      </c>
      <c r="C809" s="58">
        <f>13.3736 * CHOOSE(CONTROL!$C$27, $C$14, 100%, $E$14)</f>
        <v>13.3736</v>
      </c>
      <c r="D809" s="58">
        <f>13.3776 * CHOOSE(CONTROL!$C$27, $C$14, 100%, $E$14)</f>
        <v>13.377599999999999</v>
      </c>
      <c r="E809" s="59">
        <f>15.1388 * CHOOSE(CONTROL!$C$27, $C$14, 100%, $E$14)</f>
        <v>15.1388</v>
      </c>
      <c r="F809" s="59">
        <f>15.1388 * CHOOSE(CONTROL!$C$27, $C$14, 100%, $E$14)</f>
        <v>15.1388</v>
      </c>
      <c r="G809" s="59">
        <f>15.1437 * CHOOSE(CONTROL!$C$27, $C$14, 100%, $E$14)</f>
        <v>15.143700000000001</v>
      </c>
      <c r="H809" s="59">
        <f>28.4106* CHOOSE(CONTROL!$C$27, $C$14, 100%, $E$14)</f>
        <v>28.410599999999999</v>
      </c>
      <c r="I809" s="59">
        <f>28.4155 * CHOOSE(CONTROL!$C$27, $C$14, 100%, $E$14)</f>
        <v>28.415500000000002</v>
      </c>
      <c r="J809" s="59">
        <f>28.4106 * CHOOSE(CONTROL!$C$27, $C$14, 100%, $E$14)</f>
        <v>28.410599999999999</v>
      </c>
      <c r="K809" s="59">
        <f>28.4155 * CHOOSE(CONTROL!$C$27, $C$14, 100%, $E$14)</f>
        <v>28.415500000000002</v>
      </c>
      <c r="L809" s="59">
        <f>15.1388 * CHOOSE(CONTROL!$C$27, $C$14, 100%, $E$14)</f>
        <v>15.1388</v>
      </c>
      <c r="M809" s="59">
        <f>15.1437 * CHOOSE(CONTROL!$C$27, $C$14, 100%, $E$14)</f>
        <v>15.143700000000001</v>
      </c>
      <c r="N809" s="59">
        <f>15.1388 * CHOOSE(CONTROL!$C$27, $C$14, 100%, $E$14)</f>
        <v>15.1388</v>
      </c>
      <c r="O809" s="59">
        <f>15.1437 * CHOOSE(CONTROL!$C$27, $C$14, 100%, $E$14)</f>
        <v>15.143700000000001</v>
      </c>
    </row>
    <row r="810" spans="1:15" ht="15">
      <c r="A810" s="11">
        <v>65746</v>
      </c>
      <c r="B810" s="58">
        <f>13.372 * CHOOSE(CONTROL!$C$27, $C$14, 100%, $E$14)</f>
        <v>13.372</v>
      </c>
      <c r="C810" s="58">
        <f>13.372 * CHOOSE(CONTROL!$C$27, $C$14, 100%, $E$14)</f>
        <v>13.372</v>
      </c>
      <c r="D810" s="58">
        <f>13.376 * CHOOSE(CONTROL!$C$27, $C$14, 100%, $E$14)</f>
        <v>13.375999999999999</v>
      </c>
      <c r="E810" s="59">
        <f>15.2488 * CHOOSE(CONTROL!$C$27, $C$14, 100%, $E$14)</f>
        <v>15.248799999999999</v>
      </c>
      <c r="F810" s="59">
        <f>15.2488 * CHOOSE(CONTROL!$C$27, $C$14, 100%, $E$14)</f>
        <v>15.248799999999999</v>
      </c>
      <c r="G810" s="59">
        <f>15.2537 * CHOOSE(CONTROL!$C$27, $C$14, 100%, $E$14)</f>
        <v>15.2537</v>
      </c>
      <c r="H810" s="59">
        <f>28.2501* CHOOSE(CONTROL!$C$27, $C$14, 100%, $E$14)</f>
        <v>28.2501</v>
      </c>
      <c r="I810" s="59">
        <f>28.255 * CHOOSE(CONTROL!$C$27, $C$14, 100%, $E$14)</f>
        <v>28.254999999999999</v>
      </c>
      <c r="J810" s="59">
        <f>28.2501 * CHOOSE(CONTROL!$C$27, $C$14, 100%, $E$14)</f>
        <v>28.2501</v>
      </c>
      <c r="K810" s="59">
        <f>28.255 * CHOOSE(CONTROL!$C$27, $C$14, 100%, $E$14)</f>
        <v>28.254999999999999</v>
      </c>
      <c r="L810" s="59">
        <f>15.2488 * CHOOSE(CONTROL!$C$27, $C$14, 100%, $E$14)</f>
        <v>15.248799999999999</v>
      </c>
      <c r="M810" s="59">
        <f>15.2537 * CHOOSE(CONTROL!$C$27, $C$14, 100%, $E$14)</f>
        <v>15.2537</v>
      </c>
      <c r="N810" s="59">
        <f>15.2488 * CHOOSE(CONTROL!$C$27, $C$14, 100%, $E$14)</f>
        <v>15.248799999999999</v>
      </c>
      <c r="O810" s="59">
        <f>15.2537 * CHOOSE(CONTROL!$C$27, $C$14, 100%, $E$14)</f>
        <v>15.2537</v>
      </c>
    </row>
    <row r="811" spans="1:15" ht="15">
      <c r="A811" s="11">
        <v>65777</v>
      </c>
      <c r="B811" s="58">
        <f>13.369 * CHOOSE(CONTROL!$C$27, $C$14, 100%, $E$14)</f>
        <v>13.369</v>
      </c>
      <c r="C811" s="58">
        <f>13.369 * CHOOSE(CONTROL!$C$27, $C$14, 100%, $E$14)</f>
        <v>13.369</v>
      </c>
      <c r="D811" s="58">
        <f>13.373 * CHOOSE(CONTROL!$C$27, $C$14, 100%, $E$14)</f>
        <v>13.372999999999999</v>
      </c>
      <c r="E811" s="59">
        <f>14.9769 * CHOOSE(CONTROL!$C$27, $C$14, 100%, $E$14)</f>
        <v>14.976900000000001</v>
      </c>
      <c r="F811" s="59">
        <f>14.9769 * CHOOSE(CONTROL!$C$27, $C$14, 100%, $E$14)</f>
        <v>14.976900000000001</v>
      </c>
      <c r="G811" s="59">
        <f>14.9818 * CHOOSE(CONTROL!$C$27, $C$14, 100%, $E$14)</f>
        <v>14.9818</v>
      </c>
      <c r="H811" s="59">
        <f>28.309* CHOOSE(CONTROL!$C$27, $C$14, 100%, $E$14)</f>
        <v>28.309000000000001</v>
      </c>
      <c r="I811" s="59">
        <f>28.3139 * CHOOSE(CONTROL!$C$27, $C$14, 100%, $E$14)</f>
        <v>28.3139</v>
      </c>
      <c r="J811" s="59">
        <f>28.309 * CHOOSE(CONTROL!$C$27, $C$14, 100%, $E$14)</f>
        <v>28.309000000000001</v>
      </c>
      <c r="K811" s="59">
        <f>28.3139 * CHOOSE(CONTROL!$C$27, $C$14, 100%, $E$14)</f>
        <v>28.3139</v>
      </c>
      <c r="L811" s="59">
        <f>14.9769 * CHOOSE(CONTROL!$C$27, $C$14, 100%, $E$14)</f>
        <v>14.976900000000001</v>
      </c>
      <c r="M811" s="59">
        <f>14.9818 * CHOOSE(CONTROL!$C$27, $C$14, 100%, $E$14)</f>
        <v>14.9818</v>
      </c>
      <c r="N811" s="59">
        <f>14.9769 * CHOOSE(CONTROL!$C$27, $C$14, 100%, $E$14)</f>
        <v>14.976900000000001</v>
      </c>
      <c r="O811" s="59">
        <f>14.9818 * CHOOSE(CONTROL!$C$27, $C$14, 100%, $E$14)</f>
        <v>14.9818</v>
      </c>
    </row>
    <row r="812" spans="1:15" ht="15">
      <c r="A812" s="11">
        <v>65806</v>
      </c>
      <c r="B812" s="58">
        <f>13.3659 * CHOOSE(CONTROL!$C$27, $C$14, 100%, $E$14)</f>
        <v>13.3659</v>
      </c>
      <c r="C812" s="58">
        <f>13.3659 * CHOOSE(CONTROL!$C$27, $C$14, 100%, $E$14)</f>
        <v>13.3659</v>
      </c>
      <c r="D812" s="58">
        <f>13.3699 * CHOOSE(CONTROL!$C$27, $C$14, 100%, $E$14)</f>
        <v>13.369899999999999</v>
      </c>
      <c r="E812" s="59">
        <f>15.1874 * CHOOSE(CONTROL!$C$27, $C$14, 100%, $E$14)</f>
        <v>15.1874</v>
      </c>
      <c r="F812" s="59">
        <f>15.1874 * CHOOSE(CONTROL!$C$27, $C$14, 100%, $E$14)</f>
        <v>15.1874</v>
      </c>
      <c r="G812" s="59">
        <f>15.1924 * CHOOSE(CONTROL!$C$27, $C$14, 100%, $E$14)</f>
        <v>15.192399999999999</v>
      </c>
      <c r="H812" s="59">
        <f>28.3679* CHOOSE(CONTROL!$C$27, $C$14, 100%, $E$14)</f>
        <v>28.367899999999999</v>
      </c>
      <c r="I812" s="59">
        <f>28.3729 * CHOOSE(CONTROL!$C$27, $C$14, 100%, $E$14)</f>
        <v>28.372900000000001</v>
      </c>
      <c r="J812" s="59">
        <f>28.3679 * CHOOSE(CONTROL!$C$27, $C$14, 100%, $E$14)</f>
        <v>28.367899999999999</v>
      </c>
      <c r="K812" s="59">
        <f>28.3729 * CHOOSE(CONTROL!$C$27, $C$14, 100%, $E$14)</f>
        <v>28.372900000000001</v>
      </c>
      <c r="L812" s="59">
        <f>15.1874 * CHOOSE(CONTROL!$C$27, $C$14, 100%, $E$14)</f>
        <v>15.1874</v>
      </c>
      <c r="M812" s="59">
        <f>15.1924 * CHOOSE(CONTROL!$C$27, $C$14, 100%, $E$14)</f>
        <v>15.192399999999999</v>
      </c>
      <c r="N812" s="59">
        <f>15.1874 * CHOOSE(CONTROL!$C$27, $C$14, 100%, $E$14)</f>
        <v>15.1874</v>
      </c>
      <c r="O812" s="59">
        <f>15.1924 * CHOOSE(CONTROL!$C$27, $C$14, 100%, $E$14)</f>
        <v>15.192399999999999</v>
      </c>
    </row>
    <row r="813" spans="1:15" ht="15">
      <c r="A813" s="11">
        <v>65837</v>
      </c>
      <c r="B813" s="58">
        <f>13.3715 * CHOOSE(CONTROL!$C$27, $C$14, 100%, $E$14)</f>
        <v>13.371499999999999</v>
      </c>
      <c r="C813" s="58">
        <f>13.3715 * CHOOSE(CONTROL!$C$27, $C$14, 100%, $E$14)</f>
        <v>13.371499999999999</v>
      </c>
      <c r="D813" s="58">
        <f>13.3754 * CHOOSE(CONTROL!$C$27, $C$14, 100%, $E$14)</f>
        <v>13.375400000000001</v>
      </c>
      <c r="E813" s="59">
        <f>15.4116 * CHOOSE(CONTROL!$C$27, $C$14, 100%, $E$14)</f>
        <v>15.4116</v>
      </c>
      <c r="F813" s="59">
        <f>15.4116 * CHOOSE(CONTROL!$C$27, $C$14, 100%, $E$14)</f>
        <v>15.4116</v>
      </c>
      <c r="G813" s="59">
        <f>15.4165 * CHOOSE(CONTROL!$C$27, $C$14, 100%, $E$14)</f>
        <v>15.416499999999999</v>
      </c>
      <c r="H813" s="59">
        <f>28.427* CHOOSE(CONTROL!$C$27, $C$14, 100%, $E$14)</f>
        <v>28.427</v>
      </c>
      <c r="I813" s="59">
        <f>28.432 * CHOOSE(CONTROL!$C$27, $C$14, 100%, $E$14)</f>
        <v>28.431999999999999</v>
      </c>
      <c r="J813" s="59">
        <f>28.427 * CHOOSE(CONTROL!$C$27, $C$14, 100%, $E$14)</f>
        <v>28.427</v>
      </c>
      <c r="K813" s="59">
        <f>28.432 * CHOOSE(CONTROL!$C$27, $C$14, 100%, $E$14)</f>
        <v>28.431999999999999</v>
      </c>
      <c r="L813" s="59">
        <f>15.4116 * CHOOSE(CONTROL!$C$27, $C$14, 100%, $E$14)</f>
        <v>15.4116</v>
      </c>
      <c r="M813" s="59">
        <f>15.4165 * CHOOSE(CONTROL!$C$27, $C$14, 100%, $E$14)</f>
        <v>15.416499999999999</v>
      </c>
      <c r="N813" s="59">
        <f>15.4116 * CHOOSE(CONTROL!$C$27, $C$14, 100%, $E$14)</f>
        <v>15.4116</v>
      </c>
      <c r="O813" s="59">
        <f>15.4165 * CHOOSE(CONTROL!$C$27, $C$14, 100%, $E$14)</f>
        <v>15.416499999999999</v>
      </c>
    </row>
    <row r="814" spans="1:15" ht="15">
      <c r="A814" s="11">
        <v>65867</v>
      </c>
      <c r="B814" s="58">
        <f>13.3715 * CHOOSE(CONTROL!$C$27, $C$14, 100%, $E$14)</f>
        <v>13.371499999999999</v>
      </c>
      <c r="C814" s="58">
        <f>13.3715 * CHOOSE(CONTROL!$C$27, $C$14, 100%, $E$14)</f>
        <v>13.371499999999999</v>
      </c>
      <c r="D814" s="58">
        <f>13.3771 * CHOOSE(CONTROL!$C$27, $C$14, 100%, $E$14)</f>
        <v>13.3771</v>
      </c>
      <c r="E814" s="59">
        <f>15.4973 * CHOOSE(CONTROL!$C$27, $C$14, 100%, $E$14)</f>
        <v>15.497299999999999</v>
      </c>
      <c r="F814" s="59">
        <f>15.4973 * CHOOSE(CONTROL!$C$27, $C$14, 100%, $E$14)</f>
        <v>15.497299999999999</v>
      </c>
      <c r="G814" s="59">
        <f>15.5042 * CHOOSE(CONTROL!$C$27, $C$14, 100%, $E$14)</f>
        <v>15.504200000000001</v>
      </c>
      <c r="H814" s="59">
        <f>28.4863* CHOOSE(CONTROL!$C$27, $C$14, 100%, $E$14)</f>
        <v>28.4863</v>
      </c>
      <c r="I814" s="59">
        <f>28.4931 * CHOOSE(CONTROL!$C$27, $C$14, 100%, $E$14)</f>
        <v>28.493099999999998</v>
      </c>
      <c r="J814" s="59">
        <f>28.4863 * CHOOSE(CONTROL!$C$27, $C$14, 100%, $E$14)</f>
        <v>28.4863</v>
      </c>
      <c r="K814" s="59">
        <f>28.4931 * CHOOSE(CONTROL!$C$27, $C$14, 100%, $E$14)</f>
        <v>28.493099999999998</v>
      </c>
      <c r="L814" s="59">
        <f>15.4973 * CHOOSE(CONTROL!$C$27, $C$14, 100%, $E$14)</f>
        <v>15.497299999999999</v>
      </c>
      <c r="M814" s="59">
        <f>15.5042 * CHOOSE(CONTROL!$C$27, $C$14, 100%, $E$14)</f>
        <v>15.504200000000001</v>
      </c>
      <c r="N814" s="59">
        <f>15.4973 * CHOOSE(CONTROL!$C$27, $C$14, 100%, $E$14)</f>
        <v>15.497299999999999</v>
      </c>
      <c r="O814" s="59">
        <f>15.5042 * CHOOSE(CONTROL!$C$27, $C$14, 100%, $E$14)</f>
        <v>15.504200000000001</v>
      </c>
    </row>
    <row r="815" spans="1:15" ht="15">
      <c r="A815" s="11">
        <v>65898</v>
      </c>
      <c r="B815" s="58">
        <f>13.3775 * CHOOSE(CONTROL!$C$27, $C$14, 100%, $E$14)</f>
        <v>13.3775</v>
      </c>
      <c r="C815" s="58">
        <f>13.3775 * CHOOSE(CONTROL!$C$27, $C$14, 100%, $E$14)</f>
        <v>13.3775</v>
      </c>
      <c r="D815" s="58">
        <f>13.3832 * CHOOSE(CONTROL!$C$27, $C$14, 100%, $E$14)</f>
        <v>13.3832</v>
      </c>
      <c r="E815" s="59">
        <f>15.4159 * CHOOSE(CONTROL!$C$27, $C$14, 100%, $E$14)</f>
        <v>15.415900000000001</v>
      </c>
      <c r="F815" s="59">
        <f>15.4159 * CHOOSE(CONTROL!$C$27, $C$14, 100%, $E$14)</f>
        <v>15.415900000000001</v>
      </c>
      <c r="G815" s="59">
        <f>15.4227 * CHOOSE(CONTROL!$C$27, $C$14, 100%, $E$14)</f>
        <v>15.422700000000001</v>
      </c>
      <c r="H815" s="59">
        <f>28.5456* CHOOSE(CONTROL!$C$27, $C$14, 100%, $E$14)</f>
        <v>28.5456</v>
      </c>
      <c r="I815" s="59">
        <f>28.5525 * CHOOSE(CONTROL!$C$27, $C$14, 100%, $E$14)</f>
        <v>28.552499999999998</v>
      </c>
      <c r="J815" s="59">
        <f>28.5456 * CHOOSE(CONTROL!$C$27, $C$14, 100%, $E$14)</f>
        <v>28.5456</v>
      </c>
      <c r="K815" s="59">
        <f>28.5525 * CHOOSE(CONTROL!$C$27, $C$14, 100%, $E$14)</f>
        <v>28.552499999999998</v>
      </c>
      <c r="L815" s="59">
        <f>15.4159 * CHOOSE(CONTROL!$C$27, $C$14, 100%, $E$14)</f>
        <v>15.415900000000001</v>
      </c>
      <c r="M815" s="59">
        <f>15.4227 * CHOOSE(CONTROL!$C$27, $C$14, 100%, $E$14)</f>
        <v>15.422700000000001</v>
      </c>
      <c r="N815" s="59">
        <f>15.4159 * CHOOSE(CONTROL!$C$27, $C$14, 100%, $E$14)</f>
        <v>15.415900000000001</v>
      </c>
      <c r="O815" s="59">
        <f>15.4227 * CHOOSE(CONTROL!$C$27, $C$14, 100%, $E$14)</f>
        <v>15.422700000000001</v>
      </c>
    </row>
    <row r="816" spans="1:15" ht="15">
      <c r="A816" s="11">
        <v>65928</v>
      </c>
      <c r="B816" s="58">
        <f>13.5809 * CHOOSE(CONTROL!$C$27, $C$14, 100%, $E$14)</f>
        <v>13.5809</v>
      </c>
      <c r="C816" s="58">
        <f>13.5809 * CHOOSE(CONTROL!$C$27, $C$14, 100%, $E$14)</f>
        <v>13.5809</v>
      </c>
      <c r="D816" s="58">
        <f>13.5865 * CHOOSE(CONTROL!$C$27, $C$14, 100%, $E$14)</f>
        <v>13.586499999999999</v>
      </c>
      <c r="E816" s="59">
        <f>15.6616 * CHOOSE(CONTROL!$C$27, $C$14, 100%, $E$14)</f>
        <v>15.6616</v>
      </c>
      <c r="F816" s="59">
        <f>15.6616 * CHOOSE(CONTROL!$C$27, $C$14, 100%, $E$14)</f>
        <v>15.6616</v>
      </c>
      <c r="G816" s="59">
        <f>15.6685 * CHOOSE(CONTROL!$C$27, $C$14, 100%, $E$14)</f>
        <v>15.6685</v>
      </c>
      <c r="H816" s="59">
        <f>28.6051* CHOOSE(CONTROL!$C$27, $C$14, 100%, $E$14)</f>
        <v>28.6051</v>
      </c>
      <c r="I816" s="59">
        <f>28.612 * CHOOSE(CONTROL!$C$27, $C$14, 100%, $E$14)</f>
        <v>28.611999999999998</v>
      </c>
      <c r="J816" s="59">
        <f>28.6051 * CHOOSE(CONTROL!$C$27, $C$14, 100%, $E$14)</f>
        <v>28.6051</v>
      </c>
      <c r="K816" s="59">
        <f>28.612 * CHOOSE(CONTROL!$C$27, $C$14, 100%, $E$14)</f>
        <v>28.611999999999998</v>
      </c>
      <c r="L816" s="59">
        <f>15.6616 * CHOOSE(CONTROL!$C$27, $C$14, 100%, $E$14)</f>
        <v>15.6616</v>
      </c>
      <c r="M816" s="59">
        <f>15.6685 * CHOOSE(CONTROL!$C$27, $C$14, 100%, $E$14)</f>
        <v>15.6685</v>
      </c>
      <c r="N816" s="59">
        <f>15.6616 * CHOOSE(CONTROL!$C$27, $C$14, 100%, $E$14)</f>
        <v>15.6616</v>
      </c>
      <c r="O816" s="59">
        <f>15.6685 * CHOOSE(CONTROL!$C$27, $C$14, 100%, $E$14)</f>
        <v>15.6685</v>
      </c>
    </row>
    <row r="817" spans="1:15" ht="15">
      <c r="A817" s="11">
        <v>65959</v>
      </c>
      <c r="B817" s="58">
        <f>13.5876 * CHOOSE(CONTROL!$C$27, $C$14, 100%, $E$14)</f>
        <v>13.5876</v>
      </c>
      <c r="C817" s="58">
        <f>13.5876 * CHOOSE(CONTROL!$C$27, $C$14, 100%, $E$14)</f>
        <v>13.5876</v>
      </c>
      <c r="D817" s="58">
        <f>13.5932 * CHOOSE(CONTROL!$C$27, $C$14, 100%, $E$14)</f>
        <v>13.5932</v>
      </c>
      <c r="E817" s="59">
        <f>15.4093 * CHOOSE(CONTROL!$C$27, $C$14, 100%, $E$14)</f>
        <v>15.4093</v>
      </c>
      <c r="F817" s="59">
        <f>15.4093 * CHOOSE(CONTROL!$C$27, $C$14, 100%, $E$14)</f>
        <v>15.4093</v>
      </c>
      <c r="G817" s="59">
        <f>15.4162 * CHOOSE(CONTROL!$C$27, $C$14, 100%, $E$14)</f>
        <v>15.4162</v>
      </c>
      <c r="H817" s="59">
        <f>28.6647* CHOOSE(CONTROL!$C$27, $C$14, 100%, $E$14)</f>
        <v>28.6647</v>
      </c>
      <c r="I817" s="59">
        <f>28.6716 * CHOOSE(CONTROL!$C$27, $C$14, 100%, $E$14)</f>
        <v>28.671600000000002</v>
      </c>
      <c r="J817" s="59">
        <f>28.6647 * CHOOSE(CONTROL!$C$27, $C$14, 100%, $E$14)</f>
        <v>28.6647</v>
      </c>
      <c r="K817" s="59">
        <f>28.6716 * CHOOSE(CONTROL!$C$27, $C$14, 100%, $E$14)</f>
        <v>28.671600000000002</v>
      </c>
      <c r="L817" s="59">
        <f>15.4093 * CHOOSE(CONTROL!$C$27, $C$14, 100%, $E$14)</f>
        <v>15.4093</v>
      </c>
      <c r="M817" s="59">
        <f>15.4162 * CHOOSE(CONTROL!$C$27, $C$14, 100%, $E$14)</f>
        <v>15.4162</v>
      </c>
      <c r="N817" s="59">
        <f>15.4093 * CHOOSE(CONTROL!$C$27, $C$14, 100%, $E$14)</f>
        <v>15.4093</v>
      </c>
      <c r="O817" s="59">
        <f>15.4162 * CHOOSE(CONTROL!$C$27, $C$14, 100%, $E$14)</f>
        <v>15.4162</v>
      </c>
    </row>
    <row r="818" spans="1:15" ht="15">
      <c r="A818" s="11">
        <v>65990</v>
      </c>
      <c r="B818" s="58">
        <f>13.5845 * CHOOSE(CONTROL!$C$27, $C$14, 100%, $E$14)</f>
        <v>13.5845</v>
      </c>
      <c r="C818" s="58">
        <f>13.5845 * CHOOSE(CONTROL!$C$27, $C$14, 100%, $E$14)</f>
        <v>13.5845</v>
      </c>
      <c r="D818" s="58">
        <f>13.5902 * CHOOSE(CONTROL!$C$27, $C$14, 100%, $E$14)</f>
        <v>13.590199999999999</v>
      </c>
      <c r="E818" s="59">
        <f>15.3786 * CHOOSE(CONTROL!$C$27, $C$14, 100%, $E$14)</f>
        <v>15.3786</v>
      </c>
      <c r="F818" s="59">
        <f>15.3786 * CHOOSE(CONTROL!$C$27, $C$14, 100%, $E$14)</f>
        <v>15.3786</v>
      </c>
      <c r="G818" s="59">
        <f>15.3855 * CHOOSE(CONTROL!$C$27, $C$14, 100%, $E$14)</f>
        <v>15.3855</v>
      </c>
      <c r="H818" s="59">
        <f>28.7244* CHOOSE(CONTROL!$C$27, $C$14, 100%, $E$14)</f>
        <v>28.724399999999999</v>
      </c>
      <c r="I818" s="59">
        <f>28.7313 * CHOOSE(CONTROL!$C$27, $C$14, 100%, $E$14)</f>
        <v>28.731300000000001</v>
      </c>
      <c r="J818" s="59">
        <f>28.7244 * CHOOSE(CONTROL!$C$27, $C$14, 100%, $E$14)</f>
        <v>28.724399999999999</v>
      </c>
      <c r="K818" s="59">
        <f>28.7313 * CHOOSE(CONTROL!$C$27, $C$14, 100%, $E$14)</f>
        <v>28.731300000000001</v>
      </c>
      <c r="L818" s="59">
        <f>15.3786 * CHOOSE(CONTROL!$C$27, $C$14, 100%, $E$14)</f>
        <v>15.3786</v>
      </c>
      <c r="M818" s="59">
        <f>15.3855 * CHOOSE(CONTROL!$C$27, $C$14, 100%, $E$14)</f>
        <v>15.3855</v>
      </c>
      <c r="N818" s="59">
        <f>15.3786 * CHOOSE(CONTROL!$C$27, $C$14, 100%, $E$14)</f>
        <v>15.3786</v>
      </c>
      <c r="O818" s="59">
        <f>15.3855 * CHOOSE(CONTROL!$C$27, $C$14, 100%, $E$14)</f>
        <v>15.3855</v>
      </c>
    </row>
    <row r="819" spans="1:15" ht="15">
      <c r="A819" s="11">
        <v>66020</v>
      </c>
      <c r="B819" s="58">
        <f>13.6105 * CHOOSE(CONTROL!$C$27, $C$14, 100%, $E$14)</f>
        <v>13.6105</v>
      </c>
      <c r="C819" s="58">
        <f>13.6105 * CHOOSE(CONTROL!$C$27, $C$14, 100%, $E$14)</f>
        <v>13.6105</v>
      </c>
      <c r="D819" s="58">
        <f>13.6145 * CHOOSE(CONTROL!$C$27, $C$14, 100%, $E$14)</f>
        <v>13.6145</v>
      </c>
      <c r="E819" s="59">
        <f>15.4794 * CHOOSE(CONTROL!$C$27, $C$14, 100%, $E$14)</f>
        <v>15.4794</v>
      </c>
      <c r="F819" s="59">
        <f>15.4794 * CHOOSE(CONTROL!$C$27, $C$14, 100%, $E$14)</f>
        <v>15.4794</v>
      </c>
      <c r="G819" s="59">
        <f>15.4843 * CHOOSE(CONTROL!$C$27, $C$14, 100%, $E$14)</f>
        <v>15.484299999999999</v>
      </c>
      <c r="H819" s="59">
        <f>28.7842* CHOOSE(CONTROL!$C$27, $C$14, 100%, $E$14)</f>
        <v>28.784199999999998</v>
      </c>
      <c r="I819" s="59">
        <f>28.7891 * CHOOSE(CONTROL!$C$27, $C$14, 100%, $E$14)</f>
        <v>28.789100000000001</v>
      </c>
      <c r="J819" s="59">
        <f>28.7842 * CHOOSE(CONTROL!$C$27, $C$14, 100%, $E$14)</f>
        <v>28.784199999999998</v>
      </c>
      <c r="K819" s="59">
        <f>28.7891 * CHOOSE(CONTROL!$C$27, $C$14, 100%, $E$14)</f>
        <v>28.789100000000001</v>
      </c>
      <c r="L819" s="59">
        <f>15.4794 * CHOOSE(CONTROL!$C$27, $C$14, 100%, $E$14)</f>
        <v>15.4794</v>
      </c>
      <c r="M819" s="59">
        <f>15.4843 * CHOOSE(CONTROL!$C$27, $C$14, 100%, $E$14)</f>
        <v>15.484299999999999</v>
      </c>
      <c r="N819" s="59">
        <f>15.4794 * CHOOSE(CONTROL!$C$27, $C$14, 100%, $E$14)</f>
        <v>15.4794</v>
      </c>
      <c r="O819" s="59">
        <f>15.4843 * CHOOSE(CONTROL!$C$27, $C$14, 100%, $E$14)</f>
        <v>15.484299999999999</v>
      </c>
    </row>
    <row r="820" spans="1:15" ht="15">
      <c r="A820" s="11">
        <v>66051</v>
      </c>
      <c r="B820" s="58">
        <f>13.6135 * CHOOSE(CONTROL!$C$27, $C$14, 100%, $E$14)</f>
        <v>13.6135</v>
      </c>
      <c r="C820" s="58">
        <f>13.6135 * CHOOSE(CONTROL!$C$27, $C$14, 100%, $E$14)</f>
        <v>13.6135</v>
      </c>
      <c r="D820" s="58">
        <f>13.6175 * CHOOSE(CONTROL!$C$27, $C$14, 100%, $E$14)</f>
        <v>13.6175</v>
      </c>
      <c r="E820" s="59">
        <f>15.5386 * CHOOSE(CONTROL!$C$27, $C$14, 100%, $E$14)</f>
        <v>15.538600000000001</v>
      </c>
      <c r="F820" s="59">
        <f>15.5386 * CHOOSE(CONTROL!$C$27, $C$14, 100%, $E$14)</f>
        <v>15.538600000000001</v>
      </c>
      <c r="G820" s="59">
        <f>15.5435 * CHOOSE(CONTROL!$C$27, $C$14, 100%, $E$14)</f>
        <v>15.5435</v>
      </c>
      <c r="H820" s="59">
        <f>28.8442* CHOOSE(CONTROL!$C$27, $C$14, 100%, $E$14)</f>
        <v>28.844200000000001</v>
      </c>
      <c r="I820" s="59">
        <f>28.8491 * CHOOSE(CONTROL!$C$27, $C$14, 100%, $E$14)</f>
        <v>28.8491</v>
      </c>
      <c r="J820" s="59">
        <f>28.8442 * CHOOSE(CONTROL!$C$27, $C$14, 100%, $E$14)</f>
        <v>28.844200000000001</v>
      </c>
      <c r="K820" s="59">
        <f>28.8491 * CHOOSE(CONTROL!$C$27, $C$14, 100%, $E$14)</f>
        <v>28.8491</v>
      </c>
      <c r="L820" s="59">
        <f>15.5386 * CHOOSE(CONTROL!$C$27, $C$14, 100%, $E$14)</f>
        <v>15.538600000000001</v>
      </c>
      <c r="M820" s="59">
        <f>15.5435 * CHOOSE(CONTROL!$C$27, $C$14, 100%, $E$14)</f>
        <v>15.5435</v>
      </c>
      <c r="N820" s="59">
        <f>15.5386 * CHOOSE(CONTROL!$C$27, $C$14, 100%, $E$14)</f>
        <v>15.538600000000001</v>
      </c>
      <c r="O820" s="59">
        <f>15.5435 * CHOOSE(CONTROL!$C$27, $C$14, 100%, $E$14)</f>
        <v>15.5435</v>
      </c>
    </row>
    <row r="821" spans="1:15" ht="15">
      <c r="A821" s="11">
        <v>66081</v>
      </c>
      <c r="B821" s="58">
        <f>13.6135 * CHOOSE(CONTROL!$C$27, $C$14, 100%, $E$14)</f>
        <v>13.6135</v>
      </c>
      <c r="C821" s="58">
        <f>13.6135 * CHOOSE(CONTROL!$C$27, $C$14, 100%, $E$14)</f>
        <v>13.6135</v>
      </c>
      <c r="D821" s="58">
        <f>13.6175 * CHOOSE(CONTROL!$C$27, $C$14, 100%, $E$14)</f>
        <v>13.6175</v>
      </c>
      <c r="E821" s="59">
        <f>15.3959 * CHOOSE(CONTROL!$C$27, $C$14, 100%, $E$14)</f>
        <v>15.395899999999999</v>
      </c>
      <c r="F821" s="59">
        <f>15.3959 * CHOOSE(CONTROL!$C$27, $C$14, 100%, $E$14)</f>
        <v>15.395899999999999</v>
      </c>
      <c r="G821" s="59">
        <f>15.4008 * CHOOSE(CONTROL!$C$27, $C$14, 100%, $E$14)</f>
        <v>15.4008</v>
      </c>
      <c r="H821" s="59">
        <f>28.9043* CHOOSE(CONTROL!$C$27, $C$14, 100%, $E$14)</f>
        <v>28.904299999999999</v>
      </c>
      <c r="I821" s="59">
        <f>28.9092 * CHOOSE(CONTROL!$C$27, $C$14, 100%, $E$14)</f>
        <v>28.909199999999998</v>
      </c>
      <c r="J821" s="59">
        <f>28.9043 * CHOOSE(CONTROL!$C$27, $C$14, 100%, $E$14)</f>
        <v>28.904299999999999</v>
      </c>
      <c r="K821" s="59">
        <f>28.9092 * CHOOSE(CONTROL!$C$27, $C$14, 100%, $E$14)</f>
        <v>28.909199999999998</v>
      </c>
      <c r="L821" s="59">
        <f>15.3959 * CHOOSE(CONTROL!$C$27, $C$14, 100%, $E$14)</f>
        <v>15.395899999999999</v>
      </c>
      <c r="M821" s="59">
        <f>15.4008 * CHOOSE(CONTROL!$C$27, $C$14, 100%, $E$14)</f>
        <v>15.4008</v>
      </c>
      <c r="N821" s="59">
        <f>15.3959 * CHOOSE(CONTROL!$C$27, $C$14, 100%, $E$14)</f>
        <v>15.395899999999999</v>
      </c>
      <c r="O821" s="59">
        <f>15.4008 * CHOOSE(CONTROL!$C$27, $C$14, 100%, $E$14)</f>
        <v>15.4008</v>
      </c>
    </row>
    <row r="822" spans="1:15" ht="15">
      <c r="A822" s="11">
        <v>66112</v>
      </c>
      <c r="B822" s="58">
        <f>13.6076 * CHOOSE(CONTROL!$C$27, $C$14, 100%, $E$14)</f>
        <v>13.6076</v>
      </c>
      <c r="C822" s="58">
        <f>13.6076 * CHOOSE(CONTROL!$C$27, $C$14, 100%, $E$14)</f>
        <v>13.6076</v>
      </c>
      <c r="D822" s="58">
        <f>13.6116 * CHOOSE(CONTROL!$C$27, $C$14, 100%, $E$14)</f>
        <v>13.611599999999999</v>
      </c>
      <c r="E822" s="59">
        <f>15.5035 * CHOOSE(CONTROL!$C$27, $C$14, 100%, $E$14)</f>
        <v>15.503500000000001</v>
      </c>
      <c r="F822" s="59">
        <f>15.5035 * CHOOSE(CONTROL!$C$27, $C$14, 100%, $E$14)</f>
        <v>15.503500000000001</v>
      </c>
      <c r="G822" s="59">
        <f>15.5084 * CHOOSE(CONTROL!$C$27, $C$14, 100%, $E$14)</f>
        <v>15.5084</v>
      </c>
      <c r="H822" s="59">
        <f>28.7326* CHOOSE(CONTROL!$C$27, $C$14, 100%, $E$14)</f>
        <v>28.732600000000001</v>
      </c>
      <c r="I822" s="59">
        <f>28.7376 * CHOOSE(CONTROL!$C$27, $C$14, 100%, $E$14)</f>
        <v>28.7376</v>
      </c>
      <c r="J822" s="59">
        <f>28.7326 * CHOOSE(CONTROL!$C$27, $C$14, 100%, $E$14)</f>
        <v>28.732600000000001</v>
      </c>
      <c r="K822" s="59">
        <f>28.7376 * CHOOSE(CONTROL!$C$27, $C$14, 100%, $E$14)</f>
        <v>28.7376</v>
      </c>
      <c r="L822" s="59">
        <f>15.5035 * CHOOSE(CONTROL!$C$27, $C$14, 100%, $E$14)</f>
        <v>15.503500000000001</v>
      </c>
      <c r="M822" s="59">
        <f>15.5084 * CHOOSE(CONTROL!$C$27, $C$14, 100%, $E$14)</f>
        <v>15.5084</v>
      </c>
      <c r="N822" s="59">
        <f>15.5035 * CHOOSE(CONTROL!$C$27, $C$14, 100%, $E$14)</f>
        <v>15.503500000000001</v>
      </c>
      <c r="O822" s="59">
        <f>15.5084 * CHOOSE(CONTROL!$C$27, $C$14, 100%, $E$14)</f>
        <v>15.5084</v>
      </c>
    </row>
    <row r="823" spans="1:15" ht="15">
      <c r="A823" s="11">
        <v>66143</v>
      </c>
      <c r="B823" s="58">
        <f>13.6046 * CHOOSE(CONTROL!$C$27, $C$14, 100%, $E$14)</f>
        <v>13.6046</v>
      </c>
      <c r="C823" s="58">
        <f>13.6046 * CHOOSE(CONTROL!$C$27, $C$14, 100%, $E$14)</f>
        <v>13.6046</v>
      </c>
      <c r="D823" s="58">
        <f>13.6086 * CHOOSE(CONTROL!$C$27, $C$14, 100%, $E$14)</f>
        <v>13.608599999999999</v>
      </c>
      <c r="E823" s="59">
        <f>15.2267 * CHOOSE(CONTROL!$C$27, $C$14, 100%, $E$14)</f>
        <v>15.226699999999999</v>
      </c>
      <c r="F823" s="59">
        <f>15.2267 * CHOOSE(CONTROL!$C$27, $C$14, 100%, $E$14)</f>
        <v>15.226699999999999</v>
      </c>
      <c r="G823" s="59">
        <f>15.2316 * CHOOSE(CONTROL!$C$27, $C$14, 100%, $E$14)</f>
        <v>15.2316</v>
      </c>
      <c r="H823" s="59">
        <f>28.7925* CHOOSE(CONTROL!$C$27, $C$14, 100%, $E$14)</f>
        <v>28.7925</v>
      </c>
      <c r="I823" s="59">
        <f>28.7974 * CHOOSE(CONTROL!$C$27, $C$14, 100%, $E$14)</f>
        <v>28.7974</v>
      </c>
      <c r="J823" s="59">
        <f>28.7925 * CHOOSE(CONTROL!$C$27, $C$14, 100%, $E$14)</f>
        <v>28.7925</v>
      </c>
      <c r="K823" s="59">
        <f>28.7974 * CHOOSE(CONTROL!$C$27, $C$14, 100%, $E$14)</f>
        <v>28.7974</v>
      </c>
      <c r="L823" s="59">
        <f>15.2267 * CHOOSE(CONTROL!$C$27, $C$14, 100%, $E$14)</f>
        <v>15.226699999999999</v>
      </c>
      <c r="M823" s="59">
        <f>15.2316 * CHOOSE(CONTROL!$C$27, $C$14, 100%, $E$14)</f>
        <v>15.2316</v>
      </c>
      <c r="N823" s="59">
        <f>15.2267 * CHOOSE(CONTROL!$C$27, $C$14, 100%, $E$14)</f>
        <v>15.226699999999999</v>
      </c>
      <c r="O823" s="59">
        <f>15.2316 * CHOOSE(CONTROL!$C$27, $C$14, 100%, $E$14)</f>
        <v>15.2316</v>
      </c>
    </row>
    <row r="824" spans="1:15" ht="15">
      <c r="A824" s="11">
        <v>66171</v>
      </c>
      <c r="B824" s="58">
        <f>13.6015 * CHOOSE(CONTROL!$C$27, $C$14, 100%, $E$14)</f>
        <v>13.6015</v>
      </c>
      <c r="C824" s="58">
        <f>13.6015 * CHOOSE(CONTROL!$C$27, $C$14, 100%, $E$14)</f>
        <v>13.6015</v>
      </c>
      <c r="D824" s="58">
        <f>13.6055 * CHOOSE(CONTROL!$C$27, $C$14, 100%, $E$14)</f>
        <v>13.605499999999999</v>
      </c>
      <c r="E824" s="59">
        <f>15.4411 * CHOOSE(CONTROL!$C$27, $C$14, 100%, $E$14)</f>
        <v>15.4411</v>
      </c>
      <c r="F824" s="59">
        <f>15.4411 * CHOOSE(CONTROL!$C$27, $C$14, 100%, $E$14)</f>
        <v>15.4411</v>
      </c>
      <c r="G824" s="59">
        <f>15.446 * CHOOSE(CONTROL!$C$27, $C$14, 100%, $E$14)</f>
        <v>15.446</v>
      </c>
      <c r="H824" s="59">
        <f>28.8525* CHOOSE(CONTROL!$C$27, $C$14, 100%, $E$14)</f>
        <v>28.852499999999999</v>
      </c>
      <c r="I824" s="59">
        <f>28.8574 * CHOOSE(CONTROL!$C$27, $C$14, 100%, $E$14)</f>
        <v>28.857399999999998</v>
      </c>
      <c r="J824" s="59">
        <f>28.8525 * CHOOSE(CONTROL!$C$27, $C$14, 100%, $E$14)</f>
        <v>28.852499999999999</v>
      </c>
      <c r="K824" s="59">
        <f>28.8574 * CHOOSE(CONTROL!$C$27, $C$14, 100%, $E$14)</f>
        <v>28.857399999999998</v>
      </c>
      <c r="L824" s="59">
        <f>15.4411 * CHOOSE(CONTROL!$C$27, $C$14, 100%, $E$14)</f>
        <v>15.4411</v>
      </c>
      <c r="M824" s="59">
        <f>15.446 * CHOOSE(CONTROL!$C$27, $C$14, 100%, $E$14)</f>
        <v>15.446</v>
      </c>
      <c r="N824" s="59">
        <f>15.4411 * CHOOSE(CONTROL!$C$27, $C$14, 100%, $E$14)</f>
        <v>15.4411</v>
      </c>
      <c r="O824" s="59">
        <f>15.446 * CHOOSE(CONTROL!$C$27, $C$14, 100%, $E$14)</f>
        <v>15.446</v>
      </c>
    </row>
    <row r="825" spans="1:15" ht="15">
      <c r="A825" s="11">
        <v>66202</v>
      </c>
      <c r="B825" s="58">
        <f>13.6072 * CHOOSE(CONTROL!$C$27, $C$14, 100%, $E$14)</f>
        <v>13.607200000000001</v>
      </c>
      <c r="C825" s="58">
        <f>13.6072 * CHOOSE(CONTROL!$C$27, $C$14, 100%, $E$14)</f>
        <v>13.607200000000001</v>
      </c>
      <c r="D825" s="58">
        <f>13.6112 * CHOOSE(CONTROL!$C$27, $C$14, 100%, $E$14)</f>
        <v>13.6112</v>
      </c>
      <c r="E825" s="59">
        <f>15.6695 * CHOOSE(CONTROL!$C$27, $C$14, 100%, $E$14)</f>
        <v>15.669499999999999</v>
      </c>
      <c r="F825" s="59">
        <f>15.6695 * CHOOSE(CONTROL!$C$27, $C$14, 100%, $E$14)</f>
        <v>15.669499999999999</v>
      </c>
      <c r="G825" s="59">
        <f>15.6744 * CHOOSE(CONTROL!$C$27, $C$14, 100%, $E$14)</f>
        <v>15.6744</v>
      </c>
      <c r="H825" s="59">
        <f>28.9126* CHOOSE(CONTROL!$C$27, $C$14, 100%, $E$14)</f>
        <v>28.912600000000001</v>
      </c>
      <c r="I825" s="59">
        <f>28.9175 * CHOOSE(CONTROL!$C$27, $C$14, 100%, $E$14)</f>
        <v>28.9175</v>
      </c>
      <c r="J825" s="59">
        <f>28.9126 * CHOOSE(CONTROL!$C$27, $C$14, 100%, $E$14)</f>
        <v>28.912600000000001</v>
      </c>
      <c r="K825" s="59">
        <f>28.9175 * CHOOSE(CONTROL!$C$27, $C$14, 100%, $E$14)</f>
        <v>28.9175</v>
      </c>
      <c r="L825" s="59">
        <f>15.6695 * CHOOSE(CONTROL!$C$27, $C$14, 100%, $E$14)</f>
        <v>15.669499999999999</v>
      </c>
      <c r="M825" s="59">
        <f>15.6744 * CHOOSE(CONTROL!$C$27, $C$14, 100%, $E$14)</f>
        <v>15.6744</v>
      </c>
      <c r="N825" s="59">
        <f>15.6695 * CHOOSE(CONTROL!$C$27, $C$14, 100%, $E$14)</f>
        <v>15.669499999999999</v>
      </c>
      <c r="O825" s="59">
        <f>15.6744 * CHOOSE(CONTROL!$C$27, $C$14, 100%, $E$14)</f>
        <v>15.6744</v>
      </c>
    </row>
    <row r="826" spans="1:15" ht="15">
      <c r="A826" s="11">
        <v>66232</v>
      </c>
      <c r="B826" s="58">
        <f>13.6072 * CHOOSE(CONTROL!$C$27, $C$14, 100%, $E$14)</f>
        <v>13.607200000000001</v>
      </c>
      <c r="C826" s="58">
        <f>13.6072 * CHOOSE(CONTROL!$C$27, $C$14, 100%, $E$14)</f>
        <v>13.607200000000001</v>
      </c>
      <c r="D826" s="58">
        <f>13.6129 * CHOOSE(CONTROL!$C$27, $C$14, 100%, $E$14)</f>
        <v>13.6129</v>
      </c>
      <c r="E826" s="59">
        <f>15.7567 * CHOOSE(CONTROL!$C$27, $C$14, 100%, $E$14)</f>
        <v>15.7567</v>
      </c>
      <c r="F826" s="59">
        <f>15.7567 * CHOOSE(CONTROL!$C$27, $C$14, 100%, $E$14)</f>
        <v>15.7567</v>
      </c>
      <c r="G826" s="59">
        <f>15.7636 * CHOOSE(CONTROL!$C$27, $C$14, 100%, $E$14)</f>
        <v>15.7636</v>
      </c>
      <c r="H826" s="59">
        <f>28.9728* CHOOSE(CONTROL!$C$27, $C$14, 100%, $E$14)</f>
        <v>28.972799999999999</v>
      </c>
      <c r="I826" s="59">
        <f>28.9797 * CHOOSE(CONTROL!$C$27, $C$14, 100%, $E$14)</f>
        <v>28.979700000000001</v>
      </c>
      <c r="J826" s="59">
        <f>28.9728 * CHOOSE(CONTROL!$C$27, $C$14, 100%, $E$14)</f>
        <v>28.972799999999999</v>
      </c>
      <c r="K826" s="59">
        <f>28.9797 * CHOOSE(CONTROL!$C$27, $C$14, 100%, $E$14)</f>
        <v>28.979700000000001</v>
      </c>
      <c r="L826" s="59">
        <f>15.7567 * CHOOSE(CONTROL!$C$27, $C$14, 100%, $E$14)</f>
        <v>15.7567</v>
      </c>
      <c r="M826" s="59">
        <f>15.7636 * CHOOSE(CONTROL!$C$27, $C$14, 100%, $E$14)</f>
        <v>15.7636</v>
      </c>
      <c r="N826" s="59">
        <f>15.7567 * CHOOSE(CONTROL!$C$27, $C$14, 100%, $E$14)</f>
        <v>15.7567</v>
      </c>
      <c r="O826" s="59">
        <f>15.7636 * CHOOSE(CONTROL!$C$27, $C$14, 100%, $E$14)</f>
        <v>15.7636</v>
      </c>
    </row>
    <row r="827" spans="1:15" ht="15">
      <c r="A827" s="11">
        <v>66263</v>
      </c>
      <c r="B827" s="58">
        <f>13.6133 * CHOOSE(CONTROL!$C$27, $C$14, 100%, $E$14)</f>
        <v>13.613300000000001</v>
      </c>
      <c r="C827" s="58">
        <f>13.6133 * CHOOSE(CONTROL!$C$27, $C$14, 100%, $E$14)</f>
        <v>13.613300000000001</v>
      </c>
      <c r="D827" s="58">
        <f>13.6189 * CHOOSE(CONTROL!$C$27, $C$14, 100%, $E$14)</f>
        <v>13.6189</v>
      </c>
      <c r="E827" s="59">
        <f>15.6737 * CHOOSE(CONTROL!$C$27, $C$14, 100%, $E$14)</f>
        <v>15.6737</v>
      </c>
      <c r="F827" s="59">
        <f>15.6737 * CHOOSE(CONTROL!$C$27, $C$14, 100%, $E$14)</f>
        <v>15.6737</v>
      </c>
      <c r="G827" s="59">
        <f>15.6806 * CHOOSE(CONTROL!$C$27, $C$14, 100%, $E$14)</f>
        <v>15.6806</v>
      </c>
      <c r="H827" s="59">
        <f>29.0332* CHOOSE(CONTROL!$C$27, $C$14, 100%, $E$14)</f>
        <v>29.033200000000001</v>
      </c>
      <c r="I827" s="59">
        <f>29.0401 * CHOOSE(CONTROL!$C$27, $C$14, 100%, $E$14)</f>
        <v>29.040099999999999</v>
      </c>
      <c r="J827" s="59">
        <f>29.0332 * CHOOSE(CONTROL!$C$27, $C$14, 100%, $E$14)</f>
        <v>29.033200000000001</v>
      </c>
      <c r="K827" s="59">
        <f>29.0401 * CHOOSE(CONTROL!$C$27, $C$14, 100%, $E$14)</f>
        <v>29.040099999999999</v>
      </c>
      <c r="L827" s="59">
        <f>15.6737 * CHOOSE(CONTROL!$C$27, $C$14, 100%, $E$14)</f>
        <v>15.6737</v>
      </c>
      <c r="M827" s="59">
        <f>15.6806 * CHOOSE(CONTROL!$C$27, $C$14, 100%, $E$14)</f>
        <v>15.6806</v>
      </c>
      <c r="N827" s="59">
        <f>15.6737 * CHOOSE(CONTROL!$C$27, $C$14, 100%, $E$14)</f>
        <v>15.6737</v>
      </c>
      <c r="O827" s="59">
        <f>15.6806 * CHOOSE(CONTROL!$C$27, $C$14, 100%, $E$14)</f>
        <v>15.6806</v>
      </c>
    </row>
    <row r="828" spans="1:15" ht="15">
      <c r="A828" s="11">
        <v>66293</v>
      </c>
      <c r="B828" s="58">
        <f>13.8201 * CHOOSE(CONTROL!$C$27, $C$14, 100%, $E$14)</f>
        <v>13.8201</v>
      </c>
      <c r="C828" s="58">
        <f>13.8201 * CHOOSE(CONTROL!$C$27, $C$14, 100%, $E$14)</f>
        <v>13.8201</v>
      </c>
      <c r="D828" s="58">
        <f>13.8257 * CHOOSE(CONTROL!$C$27, $C$14, 100%, $E$14)</f>
        <v>13.825699999999999</v>
      </c>
      <c r="E828" s="59">
        <f>15.9233 * CHOOSE(CONTROL!$C$27, $C$14, 100%, $E$14)</f>
        <v>15.923299999999999</v>
      </c>
      <c r="F828" s="59">
        <f>15.9233 * CHOOSE(CONTROL!$C$27, $C$14, 100%, $E$14)</f>
        <v>15.923299999999999</v>
      </c>
      <c r="G828" s="59">
        <f>15.9302 * CHOOSE(CONTROL!$C$27, $C$14, 100%, $E$14)</f>
        <v>15.930199999999999</v>
      </c>
      <c r="H828" s="59">
        <f>29.0937* CHOOSE(CONTROL!$C$27, $C$14, 100%, $E$14)</f>
        <v>29.093699999999998</v>
      </c>
      <c r="I828" s="59">
        <f>29.1006 * CHOOSE(CONTROL!$C$27, $C$14, 100%, $E$14)</f>
        <v>29.1006</v>
      </c>
      <c r="J828" s="59">
        <f>29.0937 * CHOOSE(CONTROL!$C$27, $C$14, 100%, $E$14)</f>
        <v>29.093699999999998</v>
      </c>
      <c r="K828" s="59">
        <f>29.1006 * CHOOSE(CONTROL!$C$27, $C$14, 100%, $E$14)</f>
        <v>29.1006</v>
      </c>
      <c r="L828" s="59">
        <f>15.9233 * CHOOSE(CONTROL!$C$27, $C$14, 100%, $E$14)</f>
        <v>15.923299999999999</v>
      </c>
      <c r="M828" s="59">
        <f>15.9302 * CHOOSE(CONTROL!$C$27, $C$14, 100%, $E$14)</f>
        <v>15.930199999999999</v>
      </c>
      <c r="N828" s="59">
        <f>15.9233 * CHOOSE(CONTROL!$C$27, $C$14, 100%, $E$14)</f>
        <v>15.923299999999999</v>
      </c>
      <c r="O828" s="59">
        <f>15.9302 * CHOOSE(CONTROL!$C$27, $C$14, 100%, $E$14)</f>
        <v>15.930199999999999</v>
      </c>
    </row>
    <row r="829" spans="1:15" ht="15">
      <c r="A829" s="11">
        <v>66324</v>
      </c>
      <c r="B829" s="58">
        <f>13.8268 * CHOOSE(CONTROL!$C$27, $C$14, 100%, $E$14)</f>
        <v>13.8268</v>
      </c>
      <c r="C829" s="58">
        <f>13.8268 * CHOOSE(CONTROL!$C$27, $C$14, 100%, $E$14)</f>
        <v>13.8268</v>
      </c>
      <c r="D829" s="58">
        <f>13.8324 * CHOOSE(CONTROL!$C$27, $C$14, 100%, $E$14)</f>
        <v>13.8324</v>
      </c>
      <c r="E829" s="59">
        <f>15.6663 * CHOOSE(CONTROL!$C$27, $C$14, 100%, $E$14)</f>
        <v>15.6663</v>
      </c>
      <c r="F829" s="59">
        <f>15.6663 * CHOOSE(CONTROL!$C$27, $C$14, 100%, $E$14)</f>
        <v>15.6663</v>
      </c>
      <c r="G829" s="59">
        <f>15.6732 * CHOOSE(CONTROL!$C$27, $C$14, 100%, $E$14)</f>
        <v>15.6732</v>
      </c>
      <c r="H829" s="59">
        <f>29.1543* CHOOSE(CONTROL!$C$27, $C$14, 100%, $E$14)</f>
        <v>29.154299999999999</v>
      </c>
      <c r="I829" s="59">
        <f>29.1612 * CHOOSE(CONTROL!$C$27, $C$14, 100%, $E$14)</f>
        <v>29.161200000000001</v>
      </c>
      <c r="J829" s="59">
        <f>29.1543 * CHOOSE(CONTROL!$C$27, $C$14, 100%, $E$14)</f>
        <v>29.154299999999999</v>
      </c>
      <c r="K829" s="59">
        <f>29.1612 * CHOOSE(CONTROL!$C$27, $C$14, 100%, $E$14)</f>
        <v>29.161200000000001</v>
      </c>
      <c r="L829" s="59">
        <f>15.6663 * CHOOSE(CONTROL!$C$27, $C$14, 100%, $E$14)</f>
        <v>15.6663</v>
      </c>
      <c r="M829" s="59">
        <f>15.6732 * CHOOSE(CONTROL!$C$27, $C$14, 100%, $E$14)</f>
        <v>15.6732</v>
      </c>
      <c r="N829" s="59">
        <f>15.6663 * CHOOSE(CONTROL!$C$27, $C$14, 100%, $E$14)</f>
        <v>15.6663</v>
      </c>
      <c r="O829" s="59">
        <f>15.6732 * CHOOSE(CONTROL!$C$27, $C$14, 100%, $E$14)</f>
        <v>15.6732</v>
      </c>
    </row>
    <row r="830" spans="1:15" ht="15">
      <c r="A830" s="11">
        <v>66355</v>
      </c>
      <c r="B830" s="58">
        <f>13.8237 * CHOOSE(CONTROL!$C$27, $C$14, 100%, $E$14)</f>
        <v>13.823700000000001</v>
      </c>
      <c r="C830" s="58">
        <f>13.8237 * CHOOSE(CONTROL!$C$27, $C$14, 100%, $E$14)</f>
        <v>13.823700000000001</v>
      </c>
      <c r="D830" s="58">
        <f>13.8293 * CHOOSE(CONTROL!$C$27, $C$14, 100%, $E$14)</f>
        <v>13.8293</v>
      </c>
      <c r="E830" s="59">
        <f>15.6351 * CHOOSE(CONTROL!$C$27, $C$14, 100%, $E$14)</f>
        <v>15.6351</v>
      </c>
      <c r="F830" s="59">
        <f>15.6351 * CHOOSE(CONTROL!$C$27, $C$14, 100%, $E$14)</f>
        <v>15.6351</v>
      </c>
      <c r="G830" s="59">
        <f>15.642 * CHOOSE(CONTROL!$C$27, $C$14, 100%, $E$14)</f>
        <v>15.641999999999999</v>
      </c>
      <c r="H830" s="59">
        <f>29.215* CHOOSE(CONTROL!$C$27, $C$14, 100%, $E$14)</f>
        <v>29.215</v>
      </c>
      <c r="I830" s="59">
        <f>29.2219 * CHOOSE(CONTROL!$C$27, $C$14, 100%, $E$14)</f>
        <v>29.221900000000002</v>
      </c>
      <c r="J830" s="59">
        <f>29.215 * CHOOSE(CONTROL!$C$27, $C$14, 100%, $E$14)</f>
        <v>29.215</v>
      </c>
      <c r="K830" s="59">
        <f>29.2219 * CHOOSE(CONTROL!$C$27, $C$14, 100%, $E$14)</f>
        <v>29.221900000000002</v>
      </c>
      <c r="L830" s="59">
        <f>15.6351 * CHOOSE(CONTROL!$C$27, $C$14, 100%, $E$14)</f>
        <v>15.6351</v>
      </c>
      <c r="M830" s="59">
        <f>15.642 * CHOOSE(CONTROL!$C$27, $C$14, 100%, $E$14)</f>
        <v>15.641999999999999</v>
      </c>
      <c r="N830" s="59">
        <f>15.6351 * CHOOSE(CONTROL!$C$27, $C$14, 100%, $E$14)</f>
        <v>15.6351</v>
      </c>
      <c r="O830" s="59">
        <f>15.642 * CHOOSE(CONTROL!$C$27, $C$14, 100%, $E$14)</f>
        <v>15.641999999999999</v>
      </c>
    </row>
    <row r="831" spans="1:15" ht="15">
      <c r="A831" s="11">
        <v>66385</v>
      </c>
      <c r="B831" s="58">
        <f>13.8504 * CHOOSE(CONTROL!$C$27, $C$14, 100%, $E$14)</f>
        <v>13.8504</v>
      </c>
      <c r="C831" s="58">
        <f>13.8504 * CHOOSE(CONTROL!$C$27, $C$14, 100%, $E$14)</f>
        <v>13.8504</v>
      </c>
      <c r="D831" s="58">
        <f>13.8544 * CHOOSE(CONTROL!$C$27, $C$14, 100%, $E$14)</f>
        <v>13.8544</v>
      </c>
      <c r="E831" s="59">
        <f>15.738 * CHOOSE(CONTROL!$C$27, $C$14, 100%, $E$14)</f>
        <v>15.738</v>
      </c>
      <c r="F831" s="59">
        <f>15.738 * CHOOSE(CONTROL!$C$27, $C$14, 100%, $E$14)</f>
        <v>15.738</v>
      </c>
      <c r="G831" s="59">
        <f>15.7429 * CHOOSE(CONTROL!$C$27, $C$14, 100%, $E$14)</f>
        <v>15.742900000000001</v>
      </c>
      <c r="H831" s="59">
        <f>29.2759* CHOOSE(CONTROL!$C$27, $C$14, 100%, $E$14)</f>
        <v>29.2759</v>
      </c>
      <c r="I831" s="59">
        <f>29.2808 * CHOOSE(CONTROL!$C$27, $C$14, 100%, $E$14)</f>
        <v>29.280799999999999</v>
      </c>
      <c r="J831" s="59">
        <f>29.2759 * CHOOSE(CONTROL!$C$27, $C$14, 100%, $E$14)</f>
        <v>29.2759</v>
      </c>
      <c r="K831" s="59">
        <f>29.2808 * CHOOSE(CONTROL!$C$27, $C$14, 100%, $E$14)</f>
        <v>29.280799999999999</v>
      </c>
      <c r="L831" s="59">
        <f>15.738 * CHOOSE(CONTROL!$C$27, $C$14, 100%, $E$14)</f>
        <v>15.738</v>
      </c>
      <c r="M831" s="59">
        <f>15.7429 * CHOOSE(CONTROL!$C$27, $C$14, 100%, $E$14)</f>
        <v>15.742900000000001</v>
      </c>
      <c r="N831" s="59">
        <f>15.738 * CHOOSE(CONTROL!$C$27, $C$14, 100%, $E$14)</f>
        <v>15.738</v>
      </c>
      <c r="O831" s="59">
        <f>15.7429 * CHOOSE(CONTROL!$C$27, $C$14, 100%, $E$14)</f>
        <v>15.742900000000001</v>
      </c>
    </row>
    <row r="832" spans="1:15" ht="15">
      <c r="A832" s="11">
        <v>66416</v>
      </c>
      <c r="B832" s="58">
        <f>13.8535 * CHOOSE(CONTROL!$C$27, $C$14, 100%, $E$14)</f>
        <v>13.8535</v>
      </c>
      <c r="C832" s="58">
        <f>13.8535 * CHOOSE(CONTROL!$C$27, $C$14, 100%, $E$14)</f>
        <v>13.8535</v>
      </c>
      <c r="D832" s="58">
        <f>13.8575 * CHOOSE(CONTROL!$C$27, $C$14, 100%, $E$14)</f>
        <v>13.8575</v>
      </c>
      <c r="E832" s="59">
        <f>15.7983 * CHOOSE(CONTROL!$C$27, $C$14, 100%, $E$14)</f>
        <v>15.798299999999999</v>
      </c>
      <c r="F832" s="59">
        <f>15.7983 * CHOOSE(CONTROL!$C$27, $C$14, 100%, $E$14)</f>
        <v>15.798299999999999</v>
      </c>
      <c r="G832" s="59">
        <f>15.8032 * CHOOSE(CONTROL!$C$27, $C$14, 100%, $E$14)</f>
        <v>15.8032</v>
      </c>
      <c r="H832" s="59">
        <f>29.3369* CHOOSE(CONTROL!$C$27, $C$14, 100%, $E$14)</f>
        <v>29.3369</v>
      </c>
      <c r="I832" s="59">
        <f>29.3418 * CHOOSE(CONTROL!$C$27, $C$14, 100%, $E$14)</f>
        <v>29.341799999999999</v>
      </c>
      <c r="J832" s="59">
        <f>29.3369 * CHOOSE(CONTROL!$C$27, $C$14, 100%, $E$14)</f>
        <v>29.3369</v>
      </c>
      <c r="K832" s="59">
        <f>29.3418 * CHOOSE(CONTROL!$C$27, $C$14, 100%, $E$14)</f>
        <v>29.341799999999999</v>
      </c>
      <c r="L832" s="59">
        <f>15.7983 * CHOOSE(CONTROL!$C$27, $C$14, 100%, $E$14)</f>
        <v>15.798299999999999</v>
      </c>
      <c r="M832" s="59">
        <f>15.8032 * CHOOSE(CONTROL!$C$27, $C$14, 100%, $E$14)</f>
        <v>15.8032</v>
      </c>
      <c r="N832" s="59">
        <f>15.7983 * CHOOSE(CONTROL!$C$27, $C$14, 100%, $E$14)</f>
        <v>15.798299999999999</v>
      </c>
      <c r="O832" s="59">
        <f>15.8032 * CHOOSE(CONTROL!$C$27, $C$14, 100%, $E$14)</f>
        <v>15.8032</v>
      </c>
    </row>
    <row r="833" spans="1:15" ht="15">
      <c r="A833" s="11">
        <v>66446</v>
      </c>
      <c r="B833" s="58">
        <f>13.8535 * CHOOSE(CONTROL!$C$27, $C$14, 100%, $E$14)</f>
        <v>13.8535</v>
      </c>
      <c r="C833" s="58">
        <f>13.8535 * CHOOSE(CONTROL!$C$27, $C$14, 100%, $E$14)</f>
        <v>13.8535</v>
      </c>
      <c r="D833" s="58">
        <f>13.8575 * CHOOSE(CONTROL!$C$27, $C$14, 100%, $E$14)</f>
        <v>13.8575</v>
      </c>
      <c r="E833" s="59">
        <f>15.6529 * CHOOSE(CONTROL!$C$27, $C$14, 100%, $E$14)</f>
        <v>15.652900000000001</v>
      </c>
      <c r="F833" s="59">
        <f>15.6529 * CHOOSE(CONTROL!$C$27, $C$14, 100%, $E$14)</f>
        <v>15.652900000000001</v>
      </c>
      <c r="G833" s="59">
        <f>15.6578 * CHOOSE(CONTROL!$C$27, $C$14, 100%, $E$14)</f>
        <v>15.6578</v>
      </c>
      <c r="H833" s="59">
        <f>29.398* CHOOSE(CONTROL!$C$27, $C$14, 100%, $E$14)</f>
        <v>29.398</v>
      </c>
      <c r="I833" s="59">
        <f>29.4029 * CHOOSE(CONTROL!$C$27, $C$14, 100%, $E$14)</f>
        <v>29.402899999999999</v>
      </c>
      <c r="J833" s="59">
        <f>29.398 * CHOOSE(CONTROL!$C$27, $C$14, 100%, $E$14)</f>
        <v>29.398</v>
      </c>
      <c r="K833" s="59">
        <f>29.4029 * CHOOSE(CONTROL!$C$27, $C$14, 100%, $E$14)</f>
        <v>29.402899999999999</v>
      </c>
      <c r="L833" s="59">
        <f>15.6529 * CHOOSE(CONTROL!$C$27, $C$14, 100%, $E$14)</f>
        <v>15.652900000000001</v>
      </c>
      <c r="M833" s="59">
        <f>15.6578 * CHOOSE(CONTROL!$C$27, $C$14, 100%, $E$14)</f>
        <v>15.6578</v>
      </c>
      <c r="N833" s="59">
        <f>15.6529 * CHOOSE(CONTROL!$C$27, $C$14, 100%, $E$14)</f>
        <v>15.652900000000001</v>
      </c>
      <c r="O833" s="59">
        <f>15.6578 * CHOOSE(CONTROL!$C$27, $C$14, 100%, $E$14)</f>
        <v>15.6578</v>
      </c>
    </row>
    <row r="834" spans="1:15" ht="15">
      <c r="A834" s="11">
        <v>66477</v>
      </c>
      <c r="B834" s="58">
        <f>13.8432 * CHOOSE(CONTROL!$C$27, $C$14, 100%, $E$14)</f>
        <v>13.8432</v>
      </c>
      <c r="C834" s="58">
        <f>13.8432 * CHOOSE(CONTROL!$C$27, $C$14, 100%, $E$14)</f>
        <v>13.8432</v>
      </c>
      <c r="D834" s="58">
        <f>13.8472 * CHOOSE(CONTROL!$C$27, $C$14, 100%, $E$14)</f>
        <v>13.847200000000001</v>
      </c>
      <c r="E834" s="59">
        <f>15.7582 * CHOOSE(CONTROL!$C$27, $C$14, 100%, $E$14)</f>
        <v>15.7582</v>
      </c>
      <c r="F834" s="59">
        <f>15.7582 * CHOOSE(CONTROL!$C$27, $C$14, 100%, $E$14)</f>
        <v>15.7582</v>
      </c>
      <c r="G834" s="59">
        <f>15.7632 * CHOOSE(CONTROL!$C$27, $C$14, 100%, $E$14)</f>
        <v>15.763199999999999</v>
      </c>
      <c r="H834" s="59">
        <f>29.2152* CHOOSE(CONTROL!$C$27, $C$14, 100%, $E$14)</f>
        <v>29.215199999999999</v>
      </c>
      <c r="I834" s="59">
        <f>29.2201 * CHOOSE(CONTROL!$C$27, $C$14, 100%, $E$14)</f>
        <v>29.220099999999999</v>
      </c>
      <c r="J834" s="59">
        <f>29.2152 * CHOOSE(CONTROL!$C$27, $C$14, 100%, $E$14)</f>
        <v>29.215199999999999</v>
      </c>
      <c r="K834" s="59">
        <f>29.2201 * CHOOSE(CONTROL!$C$27, $C$14, 100%, $E$14)</f>
        <v>29.220099999999999</v>
      </c>
      <c r="L834" s="59">
        <f>15.7582 * CHOOSE(CONTROL!$C$27, $C$14, 100%, $E$14)</f>
        <v>15.7582</v>
      </c>
      <c r="M834" s="59">
        <f>15.7632 * CHOOSE(CONTROL!$C$27, $C$14, 100%, $E$14)</f>
        <v>15.763199999999999</v>
      </c>
      <c r="N834" s="59">
        <f>15.7582 * CHOOSE(CONTROL!$C$27, $C$14, 100%, $E$14)</f>
        <v>15.7582</v>
      </c>
      <c r="O834" s="59">
        <f>15.7632 * CHOOSE(CONTROL!$C$27, $C$14, 100%, $E$14)</f>
        <v>15.763199999999999</v>
      </c>
    </row>
    <row r="835" spans="1:15" ht="15">
      <c r="A835" s="11">
        <v>66508</v>
      </c>
      <c r="B835" s="58">
        <f>13.8401 * CHOOSE(CONTROL!$C$27, $C$14, 100%, $E$14)</f>
        <v>13.8401</v>
      </c>
      <c r="C835" s="58">
        <f>13.8401 * CHOOSE(CONTROL!$C$27, $C$14, 100%, $E$14)</f>
        <v>13.8401</v>
      </c>
      <c r="D835" s="58">
        <f>13.8441 * CHOOSE(CONTROL!$C$27, $C$14, 100%, $E$14)</f>
        <v>13.844099999999999</v>
      </c>
      <c r="E835" s="59">
        <f>15.4765 * CHOOSE(CONTROL!$C$27, $C$14, 100%, $E$14)</f>
        <v>15.4765</v>
      </c>
      <c r="F835" s="59">
        <f>15.4765 * CHOOSE(CONTROL!$C$27, $C$14, 100%, $E$14)</f>
        <v>15.4765</v>
      </c>
      <c r="G835" s="59">
        <f>15.4814 * CHOOSE(CONTROL!$C$27, $C$14, 100%, $E$14)</f>
        <v>15.481400000000001</v>
      </c>
      <c r="H835" s="59">
        <f>29.2761* CHOOSE(CONTROL!$C$27, $C$14, 100%, $E$14)</f>
        <v>29.2761</v>
      </c>
      <c r="I835" s="59">
        <f>29.281 * CHOOSE(CONTROL!$C$27, $C$14, 100%, $E$14)</f>
        <v>29.280999999999999</v>
      </c>
      <c r="J835" s="59">
        <f>29.2761 * CHOOSE(CONTROL!$C$27, $C$14, 100%, $E$14)</f>
        <v>29.2761</v>
      </c>
      <c r="K835" s="59">
        <f>29.281 * CHOOSE(CONTROL!$C$27, $C$14, 100%, $E$14)</f>
        <v>29.280999999999999</v>
      </c>
      <c r="L835" s="59">
        <f>15.4765 * CHOOSE(CONTROL!$C$27, $C$14, 100%, $E$14)</f>
        <v>15.4765</v>
      </c>
      <c r="M835" s="59">
        <f>15.4814 * CHOOSE(CONTROL!$C$27, $C$14, 100%, $E$14)</f>
        <v>15.481400000000001</v>
      </c>
      <c r="N835" s="59">
        <f>15.4765 * CHOOSE(CONTROL!$C$27, $C$14, 100%, $E$14)</f>
        <v>15.4765</v>
      </c>
      <c r="O835" s="59">
        <f>15.4814 * CHOOSE(CONTROL!$C$27, $C$14, 100%, $E$14)</f>
        <v>15.481400000000001</v>
      </c>
    </row>
    <row r="836" spans="1:15" ht="15">
      <c r="A836" s="11">
        <v>66536</v>
      </c>
      <c r="B836" s="58">
        <f>13.8371 * CHOOSE(CONTROL!$C$27, $C$14, 100%, $E$14)</f>
        <v>13.8371</v>
      </c>
      <c r="C836" s="58">
        <f>13.8371 * CHOOSE(CONTROL!$C$27, $C$14, 100%, $E$14)</f>
        <v>13.8371</v>
      </c>
      <c r="D836" s="58">
        <f>13.8411 * CHOOSE(CONTROL!$C$27, $C$14, 100%, $E$14)</f>
        <v>13.841100000000001</v>
      </c>
      <c r="E836" s="59">
        <f>15.6948 * CHOOSE(CONTROL!$C$27, $C$14, 100%, $E$14)</f>
        <v>15.694800000000001</v>
      </c>
      <c r="F836" s="59">
        <f>15.6948 * CHOOSE(CONTROL!$C$27, $C$14, 100%, $E$14)</f>
        <v>15.694800000000001</v>
      </c>
      <c r="G836" s="59">
        <f>15.6997 * CHOOSE(CONTROL!$C$27, $C$14, 100%, $E$14)</f>
        <v>15.6997</v>
      </c>
      <c r="H836" s="59">
        <f>29.337* CHOOSE(CONTROL!$C$27, $C$14, 100%, $E$14)</f>
        <v>29.337</v>
      </c>
      <c r="I836" s="59">
        <f>29.342 * CHOOSE(CONTROL!$C$27, $C$14, 100%, $E$14)</f>
        <v>29.341999999999999</v>
      </c>
      <c r="J836" s="59">
        <f>29.337 * CHOOSE(CONTROL!$C$27, $C$14, 100%, $E$14)</f>
        <v>29.337</v>
      </c>
      <c r="K836" s="59">
        <f>29.342 * CHOOSE(CONTROL!$C$27, $C$14, 100%, $E$14)</f>
        <v>29.341999999999999</v>
      </c>
      <c r="L836" s="59">
        <f>15.6948 * CHOOSE(CONTROL!$C$27, $C$14, 100%, $E$14)</f>
        <v>15.694800000000001</v>
      </c>
      <c r="M836" s="59">
        <f>15.6997 * CHOOSE(CONTROL!$C$27, $C$14, 100%, $E$14)</f>
        <v>15.6997</v>
      </c>
      <c r="N836" s="59">
        <f>15.6948 * CHOOSE(CONTROL!$C$27, $C$14, 100%, $E$14)</f>
        <v>15.694800000000001</v>
      </c>
      <c r="O836" s="59">
        <f>15.6997 * CHOOSE(CONTROL!$C$27, $C$14, 100%, $E$14)</f>
        <v>15.6997</v>
      </c>
    </row>
    <row r="837" spans="1:15" ht="15">
      <c r="A837" s="11">
        <v>66567</v>
      </c>
      <c r="B837" s="58">
        <f>13.843 * CHOOSE(CONTROL!$C$27, $C$14, 100%, $E$14)</f>
        <v>13.843</v>
      </c>
      <c r="C837" s="58">
        <f>13.843 * CHOOSE(CONTROL!$C$27, $C$14, 100%, $E$14)</f>
        <v>13.843</v>
      </c>
      <c r="D837" s="58">
        <f>13.847 * CHOOSE(CONTROL!$C$27, $C$14, 100%, $E$14)</f>
        <v>13.847</v>
      </c>
      <c r="E837" s="59">
        <f>15.9273 * CHOOSE(CONTROL!$C$27, $C$14, 100%, $E$14)</f>
        <v>15.927300000000001</v>
      </c>
      <c r="F837" s="59">
        <f>15.9273 * CHOOSE(CONTROL!$C$27, $C$14, 100%, $E$14)</f>
        <v>15.927300000000001</v>
      </c>
      <c r="G837" s="59">
        <f>15.9323 * CHOOSE(CONTROL!$C$27, $C$14, 100%, $E$14)</f>
        <v>15.9323</v>
      </c>
      <c r="H837" s="59">
        <f>29.3982* CHOOSE(CONTROL!$C$27, $C$14, 100%, $E$14)</f>
        <v>29.398199999999999</v>
      </c>
      <c r="I837" s="59">
        <f>29.4031 * CHOOSE(CONTROL!$C$27, $C$14, 100%, $E$14)</f>
        <v>29.403099999999998</v>
      </c>
      <c r="J837" s="59">
        <f>29.3982 * CHOOSE(CONTROL!$C$27, $C$14, 100%, $E$14)</f>
        <v>29.398199999999999</v>
      </c>
      <c r="K837" s="59">
        <f>29.4031 * CHOOSE(CONTROL!$C$27, $C$14, 100%, $E$14)</f>
        <v>29.403099999999998</v>
      </c>
      <c r="L837" s="59">
        <f>15.9273 * CHOOSE(CONTROL!$C$27, $C$14, 100%, $E$14)</f>
        <v>15.927300000000001</v>
      </c>
      <c r="M837" s="59">
        <f>15.9323 * CHOOSE(CONTROL!$C$27, $C$14, 100%, $E$14)</f>
        <v>15.9323</v>
      </c>
      <c r="N837" s="59">
        <f>15.9273 * CHOOSE(CONTROL!$C$27, $C$14, 100%, $E$14)</f>
        <v>15.927300000000001</v>
      </c>
      <c r="O837" s="59">
        <f>15.9323 * CHOOSE(CONTROL!$C$27, $C$14, 100%, $E$14)</f>
        <v>15.9323</v>
      </c>
    </row>
    <row r="838" spans="1:15" ht="15">
      <c r="A838" s="11">
        <v>66597</v>
      </c>
      <c r="B838" s="58">
        <f>13.843 * CHOOSE(CONTROL!$C$27, $C$14, 100%, $E$14)</f>
        <v>13.843</v>
      </c>
      <c r="C838" s="58">
        <f>13.843 * CHOOSE(CONTROL!$C$27, $C$14, 100%, $E$14)</f>
        <v>13.843</v>
      </c>
      <c r="D838" s="58">
        <f>13.8486 * CHOOSE(CONTROL!$C$27, $C$14, 100%, $E$14)</f>
        <v>13.848599999999999</v>
      </c>
      <c r="E838" s="59">
        <f>16.0161 * CHOOSE(CONTROL!$C$27, $C$14, 100%, $E$14)</f>
        <v>16.016100000000002</v>
      </c>
      <c r="F838" s="59">
        <f>16.0161 * CHOOSE(CONTROL!$C$27, $C$14, 100%, $E$14)</f>
        <v>16.016100000000002</v>
      </c>
      <c r="G838" s="59">
        <f>16.023 * CHOOSE(CONTROL!$C$27, $C$14, 100%, $E$14)</f>
        <v>16.023</v>
      </c>
      <c r="H838" s="59">
        <f>29.4594* CHOOSE(CONTROL!$C$27, $C$14, 100%, $E$14)</f>
        <v>29.459399999999999</v>
      </c>
      <c r="I838" s="59">
        <f>29.4663 * CHOOSE(CONTROL!$C$27, $C$14, 100%, $E$14)</f>
        <v>29.4663</v>
      </c>
      <c r="J838" s="59">
        <f>29.4594 * CHOOSE(CONTROL!$C$27, $C$14, 100%, $E$14)</f>
        <v>29.459399999999999</v>
      </c>
      <c r="K838" s="59">
        <f>29.4663 * CHOOSE(CONTROL!$C$27, $C$14, 100%, $E$14)</f>
        <v>29.4663</v>
      </c>
      <c r="L838" s="59">
        <f>16.0161 * CHOOSE(CONTROL!$C$27, $C$14, 100%, $E$14)</f>
        <v>16.016100000000002</v>
      </c>
      <c r="M838" s="59">
        <f>16.023 * CHOOSE(CONTROL!$C$27, $C$14, 100%, $E$14)</f>
        <v>16.023</v>
      </c>
      <c r="N838" s="59">
        <f>16.0161 * CHOOSE(CONTROL!$C$27, $C$14, 100%, $E$14)</f>
        <v>16.016100000000002</v>
      </c>
      <c r="O838" s="59">
        <f>16.023 * CHOOSE(CONTROL!$C$27, $C$14, 100%, $E$14)</f>
        <v>16.023</v>
      </c>
    </row>
    <row r="839" spans="1:15" ht="15">
      <c r="A839" s="11">
        <v>66628</v>
      </c>
      <c r="B839" s="58">
        <f>13.8491 * CHOOSE(CONTROL!$C$27, $C$14, 100%, $E$14)</f>
        <v>13.8491</v>
      </c>
      <c r="C839" s="58">
        <f>13.8491 * CHOOSE(CONTROL!$C$27, $C$14, 100%, $E$14)</f>
        <v>13.8491</v>
      </c>
      <c r="D839" s="58">
        <f>13.8547 * CHOOSE(CONTROL!$C$27, $C$14, 100%, $E$14)</f>
        <v>13.854699999999999</v>
      </c>
      <c r="E839" s="59">
        <f>15.9316 * CHOOSE(CONTROL!$C$27, $C$14, 100%, $E$14)</f>
        <v>15.9316</v>
      </c>
      <c r="F839" s="59">
        <f>15.9316 * CHOOSE(CONTROL!$C$27, $C$14, 100%, $E$14)</f>
        <v>15.9316</v>
      </c>
      <c r="G839" s="59">
        <f>15.9385 * CHOOSE(CONTROL!$C$27, $C$14, 100%, $E$14)</f>
        <v>15.938499999999999</v>
      </c>
      <c r="H839" s="59">
        <f>29.5208* CHOOSE(CONTROL!$C$27, $C$14, 100%, $E$14)</f>
        <v>29.520800000000001</v>
      </c>
      <c r="I839" s="59">
        <f>29.5277 * CHOOSE(CONTROL!$C$27, $C$14, 100%, $E$14)</f>
        <v>29.527699999999999</v>
      </c>
      <c r="J839" s="59">
        <f>29.5208 * CHOOSE(CONTROL!$C$27, $C$14, 100%, $E$14)</f>
        <v>29.520800000000001</v>
      </c>
      <c r="K839" s="59">
        <f>29.5277 * CHOOSE(CONTROL!$C$27, $C$14, 100%, $E$14)</f>
        <v>29.527699999999999</v>
      </c>
      <c r="L839" s="59">
        <f>15.9316 * CHOOSE(CONTROL!$C$27, $C$14, 100%, $E$14)</f>
        <v>15.9316</v>
      </c>
      <c r="M839" s="59">
        <f>15.9385 * CHOOSE(CONTROL!$C$27, $C$14, 100%, $E$14)</f>
        <v>15.938499999999999</v>
      </c>
      <c r="N839" s="59">
        <f>15.9316 * CHOOSE(CONTROL!$C$27, $C$14, 100%, $E$14)</f>
        <v>15.9316</v>
      </c>
      <c r="O839" s="59">
        <f>15.9385 * CHOOSE(CONTROL!$C$27, $C$14, 100%, $E$14)</f>
        <v>15.938499999999999</v>
      </c>
    </row>
    <row r="840" spans="1:15" ht="15">
      <c r="A840" s="11">
        <v>66658</v>
      </c>
      <c r="B840" s="58">
        <f>14.0592 * CHOOSE(CONTROL!$C$27, $C$14, 100%, $E$14)</f>
        <v>14.059200000000001</v>
      </c>
      <c r="C840" s="58">
        <f>14.0592 * CHOOSE(CONTROL!$C$27, $C$14, 100%, $E$14)</f>
        <v>14.059200000000001</v>
      </c>
      <c r="D840" s="58">
        <f>14.0649 * CHOOSE(CONTROL!$C$27, $C$14, 100%, $E$14)</f>
        <v>14.0649</v>
      </c>
      <c r="E840" s="59">
        <f>16.1851 * CHOOSE(CONTROL!$C$27, $C$14, 100%, $E$14)</f>
        <v>16.185099999999998</v>
      </c>
      <c r="F840" s="59">
        <f>16.1851 * CHOOSE(CONTROL!$C$27, $C$14, 100%, $E$14)</f>
        <v>16.185099999999998</v>
      </c>
      <c r="G840" s="59">
        <f>16.192 * CHOOSE(CONTROL!$C$27, $C$14, 100%, $E$14)</f>
        <v>16.192</v>
      </c>
      <c r="H840" s="59">
        <f>29.5823* CHOOSE(CONTROL!$C$27, $C$14, 100%, $E$14)</f>
        <v>29.5823</v>
      </c>
      <c r="I840" s="59">
        <f>29.5892 * CHOOSE(CONTROL!$C$27, $C$14, 100%, $E$14)</f>
        <v>29.589200000000002</v>
      </c>
      <c r="J840" s="59">
        <f>29.5823 * CHOOSE(CONTROL!$C$27, $C$14, 100%, $E$14)</f>
        <v>29.5823</v>
      </c>
      <c r="K840" s="59">
        <f>29.5892 * CHOOSE(CONTROL!$C$27, $C$14, 100%, $E$14)</f>
        <v>29.589200000000002</v>
      </c>
      <c r="L840" s="59">
        <f>16.1851 * CHOOSE(CONTROL!$C$27, $C$14, 100%, $E$14)</f>
        <v>16.185099999999998</v>
      </c>
      <c r="M840" s="59">
        <f>16.192 * CHOOSE(CONTROL!$C$27, $C$14, 100%, $E$14)</f>
        <v>16.192</v>
      </c>
      <c r="N840" s="59">
        <f>16.1851 * CHOOSE(CONTROL!$C$27, $C$14, 100%, $E$14)</f>
        <v>16.185099999999998</v>
      </c>
      <c r="O840" s="59">
        <f>16.192 * CHOOSE(CONTROL!$C$27, $C$14, 100%, $E$14)</f>
        <v>16.192</v>
      </c>
    </row>
    <row r="841" spans="1:15" ht="15">
      <c r="A841" s="11">
        <v>66689</v>
      </c>
      <c r="B841" s="58">
        <f>14.0659 * CHOOSE(CONTROL!$C$27, $C$14, 100%, $E$14)</f>
        <v>14.065899999999999</v>
      </c>
      <c r="C841" s="58">
        <f>14.0659 * CHOOSE(CONTROL!$C$27, $C$14, 100%, $E$14)</f>
        <v>14.065899999999999</v>
      </c>
      <c r="D841" s="58">
        <f>14.0716 * CHOOSE(CONTROL!$C$27, $C$14, 100%, $E$14)</f>
        <v>14.0716</v>
      </c>
      <c r="E841" s="59">
        <f>15.9234 * CHOOSE(CONTROL!$C$27, $C$14, 100%, $E$14)</f>
        <v>15.923400000000001</v>
      </c>
      <c r="F841" s="59">
        <f>15.9234 * CHOOSE(CONTROL!$C$27, $C$14, 100%, $E$14)</f>
        <v>15.923400000000001</v>
      </c>
      <c r="G841" s="59">
        <f>15.9303 * CHOOSE(CONTROL!$C$27, $C$14, 100%, $E$14)</f>
        <v>15.930300000000001</v>
      </c>
      <c r="H841" s="59">
        <f>29.6439* CHOOSE(CONTROL!$C$27, $C$14, 100%, $E$14)</f>
        <v>29.643899999999999</v>
      </c>
      <c r="I841" s="59">
        <f>29.6508 * CHOOSE(CONTROL!$C$27, $C$14, 100%, $E$14)</f>
        <v>29.6508</v>
      </c>
      <c r="J841" s="59">
        <f>29.6439 * CHOOSE(CONTROL!$C$27, $C$14, 100%, $E$14)</f>
        <v>29.643899999999999</v>
      </c>
      <c r="K841" s="59">
        <f>29.6508 * CHOOSE(CONTROL!$C$27, $C$14, 100%, $E$14)</f>
        <v>29.6508</v>
      </c>
      <c r="L841" s="59">
        <f>15.9234 * CHOOSE(CONTROL!$C$27, $C$14, 100%, $E$14)</f>
        <v>15.923400000000001</v>
      </c>
      <c r="M841" s="59">
        <f>15.9303 * CHOOSE(CONTROL!$C$27, $C$14, 100%, $E$14)</f>
        <v>15.930300000000001</v>
      </c>
      <c r="N841" s="59">
        <f>15.9234 * CHOOSE(CONTROL!$C$27, $C$14, 100%, $E$14)</f>
        <v>15.923400000000001</v>
      </c>
      <c r="O841" s="59">
        <f>15.9303 * CHOOSE(CONTROL!$C$27, $C$14, 100%, $E$14)</f>
        <v>15.930300000000001</v>
      </c>
    </row>
    <row r="842" spans="1:15" ht="15">
      <c r="A842" s="11">
        <v>66720</v>
      </c>
      <c r="B842" s="58">
        <f>14.0629 * CHOOSE(CONTROL!$C$27, $C$14, 100%, $E$14)</f>
        <v>14.062900000000001</v>
      </c>
      <c r="C842" s="58">
        <f>14.0629 * CHOOSE(CONTROL!$C$27, $C$14, 100%, $E$14)</f>
        <v>14.062900000000001</v>
      </c>
      <c r="D842" s="58">
        <f>14.0685 * CHOOSE(CONTROL!$C$27, $C$14, 100%, $E$14)</f>
        <v>14.0685</v>
      </c>
      <c r="E842" s="59">
        <f>15.8917 * CHOOSE(CONTROL!$C$27, $C$14, 100%, $E$14)</f>
        <v>15.8917</v>
      </c>
      <c r="F842" s="59">
        <f>15.8917 * CHOOSE(CONTROL!$C$27, $C$14, 100%, $E$14)</f>
        <v>15.8917</v>
      </c>
      <c r="G842" s="59">
        <f>15.8986 * CHOOSE(CONTROL!$C$27, $C$14, 100%, $E$14)</f>
        <v>15.8986</v>
      </c>
      <c r="H842" s="59">
        <f>29.7057* CHOOSE(CONTROL!$C$27, $C$14, 100%, $E$14)</f>
        <v>29.7057</v>
      </c>
      <c r="I842" s="59">
        <f>29.7126 * CHOOSE(CONTROL!$C$27, $C$14, 100%, $E$14)</f>
        <v>29.712599999999998</v>
      </c>
      <c r="J842" s="59">
        <f>29.7057 * CHOOSE(CONTROL!$C$27, $C$14, 100%, $E$14)</f>
        <v>29.7057</v>
      </c>
      <c r="K842" s="59">
        <f>29.7126 * CHOOSE(CONTROL!$C$27, $C$14, 100%, $E$14)</f>
        <v>29.712599999999998</v>
      </c>
      <c r="L842" s="59">
        <f>15.8917 * CHOOSE(CONTROL!$C$27, $C$14, 100%, $E$14)</f>
        <v>15.8917</v>
      </c>
      <c r="M842" s="59">
        <f>15.8986 * CHOOSE(CONTROL!$C$27, $C$14, 100%, $E$14)</f>
        <v>15.8986</v>
      </c>
      <c r="N842" s="59">
        <f>15.8917 * CHOOSE(CONTROL!$C$27, $C$14, 100%, $E$14)</f>
        <v>15.8917</v>
      </c>
      <c r="O842" s="59">
        <f>15.8986 * CHOOSE(CONTROL!$C$27, $C$14, 100%, $E$14)</f>
        <v>15.8986</v>
      </c>
    </row>
    <row r="843" spans="1:15" ht="15">
      <c r="A843" s="11">
        <v>66750</v>
      </c>
      <c r="B843" s="58">
        <f>14.0904 * CHOOSE(CONTROL!$C$27, $C$14, 100%, $E$14)</f>
        <v>14.090400000000001</v>
      </c>
      <c r="C843" s="58">
        <f>14.0904 * CHOOSE(CONTROL!$C$27, $C$14, 100%, $E$14)</f>
        <v>14.090400000000001</v>
      </c>
      <c r="D843" s="58">
        <f>14.0944 * CHOOSE(CONTROL!$C$27, $C$14, 100%, $E$14)</f>
        <v>14.0944</v>
      </c>
      <c r="E843" s="59">
        <f>15.9967 * CHOOSE(CONTROL!$C$27, $C$14, 100%, $E$14)</f>
        <v>15.996700000000001</v>
      </c>
      <c r="F843" s="59">
        <f>15.9967 * CHOOSE(CONTROL!$C$27, $C$14, 100%, $E$14)</f>
        <v>15.996700000000001</v>
      </c>
      <c r="G843" s="59">
        <f>16.0016 * CHOOSE(CONTROL!$C$27, $C$14, 100%, $E$14)</f>
        <v>16.0016</v>
      </c>
      <c r="H843" s="59">
        <f>29.7676* CHOOSE(CONTROL!$C$27, $C$14, 100%, $E$14)</f>
        <v>29.767600000000002</v>
      </c>
      <c r="I843" s="59">
        <f>29.7725 * CHOOSE(CONTROL!$C$27, $C$14, 100%, $E$14)</f>
        <v>29.772500000000001</v>
      </c>
      <c r="J843" s="59">
        <f>29.7676 * CHOOSE(CONTROL!$C$27, $C$14, 100%, $E$14)</f>
        <v>29.767600000000002</v>
      </c>
      <c r="K843" s="59">
        <f>29.7725 * CHOOSE(CONTROL!$C$27, $C$14, 100%, $E$14)</f>
        <v>29.772500000000001</v>
      </c>
      <c r="L843" s="59">
        <f>15.9967 * CHOOSE(CONTROL!$C$27, $C$14, 100%, $E$14)</f>
        <v>15.996700000000001</v>
      </c>
      <c r="M843" s="59">
        <f>16.0016 * CHOOSE(CONTROL!$C$27, $C$14, 100%, $E$14)</f>
        <v>16.0016</v>
      </c>
      <c r="N843" s="59">
        <f>15.9967 * CHOOSE(CONTROL!$C$27, $C$14, 100%, $E$14)</f>
        <v>15.996700000000001</v>
      </c>
      <c r="O843" s="59">
        <f>16.0016 * CHOOSE(CONTROL!$C$27, $C$14, 100%, $E$14)</f>
        <v>16.0016</v>
      </c>
    </row>
    <row r="844" spans="1:15" ht="15">
      <c r="A844" s="11">
        <v>66781</v>
      </c>
      <c r="B844" s="58">
        <f>14.0934 * CHOOSE(CONTROL!$C$27, $C$14, 100%, $E$14)</f>
        <v>14.093400000000001</v>
      </c>
      <c r="C844" s="58">
        <f>14.0934 * CHOOSE(CONTROL!$C$27, $C$14, 100%, $E$14)</f>
        <v>14.093400000000001</v>
      </c>
      <c r="D844" s="58">
        <f>14.0974 * CHOOSE(CONTROL!$C$27, $C$14, 100%, $E$14)</f>
        <v>14.0974</v>
      </c>
      <c r="E844" s="59">
        <f>16.058 * CHOOSE(CONTROL!$C$27, $C$14, 100%, $E$14)</f>
        <v>16.058</v>
      </c>
      <c r="F844" s="59">
        <f>16.058 * CHOOSE(CONTROL!$C$27, $C$14, 100%, $E$14)</f>
        <v>16.058</v>
      </c>
      <c r="G844" s="59">
        <f>16.0629 * CHOOSE(CONTROL!$C$27, $C$14, 100%, $E$14)</f>
        <v>16.062899999999999</v>
      </c>
      <c r="H844" s="59">
        <f>29.8296* CHOOSE(CONTROL!$C$27, $C$14, 100%, $E$14)</f>
        <v>29.829599999999999</v>
      </c>
      <c r="I844" s="59">
        <f>29.8345 * CHOOSE(CONTROL!$C$27, $C$14, 100%, $E$14)</f>
        <v>29.834499999999998</v>
      </c>
      <c r="J844" s="59">
        <f>29.8296 * CHOOSE(CONTROL!$C$27, $C$14, 100%, $E$14)</f>
        <v>29.829599999999999</v>
      </c>
      <c r="K844" s="59">
        <f>29.8345 * CHOOSE(CONTROL!$C$27, $C$14, 100%, $E$14)</f>
        <v>29.834499999999998</v>
      </c>
      <c r="L844" s="59">
        <f>16.058 * CHOOSE(CONTROL!$C$27, $C$14, 100%, $E$14)</f>
        <v>16.058</v>
      </c>
      <c r="M844" s="59">
        <f>16.0629 * CHOOSE(CONTROL!$C$27, $C$14, 100%, $E$14)</f>
        <v>16.062899999999999</v>
      </c>
      <c r="N844" s="59">
        <f>16.058 * CHOOSE(CONTROL!$C$27, $C$14, 100%, $E$14)</f>
        <v>16.058</v>
      </c>
      <c r="O844" s="59">
        <f>16.0629 * CHOOSE(CONTROL!$C$27, $C$14, 100%, $E$14)</f>
        <v>16.062899999999999</v>
      </c>
    </row>
    <row r="845" spans="1:15" ht="15">
      <c r="A845" s="11">
        <v>66811</v>
      </c>
      <c r="B845" s="58">
        <f>14.0934 * CHOOSE(CONTROL!$C$27, $C$14, 100%, $E$14)</f>
        <v>14.093400000000001</v>
      </c>
      <c r="C845" s="58">
        <f>14.0934 * CHOOSE(CONTROL!$C$27, $C$14, 100%, $E$14)</f>
        <v>14.093400000000001</v>
      </c>
      <c r="D845" s="58">
        <f>14.0974 * CHOOSE(CONTROL!$C$27, $C$14, 100%, $E$14)</f>
        <v>14.0974</v>
      </c>
      <c r="E845" s="59">
        <f>15.91 * CHOOSE(CONTROL!$C$27, $C$14, 100%, $E$14)</f>
        <v>15.91</v>
      </c>
      <c r="F845" s="59">
        <f>15.91 * CHOOSE(CONTROL!$C$27, $C$14, 100%, $E$14)</f>
        <v>15.91</v>
      </c>
      <c r="G845" s="59">
        <f>15.9149 * CHOOSE(CONTROL!$C$27, $C$14, 100%, $E$14)</f>
        <v>15.914899999999999</v>
      </c>
      <c r="H845" s="59">
        <f>29.8917* CHOOSE(CONTROL!$C$27, $C$14, 100%, $E$14)</f>
        <v>29.8917</v>
      </c>
      <c r="I845" s="59">
        <f>29.8966 * CHOOSE(CONTROL!$C$27, $C$14, 100%, $E$14)</f>
        <v>29.896599999999999</v>
      </c>
      <c r="J845" s="59">
        <f>29.8917 * CHOOSE(CONTROL!$C$27, $C$14, 100%, $E$14)</f>
        <v>29.8917</v>
      </c>
      <c r="K845" s="59">
        <f>29.8966 * CHOOSE(CONTROL!$C$27, $C$14, 100%, $E$14)</f>
        <v>29.896599999999999</v>
      </c>
      <c r="L845" s="59">
        <f>15.91 * CHOOSE(CONTROL!$C$27, $C$14, 100%, $E$14)</f>
        <v>15.91</v>
      </c>
      <c r="M845" s="59">
        <f>15.9149 * CHOOSE(CONTROL!$C$27, $C$14, 100%, $E$14)</f>
        <v>15.914899999999999</v>
      </c>
      <c r="N845" s="59">
        <f>15.91 * CHOOSE(CONTROL!$C$27, $C$14, 100%, $E$14)</f>
        <v>15.91</v>
      </c>
      <c r="O845" s="59">
        <f>15.9149 * CHOOSE(CONTROL!$C$27, $C$14, 100%, $E$14)</f>
        <v>15.914899999999999</v>
      </c>
    </row>
    <row r="846" spans="1:15" ht="15">
      <c r="A846" s="11">
        <v>66842</v>
      </c>
      <c r="B846" s="58">
        <f>14.0787 * CHOOSE(CONTROL!$C$27, $C$14, 100%, $E$14)</f>
        <v>14.0787</v>
      </c>
      <c r="C846" s="58">
        <f>14.0787 * CHOOSE(CONTROL!$C$27, $C$14, 100%, $E$14)</f>
        <v>14.0787</v>
      </c>
      <c r="D846" s="58">
        <f>14.0827 * CHOOSE(CONTROL!$C$27, $C$14, 100%, $E$14)</f>
        <v>14.082700000000001</v>
      </c>
      <c r="E846" s="59">
        <f>16.013 * CHOOSE(CONTROL!$C$27, $C$14, 100%, $E$14)</f>
        <v>16.013000000000002</v>
      </c>
      <c r="F846" s="59">
        <f>16.013 * CHOOSE(CONTROL!$C$27, $C$14, 100%, $E$14)</f>
        <v>16.013000000000002</v>
      </c>
      <c r="G846" s="59">
        <f>16.0179 * CHOOSE(CONTROL!$C$27, $C$14, 100%, $E$14)</f>
        <v>16.017900000000001</v>
      </c>
      <c r="H846" s="59">
        <f>29.6977* CHOOSE(CONTROL!$C$27, $C$14, 100%, $E$14)</f>
        <v>29.697700000000001</v>
      </c>
      <c r="I846" s="59">
        <f>29.7027 * CHOOSE(CONTROL!$C$27, $C$14, 100%, $E$14)</f>
        <v>29.7027</v>
      </c>
      <c r="J846" s="59">
        <f>29.6977 * CHOOSE(CONTROL!$C$27, $C$14, 100%, $E$14)</f>
        <v>29.697700000000001</v>
      </c>
      <c r="K846" s="59">
        <f>29.7027 * CHOOSE(CONTROL!$C$27, $C$14, 100%, $E$14)</f>
        <v>29.7027</v>
      </c>
      <c r="L846" s="59">
        <f>16.013 * CHOOSE(CONTROL!$C$27, $C$14, 100%, $E$14)</f>
        <v>16.013000000000002</v>
      </c>
      <c r="M846" s="59">
        <f>16.0179 * CHOOSE(CONTROL!$C$27, $C$14, 100%, $E$14)</f>
        <v>16.017900000000001</v>
      </c>
      <c r="N846" s="59">
        <f>16.013 * CHOOSE(CONTROL!$C$27, $C$14, 100%, $E$14)</f>
        <v>16.013000000000002</v>
      </c>
      <c r="O846" s="59">
        <f>16.0179 * CHOOSE(CONTROL!$C$27, $C$14, 100%, $E$14)</f>
        <v>16.017900000000001</v>
      </c>
    </row>
    <row r="847" spans="1:15" ht="15">
      <c r="A847" s="11">
        <v>66873</v>
      </c>
      <c r="B847" s="58">
        <f>14.0757 * CHOOSE(CONTROL!$C$27, $C$14, 100%, $E$14)</f>
        <v>14.075699999999999</v>
      </c>
      <c r="C847" s="58">
        <f>14.0757 * CHOOSE(CONTROL!$C$27, $C$14, 100%, $E$14)</f>
        <v>14.075699999999999</v>
      </c>
      <c r="D847" s="58">
        <f>14.0797 * CHOOSE(CONTROL!$C$27, $C$14, 100%, $E$14)</f>
        <v>14.079700000000001</v>
      </c>
      <c r="E847" s="59">
        <f>15.7262 * CHOOSE(CONTROL!$C$27, $C$14, 100%, $E$14)</f>
        <v>15.7262</v>
      </c>
      <c r="F847" s="59">
        <f>15.7262 * CHOOSE(CONTROL!$C$27, $C$14, 100%, $E$14)</f>
        <v>15.7262</v>
      </c>
      <c r="G847" s="59">
        <f>15.7312 * CHOOSE(CONTROL!$C$27, $C$14, 100%, $E$14)</f>
        <v>15.731199999999999</v>
      </c>
      <c r="H847" s="59">
        <f>29.7596* CHOOSE(CONTROL!$C$27, $C$14, 100%, $E$14)</f>
        <v>29.759599999999999</v>
      </c>
      <c r="I847" s="59">
        <f>29.7645 * CHOOSE(CONTROL!$C$27, $C$14, 100%, $E$14)</f>
        <v>29.764500000000002</v>
      </c>
      <c r="J847" s="59">
        <f>29.7596 * CHOOSE(CONTROL!$C$27, $C$14, 100%, $E$14)</f>
        <v>29.759599999999999</v>
      </c>
      <c r="K847" s="59">
        <f>29.7645 * CHOOSE(CONTROL!$C$27, $C$14, 100%, $E$14)</f>
        <v>29.764500000000002</v>
      </c>
      <c r="L847" s="59">
        <f>15.7262 * CHOOSE(CONTROL!$C$27, $C$14, 100%, $E$14)</f>
        <v>15.7262</v>
      </c>
      <c r="M847" s="59">
        <f>15.7312 * CHOOSE(CONTROL!$C$27, $C$14, 100%, $E$14)</f>
        <v>15.731199999999999</v>
      </c>
      <c r="N847" s="59">
        <f>15.7262 * CHOOSE(CONTROL!$C$27, $C$14, 100%, $E$14)</f>
        <v>15.7262</v>
      </c>
      <c r="O847" s="59">
        <f>15.7312 * CHOOSE(CONTROL!$C$27, $C$14, 100%, $E$14)</f>
        <v>15.731199999999999</v>
      </c>
    </row>
    <row r="848" spans="1:15" ht="15">
      <c r="A848" s="11">
        <v>66901</v>
      </c>
      <c r="B848" s="58">
        <f>14.0727 * CHOOSE(CONTROL!$C$27, $C$14, 100%, $E$14)</f>
        <v>14.072699999999999</v>
      </c>
      <c r="C848" s="58">
        <f>14.0727 * CHOOSE(CONTROL!$C$27, $C$14, 100%, $E$14)</f>
        <v>14.072699999999999</v>
      </c>
      <c r="D848" s="58">
        <f>14.0767 * CHOOSE(CONTROL!$C$27, $C$14, 100%, $E$14)</f>
        <v>14.076700000000001</v>
      </c>
      <c r="E848" s="59">
        <f>15.9485 * CHOOSE(CONTROL!$C$27, $C$14, 100%, $E$14)</f>
        <v>15.948499999999999</v>
      </c>
      <c r="F848" s="59">
        <f>15.9485 * CHOOSE(CONTROL!$C$27, $C$14, 100%, $E$14)</f>
        <v>15.948499999999999</v>
      </c>
      <c r="G848" s="59">
        <f>15.9534 * CHOOSE(CONTROL!$C$27, $C$14, 100%, $E$14)</f>
        <v>15.9534</v>
      </c>
      <c r="H848" s="59">
        <f>29.8216* CHOOSE(CONTROL!$C$27, $C$14, 100%, $E$14)</f>
        <v>29.8216</v>
      </c>
      <c r="I848" s="59">
        <f>29.8265 * CHOOSE(CONTROL!$C$27, $C$14, 100%, $E$14)</f>
        <v>29.826499999999999</v>
      </c>
      <c r="J848" s="59">
        <f>29.8216 * CHOOSE(CONTROL!$C$27, $C$14, 100%, $E$14)</f>
        <v>29.8216</v>
      </c>
      <c r="K848" s="59">
        <f>29.8265 * CHOOSE(CONTROL!$C$27, $C$14, 100%, $E$14)</f>
        <v>29.826499999999999</v>
      </c>
      <c r="L848" s="59">
        <f>15.9485 * CHOOSE(CONTROL!$C$27, $C$14, 100%, $E$14)</f>
        <v>15.948499999999999</v>
      </c>
      <c r="M848" s="59">
        <f>15.9534 * CHOOSE(CONTROL!$C$27, $C$14, 100%, $E$14)</f>
        <v>15.9534</v>
      </c>
      <c r="N848" s="59">
        <f>15.9485 * CHOOSE(CONTROL!$C$27, $C$14, 100%, $E$14)</f>
        <v>15.948499999999999</v>
      </c>
      <c r="O848" s="59">
        <f>15.9534 * CHOOSE(CONTROL!$C$27, $C$14, 100%, $E$14)</f>
        <v>15.9534</v>
      </c>
    </row>
    <row r="849" spans="1:15" ht="15">
      <c r="A849" s="11">
        <v>66932</v>
      </c>
      <c r="B849" s="58">
        <f>14.0787 * CHOOSE(CONTROL!$C$27, $C$14, 100%, $E$14)</f>
        <v>14.0787</v>
      </c>
      <c r="C849" s="58">
        <f>14.0787 * CHOOSE(CONTROL!$C$27, $C$14, 100%, $E$14)</f>
        <v>14.0787</v>
      </c>
      <c r="D849" s="58">
        <f>14.0827 * CHOOSE(CONTROL!$C$27, $C$14, 100%, $E$14)</f>
        <v>14.082700000000001</v>
      </c>
      <c r="E849" s="59">
        <f>16.1852 * CHOOSE(CONTROL!$C$27, $C$14, 100%, $E$14)</f>
        <v>16.185199999999998</v>
      </c>
      <c r="F849" s="59">
        <f>16.1852 * CHOOSE(CONTROL!$C$27, $C$14, 100%, $E$14)</f>
        <v>16.185199999999998</v>
      </c>
      <c r="G849" s="59">
        <f>16.1901 * CHOOSE(CONTROL!$C$27, $C$14, 100%, $E$14)</f>
        <v>16.190100000000001</v>
      </c>
      <c r="H849" s="59">
        <f>29.8837* CHOOSE(CONTROL!$C$27, $C$14, 100%, $E$14)</f>
        <v>29.883700000000001</v>
      </c>
      <c r="I849" s="59">
        <f>29.8887 * CHOOSE(CONTROL!$C$27, $C$14, 100%, $E$14)</f>
        <v>29.8887</v>
      </c>
      <c r="J849" s="59">
        <f>29.8837 * CHOOSE(CONTROL!$C$27, $C$14, 100%, $E$14)</f>
        <v>29.883700000000001</v>
      </c>
      <c r="K849" s="59">
        <f>29.8887 * CHOOSE(CONTROL!$C$27, $C$14, 100%, $E$14)</f>
        <v>29.8887</v>
      </c>
      <c r="L849" s="59">
        <f>16.1852 * CHOOSE(CONTROL!$C$27, $C$14, 100%, $E$14)</f>
        <v>16.185199999999998</v>
      </c>
      <c r="M849" s="59">
        <f>16.1901 * CHOOSE(CONTROL!$C$27, $C$14, 100%, $E$14)</f>
        <v>16.190100000000001</v>
      </c>
      <c r="N849" s="59">
        <f>16.1852 * CHOOSE(CONTROL!$C$27, $C$14, 100%, $E$14)</f>
        <v>16.185199999999998</v>
      </c>
      <c r="O849" s="59">
        <f>16.1901 * CHOOSE(CONTROL!$C$27, $C$14, 100%, $E$14)</f>
        <v>16.190100000000001</v>
      </c>
    </row>
    <row r="850" spans="1:15" ht="15">
      <c r="A850" s="11">
        <v>66962</v>
      </c>
      <c r="B850" s="58">
        <f>14.0787 * CHOOSE(CONTROL!$C$27, $C$14, 100%, $E$14)</f>
        <v>14.0787</v>
      </c>
      <c r="C850" s="58">
        <f>14.0787 * CHOOSE(CONTROL!$C$27, $C$14, 100%, $E$14)</f>
        <v>14.0787</v>
      </c>
      <c r="D850" s="58">
        <f>14.0844 * CHOOSE(CONTROL!$C$27, $C$14, 100%, $E$14)</f>
        <v>14.0844</v>
      </c>
      <c r="E850" s="59">
        <f>16.2756 * CHOOSE(CONTROL!$C$27, $C$14, 100%, $E$14)</f>
        <v>16.275600000000001</v>
      </c>
      <c r="F850" s="59">
        <f>16.2756 * CHOOSE(CONTROL!$C$27, $C$14, 100%, $E$14)</f>
        <v>16.275600000000001</v>
      </c>
      <c r="G850" s="59">
        <f>16.2824 * CHOOSE(CONTROL!$C$27, $C$14, 100%, $E$14)</f>
        <v>16.282399999999999</v>
      </c>
      <c r="H850" s="59">
        <f>29.946* CHOOSE(CONTROL!$C$27, $C$14, 100%, $E$14)</f>
        <v>29.946000000000002</v>
      </c>
      <c r="I850" s="59">
        <f>29.9529 * CHOOSE(CONTROL!$C$27, $C$14, 100%, $E$14)</f>
        <v>29.9529</v>
      </c>
      <c r="J850" s="59">
        <f>29.946 * CHOOSE(CONTROL!$C$27, $C$14, 100%, $E$14)</f>
        <v>29.946000000000002</v>
      </c>
      <c r="K850" s="59">
        <f>29.9529 * CHOOSE(CONTROL!$C$27, $C$14, 100%, $E$14)</f>
        <v>29.9529</v>
      </c>
      <c r="L850" s="59">
        <f>16.2756 * CHOOSE(CONTROL!$C$27, $C$14, 100%, $E$14)</f>
        <v>16.275600000000001</v>
      </c>
      <c r="M850" s="59">
        <f>16.2824 * CHOOSE(CONTROL!$C$27, $C$14, 100%, $E$14)</f>
        <v>16.282399999999999</v>
      </c>
      <c r="N850" s="59">
        <f>16.2756 * CHOOSE(CONTROL!$C$27, $C$14, 100%, $E$14)</f>
        <v>16.275600000000001</v>
      </c>
      <c r="O850" s="59">
        <f>16.2824 * CHOOSE(CONTROL!$C$27, $C$14, 100%, $E$14)</f>
        <v>16.282399999999999</v>
      </c>
    </row>
    <row r="851" spans="1:15" ht="15">
      <c r="A851" s="11">
        <v>66993</v>
      </c>
      <c r="B851" s="58">
        <f>14.0848 * CHOOSE(CONTROL!$C$27, $C$14, 100%, $E$14)</f>
        <v>14.0848</v>
      </c>
      <c r="C851" s="58">
        <f>14.0848 * CHOOSE(CONTROL!$C$27, $C$14, 100%, $E$14)</f>
        <v>14.0848</v>
      </c>
      <c r="D851" s="58">
        <f>14.0905 * CHOOSE(CONTROL!$C$27, $C$14, 100%, $E$14)</f>
        <v>14.0905</v>
      </c>
      <c r="E851" s="59">
        <f>16.1894 * CHOOSE(CONTROL!$C$27, $C$14, 100%, $E$14)</f>
        <v>16.189399999999999</v>
      </c>
      <c r="F851" s="59">
        <f>16.1894 * CHOOSE(CONTROL!$C$27, $C$14, 100%, $E$14)</f>
        <v>16.189399999999999</v>
      </c>
      <c r="G851" s="59">
        <f>16.1963 * CHOOSE(CONTROL!$C$27, $C$14, 100%, $E$14)</f>
        <v>16.196300000000001</v>
      </c>
      <c r="H851" s="59">
        <f>30.0084* CHOOSE(CONTROL!$C$27, $C$14, 100%, $E$14)</f>
        <v>30.008400000000002</v>
      </c>
      <c r="I851" s="59">
        <f>30.0153 * CHOOSE(CONTROL!$C$27, $C$14, 100%, $E$14)</f>
        <v>30.0153</v>
      </c>
      <c r="J851" s="59">
        <f>30.0084 * CHOOSE(CONTROL!$C$27, $C$14, 100%, $E$14)</f>
        <v>30.008400000000002</v>
      </c>
      <c r="K851" s="59">
        <f>30.0153 * CHOOSE(CONTROL!$C$27, $C$14, 100%, $E$14)</f>
        <v>30.0153</v>
      </c>
      <c r="L851" s="59">
        <f>16.1894 * CHOOSE(CONTROL!$C$27, $C$14, 100%, $E$14)</f>
        <v>16.189399999999999</v>
      </c>
      <c r="M851" s="59">
        <f>16.1963 * CHOOSE(CONTROL!$C$27, $C$14, 100%, $E$14)</f>
        <v>16.196300000000001</v>
      </c>
      <c r="N851" s="59">
        <f>16.1894 * CHOOSE(CONTROL!$C$27, $C$14, 100%, $E$14)</f>
        <v>16.189399999999999</v>
      </c>
      <c r="O851" s="59">
        <f>16.1963 * CHOOSE(CONTROL!$C$27, $C$14, 100%, $E$14)</f>
        <v>16.196300000000001</v>
      </c>
    </row>
    <row r="852" spans="1:15" ht="15">
      <c r="A852" s="11">
        <v>67023</v>
      </c>
      <c r="B852" s="58">
        <f>14.2984 * CHOOSE(CONTROL!$C$27, $C$14, 100%, $E$14)</f>
        <v>14.298400000000001</v>
      </c>
      <c r="C852" s="58">
        <f>14.2984 * CHOOSE(CONTROL!$C$27, $C$14, 100%, $E$14)</f>
        <v>14.298400000000001</v>
      </c>
      <c r="D852" s="58">
        <f>14.3041 * CHOOSE(CONTROL!$C$27, $C$14, 100%, $E$14)</f>
        <v>14.3041</v>
      </c>
      <c r="E852" s="59">
        <f>16.4469 * CHOOSE(CONTROL!$C$27, $C$14, 100%, $E$14)</f>
        <v>16.446899999999999</v>
      </c>
      <c r="F852" s="59">
        <f>16.4469 * CHOOSE(CONTROL!$C$27, $C$14, 100%, $E$14)</f>
        <v>16.446899999999999</v>
      </c>
      <c r="G852" s="59">
        <f>16.4538 * CHOOSE(CONTROL!$C$27, $C$14, 100%, $E$14)</f>
        <v>16.453800000000001</v>
      </c>
      <c r="H852" s="59">
        <f>30.0709* CHOOSE(CONTROL!$C$27, $C$14, 100%, $E$14)</f>
        <v>30.070900000000002</v>
      </c>
      <c r="I852" s="59">
        <f>30.0778 * CHOOSE(CONTROL!$C$27, $C$14, 100%, $E$14)</f>
        <v>30.0778</v>
      </c>
      <c r="J852" s="59">
        <f>30.0709 * CHOOSE(CONTROL!$C$27, $C$14, 100%, $E$14)</f>
        <v>30.070900000000002</v>
      </c>
      <c r="K852" s="59">
        <f>30.0778 * CHOOSE(CONTROL!$C$27, $C$14, 100%, $E$14)</f>
        <v>30.0778</v>
      </c>
      <c r="L852" s="59">
        <f>16.4469 * CHOOSE(CONTROL!$C$27, $C$14, 100%, $E$14)</f>
        <v>16.446899999999999</v>
      </c>
      <c r="M852" s="59">
        <f>16.4538 * CHOOSE(CONTROL!$C$27, $C$14, 100%, $E$14)</f>
        <v>16.453800000000001</v>
      </c>
      <c r="N852" s="59">
        <f>16.4469 * CHOOSE(CONTROL!$C$27, $C$14, 100%, $E$14)</f>
        <v>16.446899999999999</v>
      </c>
      <c r="O852" s="59">
        <f>16.4538 * CHOOSE(CONTROL!$C$27, $C$14, 100%, $E$14)</f>
        <v>16.453800000000001</v>
      </c>
    </row>
    <row r="853" spans="1:15" ht="15">
      <c r="A853" s="11">
        <v>67054</v>
      </c>
      <c r="B853" s="58">
        <f>14.3051 * CHOOSE(CONTROL!$C$27, $C$14, 100%, $E$14)</f>
        <v>14.305099999999999</v>
      </c>
      <c r="C853" s="58">
        <f>14.3051 * CHOOSE(CONTROL!$C$27, $C$14, 100%, $E$14)</f>
        <v>14.305099999999999</v>
      </c>
      <c r="D853" s="58">
        <f>14.3107 * CHOOSE(CONTROL!$C$27, $C$14, 100%, $E$14)</f>
        <v>14.310700000000001</v>
      </c>
      <c r="E853" s="59">
        <f>16.1805 * CHOOSE(CONTROL!$C$27, $C$14, 100%, $E$14)</f>
        <v>16.180499999999999</v>
      </c>
      <c r="F853" s="59">
        <f>16.1805 * CHOOSE(CONTROL!$C$27, $C$14, 100%, $E$14)</f>
        <v>16.180499999999999</v>
      </c>
      <c r="G853" s="59">
        <f>16.1874 * CHOOSE(CONTROL!$C$27, $C$14, 100%, $E$14)</f>
        <v>16.1874</v>
      </c>
      <c r="H853" s="59">
        <f>30.1335* CHOOSE(CONTROL!$C$27, $C$14, 100%, $E$14)</f>
        <v>30.133500000000002</v>
      </c>
      <c r="I853" s="59">
        <f>30.1404 * CHOOSE(CONTROL!$C$27, $C$14, 100%, $E$14)</f>
        <v>30.1404</v>
      </c>
      <c r="J853" s="59">
        <f>30.1335 * CHOOSE(CONTROL!$C$27, $C$14, 100%, $E$14)</f>
        <v>30.133500000000002</v>
      </c>
      <c r="K853" s="59">
        <f>30.1404 * CHOOSE(CONTROL!$C$27, $C$14, 100%, $E$14)</f>
        <v>30.1404</v>
      </c>
      <c r="L853" s="59">
        <f>16.1805 * CHOOSE(CONTROL!$C$27, $C$14, 100%, $E$14)</f>
        <v>16.180499999999999</v>
      </c>
      <c r="M853" s="59">
        <f>16.1874 * CHOOSE(CONTROL!$C$27, $C$14, 100%, $E$14)</f>
        <v>16.1874</v>
      </c>
      <c r="N853" s="59">
        <f>16.1805 * CHOOSE(CONTROL!$C$27, $C$14, 100%, $E$14)</f>
        <v>16.180499999999999</v>
      </c>
      <c r="O853" s="59">
        <f>16.1874 * CHOOSE(CONTROL!$C$27, $C$14, 100%, $E$14)</f>
        <v>16.1874</v>
      </c>
    </row>
    <row r="854" spans="1:15" ht="15">
      <c r="A854" s="11">
        <v>67085</v>
      </c>
      <c r="B854" s="58">
        <f>14.3021 * CHOOSE(CONTROL!$C$27, $C$14, 100%, $E$14)</f>
        <v>14.302099999999999</v>
      </c>
      <c r="C854" s="58">
        <f>14.3021 * CHOOSE(CONTROL!$C$27, $C$14, 100%, $E$14)</f>
        <v>14.302099999999999</v>
      </c>
      <c r="D854" s="58">
        <f>14.3077 * CHOOSE(CONTROL!$C$27, $C$14, 100%, $E$14)</f>
        <v>14.307700000000001</v>
      </c>
      <c r="E854" s="59">
        <f>16.1482 * CHOOSE(CONTROL!$C$27, $C$14, 100%, $E$14)</f>
        <v>16.148199999999999</v>
      </c>
      <c r="F854" s="59">
        <f>16.1482 * CHOOSE(CONTROL!$C$27, $C$14, 100%, $E$14)</f>
        <v>16.148199999999999</v>
      </c>
      <c r="G854" s="59">
        <f>16.1551 * CHOOSE(CONTROL!$C$27, $C$14, 100%, $E$14)</f>
        <v>16.155100000000001</v>
      </c>
      <c r="H854" s="59">
        <f>30.1963* CHOOSE(CONTROL!$C$27, $C$14, 100%, $E$14)</f>
        <v>30.196300000000001</v>
      </c>
      <c r="I854" s="59">
        <f>30.2032 * CHOOSE(CONTROL!$C$27, $C$14, 100%, $E$14)</f>
        <v>30.203199999999999</v>
      </c>
      <c r="J854" s="59">
        <f>30.1963 * CHOOSE(CONTROL!$C$27, $C$14, 100%, $E$14)</f>
        <v>30.196300000000001</v>
      </c>
      <c r="K854" s="59">
        <f>30.2032 * CHOOSE(CONTROL!$C$27, $C$14, 100%, $E$14)</f>
        <v>30.203199999999999</v>
      </c>
      <c r="L854" s="59">
        <f>16.1482 * CHOOSE(CONTROL!$C$27, $C$14, 100%, $E$14)</f>
        <v>16.148199999999999</v>
      </c>
      <c r="M854" s="59">
        <f>16.1551 * CHOOSE(CONTROL!$C$27, $C$14, 100%, $E$14)</f>
        <v>16.155100000000001</v>
      </c>
      <c r="N854" s="59">
        <f>16.1482 * CHOOSE(CONTROL!$C$27, $C$14, 100%, $E$14)</f>
        <v>16.148199999999999</v>
      </c>
      <c r="O854" s="59">
        <f>16.1551 * CHOOSE(CONTROL!$C$27, $C$14, 100%, $E$14)</f>
        <v>16.155100000000001</v>
      </c>
    </row>
    <row r="855" spans="1:15" ht="15">
      <c r="A855" s="11">
        <v>67115</v>
      </c>
      <c r="B855" s="58">
        <f>14.3303 * CHOOSE(CONTROL!$C$27, $C$14, 100%, $E$14)</f>
        <v>14.330299999999999</v>
      </c>
      <c r="C855" s="58">
        <f>14.3303 * CHOOSE(CONTROL!$C$27, $C$14, 100%, $E$14)</f>
        <v>14.330299999999999</v>
      </c>
      <c r="D855" s="58">
        <f>14.3343 * CHOOSE(CONTROL!$C$27, $C$14, 100%, $E$14)</f>
        <v>14.334300000000001</v>
      </c>
      <c r="E855" s="59">
        <f>16.2553 * CHOOSE(CONTROL!$C$27, $C$14, 100%, $E$14)</f>
        <v>16.255299999999998</v>
      </c>
      <c r="F855" s="59">
        <f>16.2553 * CHOOSE(CONTROL!$C$27, $C$14, 100%, $E$14)</f>
        <v>16.255299999999998</v>
      </c>
      <c r="G855" s="59">
        <f>16.2602 * CHOOSE(CONTROL!$C$27, $C$14, 100%, $E$14)</f>
        <v>16.260200000000001</v>
      </c>
      <c r="H855" s="59">
        <f>30.2592* CHOOSE(CONTROL!$C$27, $C$14, 100%, $E$14)</f>
        <v>30.2592</v>
      </c>
      <c r="I855" s="59">
        <f>30.2642 * CHOOSE(CONTROL!$C$27, $C$14, 100%, $E$14)</f>
        <v>30.264199999999999</v>
      </c>
      <c r="J855" s="59">
        <f>30.2592 * CHOOSE(CONTROL!$C$27, $C$14, 100%, $E$14)</f>
        <v>30.2592</v>
      </c>
      <c r="K855" s="59">
        <f>30.2642 * CHOOSE(CONTROL!$C$27, $C$14, 100%, $E$14)</f>
        <v>30.264199999999999</v>
      </c>
      <c r="L855" s="59">
        <f>16.2553 * CHOOSE(CONTROL!$C$27, $C$14, 100%, $E$14)</f>
        <v>16.255299999999998</v>
      </c>
      <c r="M855" s="59">
        <f>16.2602 * CHOOSE(CONTROL!$C$27, $C$14, 100%, $E$14)</f>
        <v>16.260200000000001</v>
      </c>
      <c r="N855" s="59">
        <f>16.2553 * CHOOSE(CONTROL!$C$27, $C$14, 100%, $E$14)</f>
        <v>16.255299999999998</v>
      </c>
      <c r="O855" s="59">
        <f>16.2602 * CHOOSE(CONTROL!$C$27, $C$14, 100%, $E$14)</f>
        <v>16.260200000000001</v>
      </c>
    </row>
    <row r="856" spans="1:15" ht="15">
      <c r="A856" s="11">
        <v>67146</v>
      </c>
      <c r="B856" s="58">
        <f>14.3333 * CHOOSE(CONTROL!$C$27, $C$14, 100%, $E$14)</f>
        <v>14.333299999999999</v>
      </c>
      <c r="C856" s="58">
        <f>14.3333 * CHOOSE(CONTROL!$C$27, $C$14, 100%, $E$14)</f>
        <v>14.333299999999999</v>
      </c>
      <c r="D856" s="58">
        <f>14.3373 * CHOOSE(CONTROL!$C$27, $C$14, 100%, $E$14)</f>
        <v>14.337300000000001</v>
      </c>
      <c r="E856" s="59">
        <f>16.3177 * CHOOSE(CONTROL!$C$27, $C$14, 100%, $E$14)</f>
        <v>16.317699999999999</v>
      </c>
      <c r="F856" s="59">
        <f>16.3177 * CHOOSE(CONTROL!$C$27, $C$14, 100%, $E$14)</f>
        <v>16.317699999999999</v>
      </c>
      <c r="G856" s="59">
        <f>16.3226 * CHOOSE(CONTROL!$C$27, $C$14, 100%, $E$14)</f>
        <v>16.322600000000001</v>
      </c>
      <c r="H856" s="59">
        <f>30.3223* CHOOSE(CONTROL!$C$27, $C$14, 100%, $E$14)</f>
        <v>30.322299999999998</v>
      </c>
      <c r="I856" s="59">
        <f>30.3272 * CHOOSE(CONTROL!$C$27, $C$14, 100%, $E$14)</f>
        <v>30.327200000000001</v>
      </c>
      <c r="J856" s="59">
        <f>30.3223 * CHOOSE(CONTROL!$C$27, $C$14, 100%, $E$14)</f>
        <v>30.322299999999998</v>
      </c>
      <c r="K856" s="59">
        <f>30.3272 * CHOOSE(CONTROL!$C$27, $C$14, 100%, $E$14)</f>
        <v>30.327200000000001</v>
      </c>
      <c r="L856" s="59">
        <f>16.3177 * CHOOSE(CONTROL!$C$27, $C$14, 100%, $E$14)</f>
        <v>16.317699999999999</v>
      </c>
      <c r="M856" s="59">
        <f>16.3226 * CHOOSE(CONTROL!$C$27, $C$14, 100%, $E$14)</f>
        <v>16.322600000000001</v>
      </c>
      <c r="N856" s="59">
        <f>16.3177 * CHOOSE(CONTROL!$C$27, $C$14, 100%, $E$14)</f>
        <v>16.317699999999999</v>
      </c>
      <c r="O856" s="59">
        <f>16.3226 * CHOOSE(CONTROL!$C$27, $C$14, 100%, $E$14)</f>
        <v>16.322600000000001</v>
      </c>
    </row>
    <row r="857" spans="1:15" ht="15">
      <c r="A857" s="11">
        <v>67176</v>
      </c>
      <c r="B857" s="58">
        <f>14.3333 * CHOOSE(CONTROL!$C$27, $C$14, 100%, $E$14)</f>
        <v>14.333299999999999</v>
      </c>
      <c r="C857" s="58">
        <f>14.3333 * CHOOSE(CONTROL!$C$27, $C$14, 100%, $E$14)</f>
        <v>14.333299999999999</v>
      </c>
      <c r="D857" s="58">
        <f>14.3373 * CHOOSE(CONTROL!$C$27, $C$14, 100%, $E$14)</f>
        <v>14.337300000000001</v>
      </c>
      <c r="E857" s="59">
        <f>16.1671 * CHOOSE(CONTROL!$C$27, $C$14, 100%, $E$14)</f>
        <v>16.167100000000001</v>
      </c>
      <c r="F857" s="59">
        <f>16.1671 * CHOOSE(CONTROL!$C$27, $C$14, 100%, $E$14)</f>
        <v>16.167100000000001</v>
      </c>
      <c r="G857" s="59">
        <f>16.172 * CHOOSE(CONTROL!$C$27, $C$14, 100%, $E$14)</f>
        <v>16.172000000000001</v>
      </c>
      <c r="H857" s="59">
        <f>30.3854* CHOOSE(CONTROL!$C$27, $C$14, 100%, $E$14)</f>
        <v>30.385400000000001</v>
      </c>
      <c r="I857" s="59">
        <f>30.3904 * CHOOSE(CONTROL!$C$27, $C$14, 100%, $E$14)</f>
        <v>30.3904</v>
      </c>
      <c r="J857" s="59">
        <f>30.3854 * CHOOSE(CONTROL!$C$27, $C$14, 100%, $E$14)</f>
        <v>30.385400000000001</v>
      </c>
      <c r="K857" s="59">
        <f>30.3904 * CHOOSE(CONTROL!$C$27, $C$14, 100%, $E$14)</f>
        <v>30.3904</v>
      </c>
      <c r="L857" s="59">
        <f>16.1671 * CHOOSE(CONTROL!$C$27, $C$14, 100%, $E$14)</f>
        <v>16.167100000000001</v>
      </c>
      <c r="M857" s="59">
        <f>16.172 * CHOOSE(CONTROL!$C$27, $C$14, 100%, $E$14)</f>
        <v>16.172000000000001</v>
      </c>
      <c r="N857" s="59">
        <f>16.1671 * CHOOSE(CONTROL!$C$27, $C$14, 100%, $E$14)</f>
        <v>16.167100000000001</v>
      </c>
      <c r="O857" s="59">
        <f>16.172 * CHOOSE(CONTROL!$C$27, $C$14, 100%, $E$14)</f>
        <v>16.172000000000001</v>
      </c>
    </row>
    <row r="858" spans="1:15" ht="15">
      <c r="A858" s="11">
        <v>67207</v>
      </c>
      <c r="B858" s="58">
        <f>14.3143 * CHOOSE(CONTROL!$C$27, $C$14, 100%, $E$14)</f>
        <v>14.314299999999999</v>
      </c>
      <c r="C858" s="58">
        <f>14.3143 * CHOOSE(CONTROL!$C$27, $C$14, 100%, $E$14)</f>
        <v>14.314299999999999</v>
      </c>
      <c r="D858" s="58">
        <f>14.3183 * CHOOSE(CONTROL!$C$27, $C$14, 100%, $E$14)</f>
        <v>14.318300000000001</v>
      </c>
      <c r="E858" s="59">
        <f>16.2677 * CHOOSE(CONTROL!$C$27, $C$14, 100%, $E$14)</f>
        <v>16.267700000000001</v>
      </c>
      <c r="F858" s="59">
        <f>16.2677 * CHOOSE(CONTROL!$C$27, $C$14, 100%, $E$14)</f>
        <v>16.267700000000001</v>
      </c>
      <c r="G858" s="59">
        <f>16.2726 * CHOOSE(CONTROL!$C$27, $C$14, 100%, $E$14)</f>
        <v>16.272600000000001</v>
      </c>
      <c r="H858" s="59">
        <f>30.1803* CHOOSE(CONTROL!$C$27, $C$14, 100%, $E$14)</f>
        <v>30.180299999999999</v>
      </c>
      <c r="I858" s="59">
        <f>30.1852 * CHOOSE(CONTROL!$C$27, $C$14, 100%, $E$14)</f>
        <v>30.185199999999998</v>
      </c>
      <c r="J858" s="59">
        <f>30.1803 * CHOOSE(CONTROL!$C$27, $C$14, 100%, $E$14)</f>
        <v>30.180299999999999</v>
      </c>
      <c r="K858" s="59">
        <f>30.1852 * CHOOSE(CONTROL!$C$27, $C$14, 100%, $E$14)</f>
        <v>30.185199999999998</v>
      </c>
      <c r="L858" s="59">
        <f>16.2677 * CHOOSE(CONTROL!$C$27, $C$14, 100%, $E$14)</f>
        <v>16.267700000000001</v>
      </c>
      <c r="M858" s="59">
        <f>16.2726 * CHOOSE(CONTROL!$C$27, $C$14, 100%, $E$14)</f>
        <v>16.272600000000001</v>
      </c>
      <c r="N858" s="59">
        <f>16.2677 * CHOOSE(CONTROL!$C$27, $C$14, 100%, $E$14)</f>
        <v>16.267700000000001</v>
      </c>
      <c r="O858" s="59">
        <f>16.2726 * CHOOSE(CONTROL!$C$27, $C$14, 100%, $E$14)</f>
        <v>16.272600000000001</v>
      </c>
    </row>
    <row r="859" spans="1:15" ht="15">
      <c r="A859" s="11">
        <v>67238</v>
      </c>
      <c r="B859" s="58">
        <f>14.3113 * CHOOSE(CONTROL!$C$27, $C$14, 100%, $E$14)</f>
        <v>14.311299999999999</v>
      </c>
      <c r="C859" s="58">
        <f>14.3113 * CHOOSE(CONTROL!$C$27, $C$14, 100%, $E$14)</f>
        <v>14.311299999999999</v>
      </c>
      <c r="D859" s="58">
        <f>14.3153 * CHOOSE(CONTROL!$C$27, $C$14, 100%, $E$14)</f>
        <v>14.315300000000001</v>
      </c>
      <c r="E859" s="59">
        <f>15.976 * CHOOSE(CONTROL!$C$27, $C$14, 100%, $E$14)</f>
        <v>15.976000000000001</v>
      </c>
      <c r="F859" s="59">
        <f>15.976 * CHOOSE(CONTROL!$C$27, $C$14, 100%, $E$14)</f>
        <v>15.976000000000001</v>
      </c>
      <c r="G859" s="59">
        <f>15.981 * CHOOSE(CONTROL!$C$27, $C$14, 100%, $E$14)</f>
        <v>15.981</v>
      </c>
      <c r="H859" s="59">
        <f>30.2432* CHOOSE(CONTROL!$C$27, $C$14, 100%, $E$14)</f>
        <v>30.243200000000002</v>
      </c>
      <c r="I859" s="59">
        <f>30.2481 * CHOOSE(CONTROL!$C$27, $C$14, 100%, $E$14)</f>
        <v>30.248100000000001</v>
      </c>
      <c r="J859" s="59">
        <f>30.2432 * CHOOSE(CONTROL!$C$27, $C$14, 100%, $E$14)</f>
        <v>30.243200000000002</v>
      </c>
      <c r="K859" s="59">
        <f>30.2481 * CHOOSE(CONTROL!$C$27, $C$14, 100%, $E$14)</f>
        <v>30.248100000000001</v>
      </c>
      <c r="L859" s="59">
        <f>15.976 * CHOOSE(CONTROL!$C$27, $C$14, 100%, $E$14)</f>
        <v>15.976000000000001</v>
      </c>
      <c r="M859" s="59">
        <f>15.981 * CHOOSE(CONTROL!$C$27, $C$14, 100%, $E$14)</f>
        <v>15.981</v>
      </c>
      <c r="N859" s="59">
        <f>15.976 * CHOOSE(CONTROL!$C$27, $C$14, 100%, $E$14)</f>
        <v>15.976000000000001</v>
      </c>
      <c r="O859" s="59">
        <f>15.981 * CHOOSE(CONTROL!$C$27, $C$14, 100%, $E$14)</f>
        <v>15.981</v>
      </c>
    </row>
    <row r="860" spans="1:15" ht="15">
      <c r="A860" s="11">
        <v>67267</v>
      </c>
      <c r="B860" s="58">
        <f>14.3082 * CHOOSE(CONTROL!$C$27, $C$14, 100%, $E$14)</f>
        <v>14.308199999999999</v>
      </c>
      <c r="C860" s="58">
        <f>14.3082 * CHOOSE(CONTROL!$C$27, $C$14, 100%, $E$14)</f>
        <v>14.308199999999999</v>
      </c>
      <c r="D860" s="58">
        <f>14.3122 * CHOOSE(CONTROL!$C$27, $C$14, 100%, $E$14)</f>
        <v>14.312200000000001</v>
      </c>
      <c r="E860" s="59">
        <f>16.2022 * CHOOSE(CONTROL!$C$27, $C$14, 100%, $E$14)</f>
        <v>16.202200000000001</v>
      </c>
      <c r="F860" s="59">
        <f>16.2022 * CHOOSE(CONTROL!$C$27, $C$14, 100%, $E$14)</f>
        <v>16.202200000000001</v>
      </c>
      <c r="G860" s="59">
        <f>16.2071 * CHOOSE(CONTROL!$C$27, $C$14, 100%, $E$14)</f>
        <v>16.207100000000001</v>
      </c>
      <c r="H860" s="59">
        <f>30.3062* CHOOSE(CONTROL!$C$27, $C$14, 100%, $E$14)</f>
        <v>30.3062</v>
      </c>
      <c r="I860" s="59">
        <f>30.3111 * CHOOSE(CONTROL!$C$27, $C$14, 100%, $E$14)</f>
        <v>30.3111</v>
      </c>
      <c r="J860" s="59">
        <f>30.3062 * CHOOSE(CONTROL!$C$27, $C$14, 100%, $E$14)</f>
        <v>30.3062</v>
      </c>
      <c r="K860" s="59">
        <f>30.3111 * CHOOSE(CONTROL!$C$27, $C$14, 100%, $E$14)</f>
        <v>30.3111</v>
      </c>
      <c r="L860" s="59">
        <f>16.2022 * CHOOSE(CONTROL!$C$27, $C$14, 100%, $E$14)</f>
        <v>16.202200000000001</v>
      </c>
      <c r="M860" s="59">
        <f>16.2071 * CHOOSE(CONTROL!$C$27, $C$14, 100%, $E$14)</f>
        <v>16.207100000000001</v>
      </c>
      <c r="N860" s="59">
        <f>16.2022 * CHOOSE(CONTROL!$C$27, $C$14, 100%, $E$14)</f>
        <v>16.202200000000001</v>
      </c>
      <c r="O860" s="59">
        <f>16.2071 * CHOOSE(CONTROL!$C$27, $C$14, 100%, $E$14)</f>
        <v>16.207100000000001</v>
      </c>
    </row>
    <row r="861" spans="1:15" ht="15">
      <c r="A861" s="11">
        <v>67298</v>
      </c>
      <c r="B861" s="58">
        <f>14.3145 * CHOOSE(CONTROL!$C$27, $C$14, 100%, $E$14)</f>
        <v>14.314500000000001</v>
      </c>
      <c r="C861" s="58">
        <f>14.3145 * CHOOSE(CONTROL!$C$27, $C$14, 100%, $E$14)</f>
        <v>14.314500000000001</v>
      </c>
      <c r="D861" s="58">
        <f>14.3185 * CHOOSE(CONTROL!$C$27, $C$14, 100%, $E$14)</f>
        <v>14.3185</v>
      </c>
      <c r="E861" s="59">
        <f>16.4431 * CHOOSE(CONTROL!$C$27, $C$14, 100%, $E$14)</f>
        <v>16.443100000000001</v>
      </c>
      <c r="F861" s="59">
        <f>16.4431 * CHOOSE(CONTROL!$C$27, $C$14, 100%, $E$14)</f>
        <v>16.443100000000001</v>
      </c>
      <c r="G861" s="59">
        <f>16.448 * CHOOSE(CONTROL!$C$27, $C$14, 100%, $E$14)</f>
        <v>16.448</v>
      </c>
      <c r="H861" s="59">
        <f>30.3693* CHOOSE(CONTROL!$C$27, $C$14, 100%, $E$14)</f>
        <v>30.369299999999999</v>
      </c>
      <c r="I861" s="59">
        <f>30.3742 * CHOOSE(CONTROL!$C$27, $C$14, 100%, $E$14)</f>
        <v>30.374199999999998</v>
      </c>
      <c r="J861" s="59">
        <f>30.3693 * CHOOSE(CONTROL!$C$27, $C$14, 100%, $E$14)</f>
        <v>30.369299999999999</v>
      </c>
      <c r="K861" s="59">
        <f>30.3742 * CHOOSE(CONTROL!$C$27, $C$14, 100%, $E$14)</f>
        <v>30.374199999999998</v>
      </c>
      <c r="L861" s="59">
        <f>16.4431 * CHOOSE(CONTROL!$C$27, $C$14, 100%, $E$14)</f>
        <v>16.443100000000001</v>
      </c>
      <c r="M861" s="59">
        <f>16.448 * CHOOSE(CONTROL!$C$27, $C$14, 100%, $E$14)</f>
        <v>16.448</v>
      </c>
      <c r="N861" s="59">
        <f>16.4431 * CHOOSE(CONTROL!$C$27, $C$14, 100%, $E$14)</f>
        <v>16.443100000000001</v>
      </c>
      <c r="O861" s="59">
        <f>16.448 * CHOOSE(CONTROL!$C$27, $C$14, 100%, $E$14)</f>
        <v>16.448</v>
      </c>
    </row>
    <row r="862" spans="1:15" ht="15">
      <c r="A862" s="11">
        <v>67328</v>
      </c>
      <c r="B862" s="58">
        <f>14.3145 * CHOOSE(CONTROL!$C$27, $C$14, 100%, $E$14)</f>
        <v>14.314500000000001</v>
      </c>
      <c r="C862" s="58">
        <f>14.3145 * CHOOSE(CONTROL!$C$27, $C$14, 100%, $E$14)</f>
        <v>14.314500000000001</v>
      </c>
      <c r="D862" s="58">
        <f>14.3201 * CHOOSE(CONTROL!$C$27, $C$14, 100%, $E$14)</f>
        <v>14.3201</v>
      </c>
      <c r="E862" s="59">
        <f>16.535 * CHOOSE(CONTROL!$C$27, $C$14, 100%, $E$14)</f>
        <v>16.535</v>
      </c>
      <c r="F862" s="59">
        <f>16.535 * CHOOSE(CONTROL!$C$27, $C$14, 100%, $E$14)</f>
        <v>16.535</v>
      </c>
      <c r="G862" s="59">
        <f>16.5419 * CHOOSE(CONTROL!$C$27, $C$14, 100%, $E$14)</f>
        <v>16.541899999999998</v>
      </c>
      <c r="H862" s="59">
        <f>30.4326* CHOOSE(CONTROL!$C$27, $C$14, 100%, $E$14)</f>
        <v>30.432600000000001</v>
      </c>
      <c r="I862" s="59">
        <f>30.4395 * CHOOSE(CONTROL!$C$27, $C$14, 100%, $E$14)</f>
        <v>30.439499999999999</v>
      </c>
      <c r="J862" s="59">
        <f>30.4326 * CHOOSE(CONTROL!$C$27, $C$14, 100%, $E$14)</f>
        <v>30.432600000000001</v>
      </c>
      <c r="K862" s="59">
        <f>30.4395 * CHOOSE(CONTROL!$C$27, $C$14, 100%, $E$14)</f>
        <v>30.439499999999999</v>
      </c>
      <c r="L862" s="59">
        <f>16.535 * CHOOSE(CONTROL!$C$27, $C$14, 100%, $E$14)</f>
        <v>16.535</v>
      </c>
      <c r="M862" s="59">
        <f>16.5419 * CHOOSE(CONTROL!$C$27, $C$14, 100%, $E$14)</f>
        <v>16.541899999999998</v>
      </c>
      <c r="N862" s="59">
        <f>16.535 * CHOOSE(CONTROL!$C$27, $C$14, 100%, $E$14)</f>
        <v>16.535</v>
      </c>
      <c r="O862" s="59">
        <f>16.5419 * CHOOSE(CONTROL!$C$27, $C$14, 100%, $E$14)</f>
        <v>16.541899999999998</v>
      </c>
    </row>
    <row r="863" spans="1:15" ht="15">
      <c r="A863" s="11">
        <v>67359</v>
      </c>
      <c r="B863" s="58">
        <f>14.3206 * CHOOSE(CONTROL!$C$27, $C$14, 100%, $E$14)</f>
        <v>14.320600000000001</v>
      </c>
      <c r="C863" s="58">
        <f>14.3206 * CHOOSE(CONTROL!$C$27, $C$14, 100%, $E$14)</f>
        <v>14.320600000000001</v>
      </c>
      <c r="D863" s="58">
        <f>14.3262 * CHOOSE(CONTROL!$C$27, $C$14, 100%, $E$14)</f>
        <v>14.3262</v>
      </c>
      <c r="E863" s="59">
        <f>16.4473 * CHOOSE(CONTROL!$C$27, $C$14, 100%, $E$14)</f>
        <v>16.447299999999998</v>
      </c>
      <c r="F863" s="59">
        <f>16.4473 * CHOOSE(CONTROL!$C$27, $C$14, 100%, $E$14)</f>
        <v>16.447299999999998</v>
      </c>
      <c r="G863" s="59">
        <f>16.4542 * CHOOSE(CONTROL!$C$27, $C$14, 100%, $E$14)</f>
        <v>16.4542</v>
      </c>
      <c r="H863" s="59">
        <f>30.496* CHOOSE(CONTROL!$C$27, $C$14, 100%, $E$14)</f>
        <v>30.495999999999999</v>
      </c>
      <c r="I863" s="59">
        <f>30.5029 * CHOOSE(CONTROL!$C$27, $C$14, 100%, $E$14)</f>
        <v>30.5029</v>
      </c>
      <c r="J863" s="59">
        <f>30.496 * CHOOSE(CONTROL!$C$27, $C$14, 100%, $E$14)</f>
        <v>30.495999999999999</v>
      </c>
      <c r="K863" s="59">
        <f>30.5029 * CHOOSE(CONTROL!$C$27, $C$14, 100%, $E$14)</f>
        <v>30.5029</v>
      </c>
      <c r="L863" s="59">
        <f>16.4473 * CHOOSE(CONTROL!$C$27, $C$14, 100%, $E$14)</f>
        <v>16.447299999999998</v>
      </c>
      <c r="M863" s="59">
        <f>16.4542 * CHOOSE(CONTROL!$C$27, $C$14, 100%, $E$14)</f>
        <v>16.4542</v>
      </c>
      <c r="N863" s="59">
        <f>16.4473 * CHOOSE(CONTROL!$C$27, $C$14, 100%, $E$14)</f>
        <v>16.447299999999998</v>
      </c>
      <c r="O863" s="59">
        <f>16.4542 * CHOOSE(CONTROL!$C$27, $C$14, 100%, $E$14)</f>
        <v>16.4542</v>
      </c>
    </row>
    <row r="864" spans="1:15" ht="15">
      <c r="A864" s="11">
        <v>67389</v>
      </c>
      <c r="B864" s="58">
        <f>14.5376 * CHOOSE(CONTROL!$C$27, $C$14, 100%, $E$14)</f>
        <v>14.537599999999999</v>
      </c>
      <c r="C864" s="58">
        <f>14.5376 * CHOOSE(CONTROL!$C$27, $C$14, 100%, $E$14)</f>
        <v>14.537599999999999</v>
      </c>
      <c r="D864" s="58">
        <f>14.5432 * CHOOSE(CONTROL!$C$27, $C$14, 100%, $E$14)</f>
        <v>14.543200000000001</v>
      </c>
      <c r="E864" s="59">
        <f>16.7087 * CHOOSE(CONTROL!$C$27, $C$14, 100%, $E$14)</f>
        <v>16.7087</v>
      </c>
      <c r="F864" s="59">
        <f>16.7087 * CHOOSE(CONTROL!$C$27, $C$14, 100%, $E$14)</f>
        <v>16.7087</v>
      </c>
      <c r="G864" s="59">
        <f>16.7156 * CHOOSE(CONTROL!$C$27, $C$14, 100%, $E$14)</f>
        <v>16.715599999999998</v>
      </c>
      <c r="H864" s="59">
        <f>30.5595* CHOOSE(CONTROL!$C$27, $C$14, 100%, $E$14)</f>
        <v>30.5595</v>
      </c>
      <c r="I864" s="59">
        <f>30.5664 * CHOOSE(CONTROL!$C$27, $C$14, 100%, $E$14)</f>
        <v>30.566400000000002</v>
      </c>
      <c r="J864" s="59">
        <f>30.5595 * CHOOSE(CONTROL!$C$27, $C$14, 100%, $E$14)</f>
        <v>30.5595</v>
      </c>
      <c r="K864" s="59">
        <f>30.5664 * CHOOSE(CONTROL!$C$27, $C$14, 100%, $E$14)</f>
        <v>30.566400000000002</v>
      </c>
      <c r="L864" s="59">
        <f>16.7087 * CHOOSE(CONTROL!$C$27, $C$14, 100%, $E$14)</f>
        <v>16.7087</v>
      </c>
      <c r="M864" s="59">
        <f>16.7156 * CHOOSE(CONTROL!$C$27, $C$14, 100%, $E$14)</f>
        <v>16.715599999999998</v>
      </c>
      <c r="N864" s="59">
        <f>16.7087 * CHOOSE(CONTROL!$C$27, $C$14, 100%, $E$14)</f>
        <v>16.7087</v>
      </c>
      <c r="O864" s="59">
        <f>16.7156 * CHOOSE(CONTROL!$C$27, $C$14, 100%, $E$14)</f>
        <v>16.715599999999998</v>
      </c>
    </row>
    <row r="865" spans="1:15" ht="15">
      <c r="A865" s="11">
        <v>67420</v>
      </c>
      <c r="B865" s="58">
        <f>14.5443 * CHOOSE(CONTROL!$C$27, $C$14, 100%, $E$14)</f>
        <v>14.5443</v>
      </c>
      <c r="C865" s="58">
        <f>14.5443 * CHOOSE(CONTROL!$C$27, $C$14, 100%, $E$14)</f>
        <v>14.5443</v>
      </c>
      <c r="D865" s="58">
        <f>14.5499 * CHOOSE(CONTROL!$C$27, $C$14, 100%, $E$14)</f>
        <v>14.549899999999999</v>
      </c>
      <c r="E865" s="59">
        <f>16.4375 * CHOOSE(CONTROL!$C$27, $C$14, 100%, $E$14)</f>
        <v>16.4375</v>
      </c>
      <c r="F865" s="59">
        <f>16.4375 * CHOOSE(CONTROL!$C$27, $C$14, 100%, $E$14)</f>
        <v>16.4375</v>
      </c>
      <c r="G865" s="59">
        <f>16.4444 * CHOOSE(CONTROL!$C$27, $C$14, 100%, $E$14)</f>
        <v>16.444400000000002</v>
      </c>
      <c r="H865" s="59">
        <f>30.6232* CHOOSE(CONTROL!$C$27, $C$14, 100%, $E$14)</f>
        <v>30.623200000000001</v>
      </c>
      <c r="I865" s="59">
        <f>30.6301 * CHOOSE(CONTROL!$C$27, $C$14, 100%, $E$14)</f>
        <v>30.630099999999999</v>
      </c>
      <c r="J865" s="59">
        <f>30.6232 * CHOOSE(CONTROL!$C$27, $C$14, 100%, $E$14)</f>
        <v>30.623200000000001</v>
      </c>
      <c r="K865" s="59">
        <f>30.6301 * CHOOSE(CONTROL!$C$27, $C$14, 100%, $E$14)</f>
        <v>30.630099999999999</v>
      </c>
      <c r="L865" s="59">
        <f>16.4375 * CHOOSE(CONTROL!$C$27, $C$14, 100%, $E$14)</f>
        <v>16.4375</v>
      </c>
      <c r="M865" s="59">
        <f>16.4444 * CHOOSE(CONTROL!$C$27, $C$14, 100%, $E$14)</f>
        <v>16.444400000000002</v>
      </c>
      <c r="N865" s="59">
        <f>16.4375 * CHOOSE(CONTROL!$C$27, $C$14, 100%, $E$14)</f>
        <v>16.4375</v>
      </c>
      <c r="O865" s="59">
        <f>16.4444 * CHOOSE(CONTROL!$C$27, $C$14, 100%, $E$14)</f>
        <v>16.444400000000002</v>
      </c>
    </row>
    <row r="866" spans="1:15" ht="15">
      <c r="A866" s="11">
        <v>67451</v>
      </c>
      <c r="B866" s="58">
        <f>14.5412 * CHOOSE(CONTROL!$C$27, $C$14, 100%, $E$14)</f>
        <v>14.5412</v>
      </c>
      <c r="C866" s="58">
        <f>14.5412 * CHOOSE(CONTROL!$C$27, $C$14, 100%, $E$14)</f>
        <v>14.5412</v>
      </c>
      <c r="D866" s="58">
        <f>14.5469 * CHOOSE(CONTROL!$C$27, $C$14, 100%, $E$14)</f>
        <v>14.546900000000001</v>
      </c>
      <c r="E866" s="59">
        <f>16.4048 * CHOOSE(CONTROL!$C$27, $C$14, 100%, $E$14)</f>
        <v>16.404800000000002</v>
      </c>
      <c r="F866" s="59">
        <f>16.4048 * CHOOSE(CONTROL!$C$27, $C$14, 100%, $E$14)</f>
        <v>16.404800000000002</v>
      </c>
      <c r="G866" s="59">
        <f>16.4117 * CHOOSE(CONTROL!$C$27, $C$14, 100%, $E$14)</f>
        <v>16.4117</v>
      </c>
      <c r="H866" s="59">
        <f>30.687* CHOOSE(CONTROL!$C$27, $C$14, 100%, $E$14)</f>
        <v>30.687000000000001</v>
      </c>
      <c r="I866" s="59">
        <f>30.6939 * CHOOSE(CONTROL!$C$27, $C$14, 100%, $E$14)</f>
        <v>30.693899999999999</v>
      </c>
      <c r="J866" s="59">
        <f>30.687 * CHOOSE(CONTROL!$C$27, $C$14, 100%, $E$14)</f>
        <v>30.687000000000001</v>
      </c>
      <c r="K866" s="59">
        <f>30.6939 * CHOOSE(CONTROL!$C$27, $C$14, 100%, $E$14)</f>
        <v>30.693899999999999</v>
      </c>
      <c r="L866" s="59">
        <f>16.4048 * CHOOSE(CONTROL!$C$27, $C$14, 100%, $E$14)</f>
        <v>16.404800000000002</v>
      </c>
      <c r="M866" s="59">
        <f>16.4117 * CHOOSE(CONTROL!$C$27, $C$14, 100%, $E$14)</f>
        <v>16.4117</v>
      </c>
      <c r="N866" s="59">
        <f>16.4048 * CHOOSE(CONTROL!$C$27, $C$14, 100%, $E$14)</f>
        <v>16.404800000000002</v>
      </c>
      <c r="O866" s="59">
        <f>16.4117 * CHOOSE(CONTROL!$C$27, $C$14, 100%, $E$14)</f>
        <v>16.4117</v>
      </c>
    </row>
    <row r="867" spans="1:15" ht="15">
      <c r="A867" s="11">
        <v>67481</v>
      </c>
      <c r="B867" s="58">
        <f>14.5702 * CHOOSE(CONTROL!$C$27, $C$14, 100%, $E$14)</f>
        <v>14.5702</v>
      </c>
      <c r="C867" s="58">
        <f>14.5702 * CHOOSE(CONTROL!$C$27, $C$14, 100%, $E$14)</f>
        <v>14.5702</v>
      </c>
      <c r="D867" s="58">
        <f>14.5742 * CHOOSE(CONTROL!$C$27, $C$14, 100%, $E$14)</f>
        <v>14.574199999999999</v>
      </c>
      <c r="E867" s="59">
        <f>16.5139 * CHOOSE(CONTROL!$C$27, $C$14, 100%, $E$14)</f>
        <v>16.5139</v>
      </c>
      <c r="F867" s="59">
        <f>16.5139 * CHOOSE(CONTROL!$C$27, $C$14, 100%, $E$14)</f>
        <v>16.5139</v>
      </c>
      <c r="G867" s="59">
        <f>16.5189 * CHOOSE(CONTROL!$C$27, $C$14, 100%, $E$14)</f>
        <v>16.518899999999999</v>
      </c>
      <c r="H867" s="59">
        <f>30.7509* CHOOSE(CONTROL!$C$27, $C$14, 100%, $E$14)</f>
        <v>30.750900000000001</v>
      </c>
      <c r="I867" s="59">
        <f>30.7558 * CHOOSE(CONTROL!$C$27, $C$14, 100%, $E$14)</f>
        <v>30.755800000000001</v>
      </c>
      <c r="J867" s="59">
        <f>30.7509 * CHOOSE(CONTROL!$C$27, $C$14, 100%, $E$14)</f>
        <v>30.750900000000001</v>
      </c>
      <c r="K867" s="59">
        <f>30.7558 * CHOOSE(CONTROL!$C$27, $C$14, 100%, $E$14)</f>
        <v>30.755800000000001</v>
      </c>
      <c r="L867" s="59">
        <f>16.5139 * CHOOSE(CONTROL!$C$27, $C$14, 100%, $E$14)</f>
        <v>16.5139</v>
      </c>
      <c r="M867" s="59">
        <f>16.5189 * CHOOSE(CONTROL!$C$27, $C$14, 100%, $E$14)</f>
        <v>16.518899999999999</v>
      </c>
      <c r="N867" s="59">
        <f>16.5139 * CHOOSE(CONTROL!$C$27, $C$14, 100%, $E$14)</f>
        <v>16.5139</v>
      </c>
      <c r="O867" s="59">
        <f>16.5189 * CHOOSE(CONTROL!$C$27, $C$14, 100%, $E$14)</f>
        <v>16.518899999999999</v>
      </c>
    </row>
    <row r="868" spans="1:15" ht="15">
      <c r="A868" s="11">
        <v>67512</v>
      </c>
      <c r="B868" s="58">
        <f>14.5733 * CHOOSE(CONTROL!$C$27, $C$14, 100%, $E$14)</f>
        <v>14.5733</v>
      </c>
      <c r="C868" s="58">
        <f>14.5733 * CHOOSE(CONTROL!$C$27, $C$14, 100%, $E$14)</f>
        <v>14.5733</v>
      </c>
      <c r="D868" s="58">
        <f>14.5773 * CHOOSE(CONTROL!$C$27, $C$14, 100%, $E$14)</f>
        <v>14.577299999999999</v>
      </c>
      <c r="E868" s="59">
        <f>16.5773 * CHOOSE(CONTROL!$C$27, $C$14, 100%, $E$14)</f>
        <v>16.577300000000001</v>
      </c>
      <c r="F868" s="59">
        <f>16.5773 * CHOOSE(CONTROL!$C$27, $C$14, 100%, $E$14)</f>
        <v>16.577300000000001</v>
      </c>
      <c r="G868" s="59">
        <f>16.5823 * CHOOSE(CONTROL!$C$27, $C$14, 100%, $E$14)</f>
        <v>16.5823</v>
      </c>
      <c r="H868" s="59">
        <f>30.815* CHOOSE(CONTROL!$C$27, $C$14, 100%, $E$14)</f>
        <v>30.815000000000001</v>
      </c>
      <c r="I868" s="59">
        <f>30.8199 * CHOOSE(CONTROL!$C$27, $C$14, 100%, $E$14)</f>
        <v>30.819900000000001</v>
      </c>
      <c r="J868" s="59">
        <f>30.815 * CHOOSE(CONTROL!$C$27, $C$14, 100%, $E$14)</f>
        <v>30.815000000000001</v>
      </c>
      <c r="K868" s="59">
        <f>30.8199 * CHOOSE(CONTROL!$C$27, $C$14, 100%, $E$14)</f>
        <v>30.819900000000001</v>
      </c>
      <c r="L868" s="59">
        <f>16.5773 * CHOOSE(CONTROL!$C$27, $C$14, 100%, $E$14)</f>
        <v>16.577300000000001</v>
      </c>
      <c r="M868" s="59">
        <f>16.5823 * CHOOSE(CONTROL!$C$27, $C$14, 100%, $E$14)</f>
        <v>16.5823</v>
      </c>
      <c r="N868" s="59">
        <f>16.5773 * CHOOSE(CONTROL!$C$27, $C$14, 100%, $E$14)</f>
        <v>16.577300000000001</v>
      </c>
      <c r="O868" s="59">
        <f>16.5823 * CHOOSE(CONTROL!$C$27, $C$14, 100%, $E$14)</f>
        <v>16.5823</v>
      </c>
    </row>
    <row r="869" spans="1:15" ht="15">
      <c r="A869" s="11">
        <v>67542</v>
      </c>
      <c r="B869" s="58">
        <f>14.5733 * CHOOSE(CONTROL!$C$27, $C$14, 100%, $E$14)</f>
        <v>14.5733</v>
      </c>
      <c r="C869" s="58">
        <f>14.5733 * CHOOSE(CONTROL!$C$27, $C$14, 100%, $E$14)</f>
        <v>14.5733</v>
      </c>
      <c r="D869" s="58">
        <f>14.5773 * CHOOSE(CONTROL!$C$27, $C$14, 100%, $E$14)</f>
        <v>14.577299999999999</v>
      </c>
      <c r="E869" s="59">
        <f>16.4241 * CHOOSE(CONTROL!$C$27, $C$14, 100%, $E$14)</f>
        <v>16.424099999999999</v>
      </c>
      <c r="F869" s="59">
        <f>16.4241 * CHOOSE(CONTROL!$C$27, $C$14, 100%, $E$14)</f>
        <v>16.424099999999999</v>
      </c>
      <c r="G869" s="59">
        <f>16.4291 * CHOOSE(CONTROL!$C$27, $C$14, 100%, $E$14)</f>
        <v>16.429099999999998</v>
      </c>
      <c r="H869" s="59">
        <f>30.8792* CHOOSE(CONTROL!$C$27, $C$14, 100%, $E$14)</f>
        <v>30.879200000000001</v>
      </c>
      <c r="I869" s="59">
        <f>30.8841 * CHOOSE(CONTROL!$C$27, $C$14, 100%, $E$14)</f>
        <v>30.8841</v>
      </c>
      <c r="J869" s="59">
        <f>30.8792 * CHOOSE(CONTROL!$C$27, $C$14, 100%, $E$14)</f>
        <v>30.879200000000001</v>
      </c>
      <c r="K869" s="59">
        <f>30.8841 * CHOOSE(CONTROL!$C$27, $C$14, 100%, $E$14)</f>
        <v>30.8841</v>
      </c>
      <c r="L869" s="59">
        <f>16.4241 * CHOOSE(CONTROL!$C$27, $C$14, 100%, $E$14)</f>
        <v>16.424099999999999</v>
      </c>
      <c r="M869" s="59">
        <f>16.4291 * CHOOSE(CONTROL!$C$27, $C$14, 100%, $E$14)</f>
        <v>16.429099999999998</v>
      </c>
      <c r="N869" s="59">
        <f>16.4241 * CHOOSE(CONTROL!$C$27, $C$14, 100%, $E$14)</f>
        <v>16.424099999999999</v>
      </c>
      <c r="O869" s="59">
        <f>16.4291 * CHOOSE(CONTROL!$C$27, $C$14, 100%, $E$14)</f>
        <v>16.429099999999998</v>
      </c>
    </row>
    <row r="870" spans="1:15" ht="15">
      <c r="A870" s="11">
        <v>67573</v>
      </c>
      <c r="B870" s="58">
        <f>14.5499 * CHOOSE(CONTROL!$C$27, $C$14, 100%, $E$14)</f>
        <v>14.549899999999999</v>
      </c>
      <c r="C870" s="58">
        <f>14.5499 * CHOOSE(CONTROL!$C$27, $C$14, 100%, $E$14)</f>
        <v>14.549899999999999</v>
      </c>
      <c r="D870" s="58">
        <f>14.5539 * CHOOSE(CONTROL!$C$27, $C$14, 100%, $E$14)</f>
        <v>14.553900000000001</v>
      </c>
      <c r="E870" s="59">
        <f>16.5224 * CHOOSE(CONTROL!$C$27, $C$14, 100%, $E$14)</f>
        <v>16.522400000000001</v>
      </c>
      <c r="F870" s="59">
        <f>16.5224 * CHOOSE(CONTROL!$C$27, $C$14, 100%, $E$14)</f>
        <v>16.522400000000001</v>
      </c>
      <c r="G870" s="59">
        <f>16.5273 * CHOOSE(CONTROL!$C$27, $C$14, 100%, $E$14)</f>
        <v>16.5273</v>
      </c>
      <c r="H870" s="59">
        <f>30.6628* CHOOSE(CONTROL!$C$27, $C$14, 100%, $E$14)</f>
        <v>30.662800000000001</v>
      </c>
      <c r="I870" s="59">
        <f>30.6678 * CHOOSE(CONTROL!$C$27, $C$14, 100%, $E$14)</f>
        <v>30.6678</v>
      </c>
      <c r="J870" s="59">
        <f>30.6628 * CHOOSE(CONTROL!$C$27, $C$14, 100%, $E$14)</f>
        <v>30.662800000000001</v>
      </c>
      <c r="K870" s="59">
        <f>30.6678 * CHOOSE(CONTROL!$C$27, $C$14, 100%, $E$14)</f>
        <v>30.6678</v>
      </c>
      <c r="L870" s="59">
        <f>16.5224 * CHOOSE(CONTROL!$C$27, $C$14, 100%, $E$14)</f>
        <v>16.522400000000001</v>
      </c>
      <c r="M870" s="59">
        <f>16.5273 * CHOOSE(CONTROL!$C$27, $C$14, 100%, $E$14)</f>
        <v>16.5273</v>
      </c>
      <c r="N870" s="59">
        <f>16.5224 * CHOOSE(CONTROL!$C$27, $C$14, 100%, $E$14)</f>
        <v>16.522400000000001</v>
      </c>
      <c r="O870" s="59">
        <f>16.5273 * CHOOSE(CONTROL!$C$27, $C$14, 100%, $E$14)</f>
        <v>16.5273</v>
      </c>
    </row>
    <row r="871" spans="1:15" ht="15">
      <c r="A871" s="11">
        <v>67604</v>
      </c>
      <c r="B871" s="58">
        <f>14.5468 * CHOOSE(CONTROL!$C$27, $C$14, 100%, $E$14)</f>
        <v>14.546799999999999</v>
      </c>
      <c r="C871" s="58">
        <f>14.5468 * CHOOSE(CONTROL!$C$27, $C$14, 100%, $E$14)</f>
        <v>14.546799999999999</v>
      </c>
      <c r="D871" s="58">
        <f>14.5508 * CHOOSE(CONTROL!$C$27, $C$14, 100%, $E$14)</f>
        <v>14.550800000000001</v>
      </c>
      <c r="E871" s="59">
        <f>16.2258 * CHOOSE(CONTROL!$C$27, $C$14, 100%, $E$14)</f>
        <v>16.2258</v>
      </c>
      <c r="F871" s="59">
        <f>16.2258 * CHOOSE(CONTROL!$C$27, $C$14, 100%, $E$14)</f>
        <v>16.2258</v>
      </c>
      <c r="G871" s="59">
        <f>16.2307 * CHOOSE(CONTROL!$C$27, $C$14, 100%, $E$14)</f>
        <v>16.230699999999999</v>
      </c>
      <c r="H871" s="59">
        <f>30.7267* CHOOSE(CONTROL!$C$27, $C$14, 100%, $E$14)</f>
        <v>30.726700000000001</v>
      </c>
      <c r="I871" s="59">
        <f>30.7316 * CHOOSE(CONTROL!$C$27, $C$14, 100%, $E$14)</f>
        <v>30.7316</v>
      </c>
      <c r="J871" s="59">
        <f>30.7267 * CHOOSE(CONTROL!$C$27, $C$14, 100%, $E$14)</f>
        <v>30.726700000000001</v>
      </c>
      <c r="K871" s="59">
        <f>30.7316 * CHOOSE(CONTROL!$C$27, $C$14, 100%, $E$14)</f>
        <v>30.7316</v>
      </c>
      <c r="L871" s="59">
        <f>16.2258 * CHOOSE(CONTROL!$C$27, $C$14, 100%, $E$14)</f>
        <v>16.2258</v>
      </c>
      <c r="M871" s="59">
        <f>16.2307 * CHOOSE(CONTROL!$C$27, $C$14, 100%, $E$14)</f>
        <v>16.230699999999999</v>
      </c>
      <c r="N871" s="59">
        <f>16.2258 * CHOOSE(CONTROL!$C$27, $C$14, 100%, $E$14)</f>
        <v>16.2258</v>
      </c>
      <c r="O871" s="59">
        <f>16.2307 * CHOOSE(CONTROL!$C$27, $C$14, 100%, $E$14)</f>
        <v>16.230699999999999</v>
      </c>
    </row>
    <row r="872" spans="1:15" ht="15">
      <c r="A872" s="11">
        <v>67632</v>
      </c>
      <c r="B872" s="58">
        <f>14.5438 * CHOOSE(CONTROL!$C$27, $C$14, 100%, $E$14)</f>
        <v>14.543799999999999</v>
      </c>
      <c r="C872" s="58">
        <f>14.5438 * CHOOSE(CONTROL!$C$27, $C$14, 100%, $E$14)</f>
        <v>14.543799999999999</v>
      </c>
      <c r="D872" s="58">
        <f>14.5478 * CHOOSE(CONTROL!$C$27, $C$14, 100%, $E$14)</f>
        <v>14.547800000000001</v>
      </c>
      <c r="E872" s="59">
        <f>16.4558 * CHOOSE(CONTROL!$C$27, $C$14, 100%, $E$14)</f>
        <v>16.4558</v>
      </c>
      <c r="F872" s="59">
        <f>16.4558 * CHOOSE(CONTROL!$C$27, $C$14, 100%, $E$14)</f>
        <v>16.4558</v>
      </c>
      <c r="G872" s="59">
        <f>16.4608 * CHOOSE(CONTROL!$C$27, $C$14, 100%, $E$14)</f>
        <v>16.460799999999999</v>
      </c>
      <c r="H872" s="59">
        <f>30.7907* CHOOSE(CONTROL!$C$27, $C$14, 100%, $E$14)</f>
        <v>30.790700000000001</v>
      </c>
      <c r="I872" s="59">
        <f>30.7956 * CHOOSE(CONTROL!$C$27, $C$14, 100%, $E$14)</f>
        <v>30.7956</v>
      </c>
      <c r="J872" s="59">
        <f>30.7907 * CHOOSE(CONTROL!$C$27, $C$14, 100%, $E$14)</f>
        <v>30.790700000000001</v>
      </c>
      <c r="K872" s="59">
        <f>30.7956 * CHOOSE(CONTROL!$C$27, $C$14, 100%, $E$14)</f>
        <v>30.7956</v>
      </c>
      <c r="L872" s="59">
        <f>16.4558 * CHOOSE(CONTROL!$C$27, $C$14, 100%, $E$14)</f>
        <v>16.4558</v>
      </c>
      <c r="M872" s="59">
        <f>16.4608 * CHOOSE(CONTROL!$C$27, $C$14, 100%, $E$14)</f>
        <v>16.460799999999999</v>
      </c>
      <c r="N872" s="59">
        <f>16.4558 * CHOOSE(CONTROL!$C$27, $C$14, 100%, $E$14)</f>
        <v>16.4558</v>
      </c>
      <c r="O872" s="59">
        <f>16.4608 * CHOOSE(CONTROL!$C$27, $C$14, 100%, $E$14)</f>
        <v>16.460799999999999</v>
      </c>
    </row>
    <row r="873" spans="1:15" ht="15">
      <c r="A873" s="11">
        <v>67663</v>
      </c>
      <c r="B873" s="58">
        <f>14.5503 * CHOOSE(CONTROL!$C$27, $C$14, 100%, $E$14)</f>
        <v>14.5503</v>
      </c>
      <c r="C873" s="58">
        <f>14.5503 * CHOOSE(CONTROL!$C$27, $C$14, 100%, $E$14)</f>
        <v>14.5503</v>
      </c>
      <c r="D873" s="58">
        <f>14.5543 * CHOOSE(CONTROL!$C$27, $C$14, 100%, $E$14)</f>
        <v>14.5543</v>
      </c>
      <c r="E873" s="59">
        <f>16.7009 * CHOOSE(CONTROL!$C$27, $C$14, 100%, $E$14)</f>
        <v>16.700900000000001</v>
      </c>
      <c r="F873" s="59">
        <f>16.7009 * CHOOSE(CONTROL!$C$27, $C$14, 100%, $E$14)</f>
        <v>16.700900000000001</v>
      </c>
      <c r="G873" s="59">
        <f>16.7058 * CHOOSE(CONTROL!$C$27, $C$14, 100%, $E$14)</f>
        <v>16.7058</v>
      </c>
      <c r="H873" s="59">
        <f>30.8549* CHOOSE(CONTROL!$C$27, $C$14, 100%, $E$14)</f>
        <v>30.854900000000001</v>
      </c>
      <c r="I873" s="59">
        <f>30.8598 * CHOOSE(CONTROL!$C$27, $C$14, 100%, $E$14)</f>
        <v>30.8598</v>
      </c>
      <c r="J873" s="59">
        <f>30.8549 * CHOOSE(CONTROL!$C$27, $C$14, 100%, $E$14)</f>
        <v>30.854900000000001</v>
      </c>
      <c r="K873" s="59">
        <f>30.8598 * CHOOSE(CONTROL!$C$27, $C$14, 100%, $E$14)</f>
        <v>30.8598</v>
      </c>
      <c r="L873" s="59">
        <f>16.7009 * CHOOSE(CONTROL!$C$27, $C$14, 100%, $E$14)</f>
        <v>16.700900000000001</v>
      </c>
      <c r="M873" s="59">
        <f>16.7058 * CHOOSE(CONTROL!$C$27, $C$14, 100%, $E$14)</f>
        <v>16.7058</v>
      </c>
      <c r="N873" s="59">
        <f>16.7009 * CHOOSE(CONTROL!$C$27, $C$14, 100%, $E$14)</f>
        <v>16.700900000000001</v>
      </c>
      <c r="O873" s="59">
        <f>16.7058 * CHOOSE(CONTROL!$C$27, $C$14, 100%, $E$14)</f>
        <v>16.7058</v>
      </c>
    </row>
    <row r="874" spans="1:15" ht="15">
      <c r="A874" s="11">
        <v>67693</v>
      </c>
      <c r="B874" s="58">
        <f>14.5503 * CHOOSE(CONTROL!$C$27, $C$14, 100%, $E$14)</f>
        <v>14.5503</v>
      </c>
      <c r="C874" s="58">
        <f>14.5503 * CHOOSE(CONTROL!$C$27, $C$14, 100%, $E$14)</f>
        <v>14.5503</v>
      </c>
      <c r="D874" s="58">
        <f>14.5559 * CHOOSE(CONTROL!$C$27, $C$14, 100%, $E$14)</f>
        <v>14.555899999999999</v>
      </c>
      <c r="E874" s="59">
        <f>16.7944 * CHOOSE(CONTROL!$C$27, $C$14, 100%, $E$14)</f>
        <v>16.7944</v>
      </c>
      <c r="F874" s="59">
        <f>16.7944 * CHOOSE(CONTROL!$C$27, $C$14, 100%, $E$14)</f>
        <v>16.7944</v>
      </c>
      <c r="G874" s="59">
        <f>16.8013 * CHOOSE(CONTROL!$C$27, $C$14, 100%, $E$14)</f>
        <v>16.801300000000001</v>
      </c>
      <c r="H874" s="59">
        <f>30.9192* CHOOSE(CONTROL!$C$27, $C$14, 100%, $E$14)</f>
        <v>30.9192</v>
      </c>
      <c r="I874" s="59">
        <f>30.926 * CHOOSE(CONTROL!$C$27, $C$14, 100%, $E$14)</f>
        <v>30.925999999999998</v>
      </c>
      <c r="J874" s="59">
        <f>30.9192 * CHOOSE(CONTROL!$C$27, $C$14, 100%, $E$14)</f>
        <v>30.9192</v>
      </c>
      <c r="K874" s="59">
        <f>30.926 * CHOOSE(CONTROL!$C$27, $C$14, 100%, $E$14)</f>
        <v>30.925999999999998</v>
      </c>
      <c r="L874" s="59">
        <f>16.7944 * CHOOSE(CONTROL!$C$27, $C$14, 100%, $E$14)</f>
        <v>16.7944</v>
      </c>
      <c r="M874" s="59">
        <f>16.8013 * CHOOSE(CONTROL!$C$27, $C$14, 100%, $E$14)</f>
        <v>16.801300000000001</v>
      </c>
      <c r="N874" s="59">
        <f>16.7944 * CHOOSE(CONTROL!$C$27, $C$14, 100%, $E$14)</f>
        <v>16.7944</v>
      </c>
      <c r="O874" s="59">
        <f>16.8013 * CHOOSE(CONTROL!$C$27, $C$14, 100%, $E$14)</f>
        <v>16.801300000000001</v>
      </c>
    </row>
    <row r="875" spans="1:15" ht="15">
      <c r="A875" s="11">
        <v>67724</v>
      </c>
      <c r="B875" s="58">
        <f>14.5564 * CHOOSE(CONTROL!$C$27, $C$14, 100%, $E$14)</f>
        <v>14.5564</v>
      </c>
      <c r="C875" s="58">
        <f>14.5564 * CHOOSE(CONTROL!$C$27, $C$14, 100%, $E$14)</f>
        <v>14.5564</v>
      </c>
      <c r="D875" s="58">
        <f>14.562 * CHOOSE(CONTROL!$C$27, $C$14, 100%, $E$14)</f>
        <v>14.561999999999999</v>
      </c>
      <c r="E875" s="59">
        <f>16.7052 * CHOOSE(CONTROL!$C$27, $C$14, 100%, $E$14)</f>
        <v>16.705200000000001</v>
      </c>
      <c r="F875" s="59">
        <f>16.7052 * CHOOSE(CONTROL!$C$27, $C$14, 100%, $E$14)</f>
        <v>16.705200000000001</v>
      </c>
      <c r="G875" s="59">
        <f>16.712 * CHOOSE(CONTROL!$C$27, $C$14, 100%, $E$14)</f>
        <v>16.712</v>
      </c>
      <c r="H875" s="59">
        <f>30.9836* CHOOSE(CONTROL!$C$27, $C$14, 100%, $E$14)</f>
        <v>30.983599999999999</v>
      </c>
      <c r="I875" s="59">
        <f>30.9905 * CHOOSE(CONTROL!$C$27, $C$14, 100%, $E$14)</f>
        <v>30.990500000000001</v>
      </c>
      <c r="J875" s="59">
        <f>30.9836 * CHOOSE(CONTROL!$C$27, $C$14, 100%, $E$14)</f>
        <v>30.983599999999999</v>
      </c>
      <c r="K875" s="59">
        <f>30.9905 * CHOOSE(CONTROL!$C$27, $C$14, 100%, $E$14)</f>
        <v>30.990500000000001</v>
      </c>
      <c r="L875" s="59">
        <f>16.7052 * CHOOSE(CONTROL!$C$27, $C$14, 100%, $E$14)</f>
        <v>16.705200000000001</v>
      </c>
      <c r="M875" s="59">
        <f>16.712 * CHOOSE(CONTROL!$C$27, $C$14, 100%, $E$14)</f>
        <v>16.712</v>
      </c>
      <c r="N875" s="59">
        <f>16.7052 * CHOOSE(CONTROL!$C$27, $C$14, 100%, $E$14)</f>
        <v>16.705200000000001</v>
      </c>
      <c r="O875" s="59">
        <f>16.712 * CHOOSE(CONTROL!$C$27, $C$14, 100%, $E$14)</f>
        <v>16.712</v>
      </c>
    </row>
    <row r="876" spans="1:15" ht="15">
      <c r="A876" s="11">
        <v>67754</v>
      </c>
      <c r="B876" s="58">
        <f>14.7768 * CHOOSE(CONTROL!$C$27, $C$14, 100%, $E$14)</f>
        <v>14.7768</v>
      </c>
      <c r="C876" s="58">
        <f>14.7768 * CHOOSE(CONTROL!$C$27, $C$14, 100%, $E$14)</f>
        <v>14.7768</v>
      </c>
      <c r="D876" s="58">
        <f>14.7824 * CHOOSE(CONTROL!$C$27, $C$14, 100%, $E$14)</f>
        <v>14.782400000000001</v>
      </c>
      <c r="E876" s="59">
        <f>16.9704 * CHOOSE(CONTROL!$C$27, $C$14, 100%, $E$14)</f>
        <v>16.970400000000001</v>
      </c>
      <c r="F876" s="59">
        <f>16.9704 * CHOOSE(CONTROL!$C$27, $C$14, 100%, $E$14)</f>
        <v>16.970400000000001</v>
      </c>
      <c r="G876" s="59">
        <f>16.9773 * CHOOSE(CONTROL!$C$27, $C$14, 100%, $E$14)</f>
        <v>16.9773</v>
      </c>
      <c r="H876" s="59">
        <f>31.0481* CHOOSE(CONTROL!$C$27, $C$14, 100%, $E$14)</f>
        <v>31.048100000000002</v>
      </c>
      <c r="I876" s="59">
        <f>31.055 * CHOOSE(CONTROL!$C$27, $C$14, 100%, $E$14)</f>
        <v>31.055</v>
      </c>
      <c r="J876" s="59">
        <f>31.0481 * CHOOSE(CONTROL!$C$27, $C$14, 100%, $E$14)</f>
        <v>31.048100000000002</v>
      </c>
      <c r="K876" s="59">
        <f>31.055 * CHOOSE(CONTROL!$C$27, $C$14, 100%, $E$14)</f>
        <v>31.055</v>
      </c>
      <c r="L876" s="59">
        <f>16.9704 * CHOOSE(CONTROL!$C$27, $C$14, 100%, $E$14)</f>
        <v>16.970400000000001</v>
      </c>
      <c r="M876" s="59">
        <f>16.9773 * CHOOSE(CONTROL!$C$27, $C$14, 100%, $E$14)</f>
        <v>16.9773</v>
      </c>
      <c r="N876" s="59">
        <f>16.9704 * CHOOSE(CONTROL!$C$27, $C$14, 100%, $E$14)</f>
        <v>16.970400000000001</v>
      </c>
      <c r="O876" s="59">
        <f>16.9773 * CHOOSE(CONTROL!$C$27, $C$14, 100%, $E$14)</f>
        <v>16.9773</v>
      </c>
    </row>
    <row r="877" spans="1:15" ht="15">
      <c r="A877" s="11">
        <v>67785</v>
      </c>
      <c r="B877" s="58">
        <f>14.7835 * CHOOSE(CONTROL!$C$27, $C$14, 100%, $E$14)</f>
        <v>14.7835</v>
      </c>
      <c r="C877" s="58">
        <f>14.7835 * CHOOSE(CONTROL!$C$27, $C$14, 100%, $E$14)</f>
        <v>14.7835</v>
      </c>
      <c r="D877" s="58">
        <f>14.7891 * CHOOSE(CONTROL!$C$27, $C$14, 100%, $E$14)</f>
        <v>14.789099999999999</v>
      </c>
      <c r="E877" s="59">
        <f>16.6946 * CHOOSE(CONTROL!$C$27, $C$14, 100%, $E$14)</f>
        <v>16.694600000000001</v>
      </c>
      <c r="F877" s="59">
        <f>16.6946 * CHOOSE(CONTROL!$C$27, $C$14, 100%, $E$14)</f>
        <v>16.694600000000001</v>
      </c>
      <c r="G877" s="59">
        <f>16.7015 * CHOOSE(CONTROL!$C$27, $C$14, 100%, $E$14)</f>
        <v>16.701499999999999</v>
      </c>
      <c r="H877" s="59">
        <f>31.1128* CHOOSE(CONTROL!$C$27, $C$14, 100%, $E$14)</f>
        <v>31.1128</v>
      </c>
      <c r="I877" s="59">
        <f>31.1197 * CHOOSE(CONTROL!$C$27, $C$14, 100%, $E$14)</f>
        <v>31.119700000000002</v>
      </c>
      <c r="J877" s="59">
        <f>31.1128 * CHOOSE(CONTROL!$C$27, $C$14, 100%, $E$14)</f>
        <v>31.1128</v>
      </c>
      <c r="K877" s="59">
        <f>31.1197 * CHOOSE(CONTROL!$C$27, $C$14, 100%, $E$14)</f>
        <v>31.119700000000002</v>
      </c>
      <c r="L877" s="59">
        <f>16.6946 * CHOOSE(CONTROL!$C$27, $C$14, 100%, $E$14)</f>
        <v>16.694600000000001</v>
      </c>
      <c r="M877" s="59">
        <f>16.7015 * CHOOSE(CONTROL!$C$27, $C$14, 100%, $E$14)</f>
        <v>16.701499999999999</v>
      </c>
      <c r="N877" s="59">
        <f>16.6946 * CHOOSE(CONTROL!$C$27, $C$14, 100%, $E$14)</f>
        <v>16.694600000000001</v>
      </c>
      <c r="O877" s="59">
        <f>16.7015 * CHOOSE(CONTROL!$C$27, $C$14, 100%, $E$14)</f>
        <v>16.701499999999999</v>
      </c>
    </row>
    <row r="878" spans="1:15" ht="15">
      <c r="A878" s="11">
        <v>67816</v>
      </c>
      <c r="B878" s="58">
        <f>14.7804 * CHOOSE(CONTROL!$C$27, $C$14, 100%, $E$14)</f>
        <v>14.7804</v>
      </c>
      <c r="C878" s="58">
        <f>14.7804 * CHOOSE(CONTROL!$C$27, $C$14, 100%, $E$14)</f>
        <v>14.7804</v>
      </c>
      <c r="D878" s="58">
        <f>14.7861 * CHOOSE(CONTROL!$C$27, $C$14, 100%, $E$14)</f>
        <v>14.786099999999999</v>
      </c>
      <c r="E878" s="59">
        <f>16.6613 * CHOOSE(CONTROL!$C$27, $C$14, 100%, $E$14)</f>
        <v>16.661300000000001</v>
      </c>
      <c r="F878" s="59">
        <f>16.6613 * CHOOSE(CONTROL!$C$27, $C$14, 100%, $E$14)</f>
        <v>16.661300000000001</v>
      </c>
      <c r="G878" s="59">
        <f>16.6682 * CHOOSE(CONTROL!$C$27, $C$14, 100%, $E$14)</f>
        <v>16.668199999999999</v>
      </c>
      <c r="H878" s="59">
        <f>31.1776* CHOOSE(CONTROL!$C$27, $C$14, 100%, $E$14)</f>
        <v>31.177600000000002</v>
      </c>
      <c r="I878" s="59">
        <f>31.1845 * CHOOSE(CONTROL!$C$27, $C$14, 100%, $E$14)</f>
        <v>31.1845</v>
      </c>
      <c r="J878" s="59">
        <f>31.1776 * CHOOSE(CONTROL!$C$27, $C$14, 100%, $E$14)</f>
        <v>31.177600000000002</v>
      </c>
      <c r="K878" s="59">
        <f>31.1845 * CHOOSE(CONTROL!$C$27, $C$14, 100%, $E$14)</f>
        <v>31.1845</v>
      </c>
      <c r="L878" s="59">
        <f>16.6613 * CHOOSE(CONTROL!$C$27, $C$14, 100%, $E$14)</f>
        <v>16.661300000000001</v>
      </c>
      <c r="M878" s="59">
        <f>16.6682 * CHOOSE(CONTROL!$C$27, $C$14, 100%, $E$14)</f>
        <v>16.668199999999999</v>
      </c>
      <c r="N878" s="59">
        <f>16.6613 * CHOOSE(CONTROL!$C$27, $C$14, 100%, $E$14)</f>
        <v>16.661300000000001</v>
      </c>
      <c r="O878" s="59">
        <f>16.6682 * CHOOSE(CONTROL!$C$27, $C$14, 100%, $E$14)</f>
        <v>16.668199999999999</v>
      </c>
    </row>
    <row r="879" spans="1:15" ht="15">
      <c r="A879" s="11">
        <v>67846</v>
      </c>
      <c r="B879" s="58">
        <f>14.8102 * CHOOSE(CONTROL!$C$27, $C$14, 100%, $E$14)</f>
        <v>14.8102</v>
      </c>
      <c r="C879" s="58">
        <f>14.8102 * CHOOSE(CONTROL!$C$27, $C$14, 100%, $E$14)</f>
        <v>14.8102</v>
      </c>
      <c r="D879" s="58">
        <f>14.8142 * CHOOSE(CONTROL!$C$27, $C$14, 100%, $E$14)</f>
        <v>14.8142</v>
      </c>
      <c r="E879" s="59">
        <f>16.7726 * CHOOSE(CONTROL!$C$27, $C$14, 100%, $E$14)</f>
        <v>16.772600000000001</v>
      </c>
      <c r="F879" s="59">
        <f>16.7726 * CHOOSE(CONTROL!$C$27, $C$14, 100%, $E$14)</f>
        <v>16.772600000000001</v>
      </c>
      <c r="G879" s="59">
        <f>16.7775 * CHOOSE(CONTROL!$C$27, $C$14, 100%, $E$14)</f>
        <v>16.7775</v>
      </c>
      <c r="H879" s="59">
        <f>31.2426* CHOOSE(CONTROL!$C$27, $C$14, 100%, $E$14)</f>
        <v>31.242599999999999</v>
      </c>
      <c r="I879" s="59">
        <f>31.2475 * CHOOSE(CONTROL!$C$27, $C$14, 100%, $E$14)</f>
        <v>31.247499999999999</v>
      </c>
      <c r="J879" s="59">
        <f>31.2426 * CHOOSE(CONTROL!$C$27, $C$14, 100%, $E$14)</f>
        <v>31.242599999999999</v>
      </c>
      <c r="K879" s="59">
        <f>31.2475 * CHOOSE(CONTROL!$C$27, $C$14, 100%, $E$14)</f>
        <v>31.247499999999999</v>
      </c>
      <c r="L879" s="59">
        <f>16.7726 * CHOOSE(CONTROL!$C$27, $C$14, 100%, $E$14)</f>
        <v>16.772600000000001</v>
      </c>
      <c r="M879" s="59">
        <f>16.7775 * CHOOSE(CONTROL!$C$27, $C$14, 100%, $E$14)</f>
        <v>16.7775</v>
      </c>
      <c r="N879" s="59">
        <f>16.7726 * CHOOSE(CONTROL!$C$27, $C$14, 100%, $E$14)</f>
        <v>16.772600000000001</v>
      </c>
      <c r="O879" s="59">
        <f>16.7775 * CHOOSE(CONTROL!$C$27, $C$14, 100%, $E$14)</f>
        <v>16.7775</v>
      </c>
    </row>
    <row r="880" spans="1:15" ht="15">
      <c r="A880" s="11">
        <v>67877</v>
      </c>
      <c r="B880" s="58">
        <f>14.8132 * CHOOSE(CONTROL!$C$27, $C$14, 100%, $E$14)</f>
        <v>14.8132</v>
      </c>
      <c r="C880" s="58">
        <f>14.8132 * CHOOSE(CONTROL!$C$27, $C$14, 100%, $E$14)</f>
        <v>14.8132</v>
      </c>
      <c r="D880" s="58">
        <f>14.8172 * CHOOSE(CONTROL!$C$27, $C$14, 100%, $E$14)</f>
        <v>14.8172</v>
      </c>
      <c r="E880" s="59">
        <f>16.837 * CHOOSE(CONTROL!$C$27, $C$14, 100%, $E$14)</f>
        <v>16.837</v>
      </c>
      <c r="F880" s="59">
        <f>16.837 * CHOOSE(CONTROL!$C$27, $C$14, 100%, $E$14)</f>
        <v>16.837</v>
      </c>
      <c r="G880" s="59">
        <f>16.8419 * CHOOSE(CONTROL!$C$27, $C$14, 100%, $E$14)</f>
        <v>16.841899999999999</v>
      </c>
      <c r="H880" s="59">
        <f>31.3077* CHOOSE(CONTROL!$C$27, $C$14, 100%, $E$14)</f>
        <v>31.307700000000001</v>
      </c>
      <c r="I880" s="59">
        <f>31.3126 * CHOOSE(CONTROL!$C$27, $C$14, 100%, $E$14)</f>
        <v>31.3126</v>
      </c>
      <c r="J880" s="59">
        <f>31.3077 * CHOOSE(CONTROL!$C$27, $C$14, 100%, $E$14)</f>
        <v>31.307700000000001</v>
      </c>
      <c r="K880" s="59">
        <f>31.3126 * CHOOSE(CONTROL!$C$27, $C$14, 100%, $E$14)</f>
        <v>31.3126</v>
      </c>
      <c r="L880" s="59">
        <f>16.837 * CHOOSE(CONTROL!$C$27, $C$14, 100%, $E$14)</f>
        <v>16.837</v>
      </c>
      <c r="M880" s="59">
        <f>16.8419 * CHOOSE(CONTROL!$C$27, $C$14, 100%, $E$14)</f>
        <v>16.841899999999999</v>
      </c>
      <c r="N880" s="59">
        <f>16.837 * CHOOSE(CONTROL!$C$27, $C$14, 100%, $E$14)</f>
        <v>16.837</v>
      </c>
      <c r="O880" s="59">
        <f>16.8419 * CHOOSE(CONTROL!$C$27, $C$14, 100%, $E$14)</f>
        <v>16.841899999999999</v>
      </c>
    </row>
    <row r="881" spans="1:15" ht="15">
      <c r="A881" s="11">
        <v>67907</v>
      </c>
      <c r="B881" s="58">
        <f>14.8132 * CHOOSE(CONTROL!$C$27, $C$14, 100%, $E$14)</f>
        <v>14.8132</v>
      </c>
      <c r="C881" s="58">
        <f>14.8132 * CHOOSE(CONTROL!$C$27, $C$14, 100%, $E$14)</f>
        <v>14.8132</v>
      </c>
      <c r="D881" s="58">
        <f>14.8172 * CHOOSE(CONTROL!$C$27, $C$14, 100%, $E$14)</f>
        <v>14.8172</v>
      </c>
      <c r="E881" s="59">
        <f>16.6812 * CHOOSE(CONTROL!$C$27, $C$14, 100%, $E$14)</f>
        <v>16.6812</v>
      </c>
      <c r="F881" s="59">
        <f>16.6812 * CHOOSE(CONTROL!$C$27, $C$14, 100%, $E$14)</f>
        <v>16.6812</v>
      </c>
      <c r="G881" s="59">
        <f>16.6861 * CHOOSE(CONTROL!$C$27, $C$14, 100%, $E$14)</f>
        <v>16.6861</v>
      </c>
      <c r="H881" s="59">
        <f>31.3729* CHOOSE(CONTROL!$C$27, $C$14, 100%, $E$14)</f>
        <v>31.372900000000001</v>
      </c>
      <c r="I881" s="59">
        <f>31.3778 * CHOOSE(CONTROL!$C$27, $C$14, 100%, $E$14)</f>
        <v>31.377800000000001</v>
      </c>
      <c r="J881" s="59">
        <f>31.3729 * CHOOSE(CONTROL!$C$27, $C$14, 100%, $E$14)</f>
        <v>31.372900000000001</v>
      </c>
      <c r="K881" s="59">
        <f>31.3778 * CHOOSE(CONTROL!$C$27, $C$14, 100%, $E$14)</f>
        <v>31.377800000000001</v>
      </c>
      <c r="L881" s="59">
        <f>16.6812 * CHOOSE(CONTROL!$C$27, $C$14, 100%, $E$14)</f>
        <v>16.6812</v>
      </c>
      <c r="M881" s="59">
        <f>16.6861 * CHOOSE(CONTROL!$C$27, $C$14, 100%, $E$14)</f>
        <v>16.6861</v>
      </c>
      <c r="N881" s="59">
        <f>16.6812 * CHOOSE(CONTROL!$C$27, $C$14, 100%, $E$14)</f>
        <v>16.6812</v>
      </c>
      <c r="O881" s="59">
        <f>16.6861 * CHOOSE(CONTROL!$C$27, $C$14, 100%, $E$14)</f>
        <v>16.6861</v>
      </c>
    </row>
    <row r="882" spans="1:15" ht="15">
      <c r="A882" s="11">
        <v>67938</v>
      </c>
      <c r="B882" s="58">
        <f>14.7854 * CHOOSE(CONTROL!$C$27, $C$14, 100%, $E$14)</f>
        <v>14.785399999999999</v>
      </c>
      <c r="C882" s="58">
        <f>14.7854 * CHOOSE(CONTROL!$C$27, $C$14, 100%, $E$14)</f>
        <v>14.785399999999999</v>
      </c>
      <c r="D882" s="58">
        <f>14.7894 * CHOOSE(CONTROL!$C$27, $C$14, 100%, $E$14)</f>
        <v>14.789400000000001</v>
      </c>
      <c r="E882" s="59">
        <f>16.7771 * CHOOSE(CONTROL!$C$27, $C$14, 100%, $E$14)</f>
        <v>16.777100000000001</v>
      </c>
      <c r="F882" s="59">
        <f>16.7771 * CHOOSE(CONTROL!$C$27, $C$14, 100%, $E$14)</f>
        <v>16.777100000000001</v>
      </c>
      <c r="G882" s="59">
        <f>16.7821 * CHOOSE(CONTROL!$C$27, $C$14, 100%, $E$14)</f>
        <v>16.7821</v>
      </c>
      <c r="H882" s="59">
        <f>31.1454* CHOOSE(CONTROL!$C$27, $C$14, 100%, $E$14)</f>
        <v>31.145399999999999</v>
      </c>
      <c r="I882" s="59">
        <f>31.1503 * CHOOSE(CONTROL!$C$27, $C$14, 100%, $E$14)</f>
        <v>31.150300000000001</v>
      </c>
      <c r="J882" s="59">
        <f>31.1454 * CHOOSE(CONTROL!$C$27, $C$14, 100%, $E$14)</f>
        <v>31.145399999999999</v>
      </c>
      <c r="K882" s="59">
        <f>31.1503 * CHOOSE(CONTROL!$C$27, $C$14, 100%, $E$14)</f>
        <v>31.150300000000001</v>
      </c>
      <c r="L882" s="59">
        <f>16.7771 * CHOOSE(CONTROL!$C$27, $C$14, 100%, $E$14)</f>
        <v>16.777100000000001</v>
      </c>
      <c r="M882" s="59">
        <f>16.7821 * CHOOSE(CONTROL!$C$27, $C$14, 100%, $E$14)</f>
        <v>16.7821</v>
      </c>
      <c r="N882" s="59">
        <f>16.7771 * CHOOSE(CONTROL!$C$27, $C$14, 100%, $E$14)</f>
        <v>16.777100000000001</v>
      </c>
      <c r="O882" s="59">
        <f>16.7821 * CHOOSE(CONTROL!$C$27, $C$14, 100%, $E$14)</f>
        <v>16.7821</v>
      </c>
    </row>
    <row r="883" spans="1:15" ht="15">
      <c r="A883" s="11">
        <v>67969</v>
      </c>
      <c r="B883" s="58">
        <f>14.7824 * CHOOSE(CONTROL!$C$27, $C$14, 100%, $E$14)</f>
        <v>14.782400000000001</v>
      </c>
      <c r="C883" s="58">
        <f>14.7824 * CHOOSE(CONTROL!$C$27, $C$14, 100%, $E$14)</f>
        <v>14.782400000000001</v>
      </c>
      <c r="D883" s="58">
        <f>14.7864 * CHOOSE(CONTROL!$C$27, $C$14, 100%, $E$14)</f>
        <v>14.7864</v>
      </c>
      <c r="E883" s="59">
        <f>16.4756 * CHOOSE(CONTROL!$C$27, $C$14, 100%, $E$14)</f>
        <v>16.4756</v>
      </c>
      <c r="F883" s="59">
        <f>16.4756 * CHOOSE(CONTROL!$C$27, $C$14, 100%, $E$14)</f>
        <v>16.4756</v>
      </c>
      <c r="G883" s="59">
        <f>16.4805 * CHOOSE(CONTROL!$C$27, $C$14, 100%, $E$14)</f>
        <v>16.480499999999999</v>
      </c>
      <c r="H883" s="59">
        <f>31.2103* CHOOSE(CONTROL!$C$27, $C$14, 100%, $E$14)</f>
        <v>31.2103</v>
      </c>
      <c r="I883" s="59">
        <f>31.2152 * CHOOSE(CONTROL!$C$27, $C$14, 100%, $E$14)</f>
        <v>31.215199999999999</v>
      </c>
      <c r="J883" s="59">
        <f>31.2103 * CHOOSE(CONTROL!$C$27, $C$14, 100%, $E$14)</f>
        <v>31.2103</v>
      </c>
      <c r="K883" s="59">
        <f>31.2152 * CHOOSE(CONTROL!$C$27, $C$14, 100%, $E$14)</f>
        <v>31.215199999999999</v>
      </c>
      <c r="L883" s="59">
        <f>16.4756 * CHOOSE(CONTROL!$C$27, $C$14, 100%, $E$14)</f>
        <v>16.4756</v>
      </c>
      <c r="M883" s="59">
        <f>16.4805 * CHOOSE(CONTROL!$C$27, $C$14, 100%, $E$14)</f>
        <v>16.480499999999999</v>
      </c>
      <c r="N883" s="59">
        <f>16.4756 * CHOOSE(CONTROL!$C$27, $C$14, 100%, $E$14)</f>
        <v>16.4756</v>
      </c>
      <c r="O883" s="59">
        <f>16.4805 * CHOOSE(CONTROL!$C$27, $C$14, 100%, $E$14)</f>
        <v>16.480499999999999</v>
      </c>
    </row>
    <row r="884" spans="1:15" ht="15">
      <c r="A884" s="11">
        <v>67997</v>
      </c>
      <c r="B884" s="58">
        <f>14.7794 * CHOOSE(CONTROL!$C$27, $C$14, 100%, $E$14)</f>
        <v>14.779400000000001</v>
      </c>
      <c r="C884" s="58">
        <f>14.7794 * CHOOSE(CONTROL!$C$27, $C$14, 100%, $E$14)</f>
        <v>14.779400000000001</v>
      </c>
      <c r="D884" s="58">
        <f>14.7834 * CHOOSE(CONTROL!$C$27, $C$14, 100%, $E$14)</f>
        <v>14.7834</v>
      </c>
      <c r="E884" s="59">
        <f>16.7095 * CHOOSE(CONTROL!$C$27, $C$14, 100%, $E$14)</f>
        <v>16.709499999999998</v>
      </c>
      <c r="F884" s="59">
        <f>16.7095 * CHOOSE(CONTROL!$C$27, $C$14, 100%, $E$14)</f>
        <v>16.709499999999998</v>
      </c>
      <c r="G884" s="59">
        <f>16.7144 * CHOOSE(CONTROL!$C$27, $C$14, 100%, $E$14)</f>
        <v>16.714400000000001</v>
      </c>
      <c r="H884" s="59">
        <f>31.2753* CHOOSE(CONTROL!$C$27, $C$14, 100%, $E$14)</f>
        <v>31.275300000000001</v>
      </c>
      <c r="I884" s="59">
        <f>31.2802 * CHOOSE(CONTROL!$C$27, $C$14, 100%, $E$14)</f>
        <v>31.280200000000001</v>
      </c>
      <c r="J884" s="59">
        <f>31.2753 * CHOOSE(CONTROL!$C$27, $C$14, 100%, $E$14)</f>
        <v>31.275300000000001</v>
      </c>
      <c r="K884" s="59">
        <f>31.2802 * CHOOSE(CONTROL!$C$27, $C$14, 100%, $E$14)</f>
        <v>31.280200000000001</v>
      </c>
      <c r="L884" s="59">
        <f>16.7095 * CHOOSE(CONTROL!$C$27, $C$14, 100%, $E$14)</f>
        <v>16.709499999999998</v>
      </c>
      <c r="M884" s="59">
        <f>16.7144 * CHOOSE(CONTROL!$C$27, $C$14, 100%, $E$14)</f>
        <v>16.714400000000001</v>
      </c>
      <c r="N884" s="59">
        <f>16.7095 * CHOOSE(CONTROL!$C$27, $C$14, 100%, $E$14)</f>
        <v>16.709499999999998</v>
      </c>
      <c r="O884" s="59">
        <f>16.7144 * CHOOSE(CONTROL!$C$27, $C$14, 100%, $E$14)</f>
        <v>16.714400000000001</v>
      </c>
    </row>
    <row r="885" spans="1:15" ht="15">
      <c r="A885" s="11">
        <v>68028</v>
      </c>
      <c r="B885" s="58">
        <f>14.786 * CHOOSE(CONTROL!$C$27, $C$14, 100%, $E$14)</f>
        <v>14.786</v>
      </c>
      <c r="C885" s="58">
        <f>14.786 * CHOOSE(CONTROL!$C$27, $C$14, 100%, $E$14)</f>
        <v>14.786</v>
      </c>
      <c r="D885" s="58">
        <f>14.79 * CHOOSE(CONTROL!$C$27, $C$14, 100%, $E$14)</f>
        <v>14.79</v>
      </c>
      <c r="E885" s="59">
        <f>16.9588 * CHOOSE(CONTROL!$C$27, $C$14, 100%, $E$14)</f>
        <v>16.9588</v>
      </c>
      <c r="F885" s="59">
        <f>16.9588 * CHOOSE(CONTROL!$C$27, $C$14, 100%, $E$14)</f>
        <v>16.9588</v>
      </c>
      <c r="G885" s="59">
        <f>16.9637 * CHOOSE(CONTROL!$C$27, $C$14, 100%, $E$14)</f>
        <v>16.963699999999999</v>
      </c>
      <c r="H885" s="59">
        <f>31.3404* CHOOSE(CONTROL!$C$27, $C$14, 100%, $E$14)</f>
        <v>31.340399999999999</v>
      </c>
      <c r="I885" s="59">
        <f>31.3454 * CHOOSE(CONTROL!$C$27, $C$14, 100%, $E$14)</f>
        <v>31.345400000000001</v>
      </c>
      <c r="J885" s="59">
        <f>31.3404 * CHOOSE(CONTROL!$C$27, $C$14, 100%, $E$14)</f>
        <v>31.340399999999999</v>
      </c>
      <c r="K885" s="59">
        <f>31.3454 * CHOOSE(CONTROL!$C$27, $C$14, 100%, $E$14)</f>
        <v>31.345400000000001</v>
      </c>
      <c r="L885" s="59">
        <f>16.9588 * CHOOSE(CONTROL!$C$27, $C$14, 100%, $E$14)</f>
        <v>16.9588</v>
      </c>
      <c r="M885" s="59">
        <f>16.9637 * CHOOSE(CONTROL!$C$27, $C$14, 100%, $E$14)</f>
        <v>16.963699999999999</v>
      </c>
      <c r="N885" s="59">
        <f>16.9588 * CHOOSE(CONTROL!$C$27, $C$14, 100%, $E$14)</f>
        <v>16.9588</v>
      </c>
      <c r="O885" s="59">
        <f>16.9637 * CHOOSE(CONTROL!$C$27, $C$14, 100%, $E$14)</f>
        <v>16.963699999999999</v>
      </c>
    </row>
    <row r="886" spans="1:15" ht="15">
      <c r="A886" s="11">
        <v>68058</v>
      </c>
      <c r="B886" s="58">
        <f>14.786 * CHOOSE(CONTROL!$C$27, $C$14, 100%, $E$14)</f>
        <v>14.786</v>
      </c>
      <c r="C886" s="58">
        <f>14.786 * CHOOSE(CONTROL!$C$27, $C$14, 100%, $E$14)</f>
        <v>14.786</v>
      </c>
      <c r="D886" s="58">
        <f>14.7917 * CHOOSE(CONTROL!$C$27, $C$14, 100%, $E$14)</f>
        <v>14.791700000000001</v>
      </c>
      <c r="E886" s="59">
        <f>17.0538 * CHOOSE(CONTROL!$C$27, $C$14, 100%, $E$14)</f>
        <v>17.053799999999999</v>
      </c>
      <c r="F886" s="59">
        <f>17.0538 * CHOOSE(CONTROL!$C$27, $C$14, 100%, $E$14)</f>
        <v>17.053799999999999</v>
      </c>
      <c r="G886" s="59">
        <f>17.0607 * CHOOSE(CONTROL!$C$27, $C$14, 100%, $E$14)</f>
        <v>17.060700000000001</v>
      </c>
      <c r="H886" s="59">
        <f>31.4057* CHOOSE(CONTROL!$C$27, $C$14, 100%, $E$14)</f>
        <v>31.4057</v>
      </c>
      <c r="I886" s="59">
        <f>31.4126 * CHOOSE(CONTROL!$C$27, $C$14, 100%, $E$14)</f>
        <v>31.412600000000001</v>
      </c>
      <c r="J886" s="59">
        <f>31.4057 * CHOOSE(CONTROL!$C$27, $C$14, 100%, $E$14)</f>
        <v>31.4057</v>
      </c>
      <c r="K886" s="59">
        <f>31.4126 * CHOOSE(CONTROL!$C$27, $C$14, 100%, $E$14)</f>
        <v>31.412600000000001</v>
      </c>
      <c r="L886" s="59">
        <f>17.0538 * CHOOSE(CONTROL!$C$27, $C$14, 100%, $E$14)</f>
        <v>17.053799999999999</v>
      </c>
      <c r="M886" s="59">
        <f>17.0607 * CHOOSE(CONTROL!$C$27, $C$14, 100%, $E$14)</f>
        <v>17.060700000000001</v>
      </c>
      <c r="N886" s="59">
        <f>17.0538 * CHOOSE(CONTROL!$C$27, $C$14, 100%, $E$14)</f>
        <v>17.053799999999999</v>
      </c>
      <c r="O886" s="59">
        <f>17.0607 * CHOOSE(CONTROL!$C$27, $C$14, 100%, $E$14)</f>
        <v>17.060700000000001</v>
      </c>
    </row>
    <row r="887" spans="1:15" ht="15">
      <c r="A887" s="11">
        <v>68089</v>
      </c>
      <c r="B887" s="58">
        <f>14.7921 * CHOOSE(CONTROL!$C$27, $C$14, 100%, $E$14)</f>
        <v>14.7921</v>
      </c>
      <c r="C887" s="58">
        <f>14.7921 * CHOOSE(CONTROL!$C$27, $C$14, 100%, $E$14)</f>
        <v>14.7921</v>
      </c>
      <c r="D887" s="58">
        <f>14.7978 * CHOOSE(CONTROL!$C$27, $C$14, 100%, $E$14)</f>
        <v>14.797800000000001</v>
      </c>
      <c r="E887" s="59">
        <f>16.963 * CHOOSE(CONTROL!$C$27, $C$14, 100%, $E$14)</f>
        <v>16.963000000000001</v>
      </c>
      <c r="F887" s="59">
        <f>16.963 * CHOOSE(CONTROL!$C$27, $C$14, 100%, $E$14)</f>
        <v>16.963000000000001</v>
      </c>
      <c r="G887" s="59">
        <f>16.9699 * CHOOSE(CONTROL!$C$27, $C$14, 100%, $E$14)</f>
        <v>16.969899999999999</v>
      </c>
      <c r="H887" s="59">
        <f>31.4712* CHOOSE(CONTROL!$C$27, $C$14, 100%, $E$14)</f>
        <v>31.4712</v>
      </c>
      <c r="I887" s="59">
        <f>31.4781 * CHOOSE(CONTROL!$C$27, $C$14, 100%, $E$14)</f>
        <v>31.478100000000001</v>
      </c>
      <c r="J887" s="59">
        <f>31.4712 * CHOOSE(CONTROL!$C$27, $C$14, 100%, $E$14)</f>
        <v>31.4712</v>
      </c>
      <c r="K887" s="59">
        <f>31.4781 * CHOOSE(CONTROL!$C$27, $C$14, 100%, $E$14)</f>
        <v>31.478100000000001</v>
      </c>
      <c r="L887" s="59">
        <f>16.963 * CHOOSE(CONTROL!$C$27, $C$14, 100%, $E$14)</f>
        <v>16.963000000000001</v>
      </c>
      <c r="M887" s="59">
        <f>16.9699 * CHOOSE(CONTROL!$C$27, $C$14, 100%, $E$14)</f>
        <v>16.969899999999999</v>
      </c>
      <c r="N887" s="59">
        <f>16.963 * CHOOSE(CONTROL!$C$27, $C$14, 100%, $E$14)</f>
        <v>16.963000000000001</v>
      </c>
      <c r="O887" s="59">
        <f>16.9699 * CHOOSE(CONTROL!$C$27, $C$14, 100%, $E$14)</f>
        <v>16.969899999999999</v>
      </c>
    </row>
    <row r="888" spans="1:15" ht="15">
      <c r="A888" s="11">
        <v>68119</v>
      </c>
      <c r="B888" s="58">
        <f>15.016 * CHOOSE(CONTROL!$C$27, $C$14, 100%, $E$14)</f>
        <v>15.016</v>
      </c>
      <c r="C888" s="58">
        <f>15.016 * CHOOSE(CONTROL!$C$27, $C$14, 100%, $E$14)</f>
        <v>15.016</v>
      </c>
      <c r="D888" s="58">
        <f>15.0216 * CHOOSE(CONTROL!$C$27, $C$14, 100%, $E$14)</f>
        <v>15.021599999999999</v>
      </c>
      <c r="E888" s="59">
        <f>17.2322 * CHOOSE(CONTROL!$C$27, $C$14, 100%, $E$14)</f>
        <v>17.232199999999999</v>
      </c>
      <c r="F888" s="59">
        <f>17.2322 * CHOOSE(CONTROL!$C$27, $C$14, 100%, $E$14)</f>
        <v>17.232199999999999</v>
      </c>
      <c r="G888" s="59">
        <f>17.2391 * CHOOSE(CONTROL!$C$27, $C$14, 100%, $E$14)</f>
        <v>17.239100000000001</v>
      </c>
      <c r="H888" s="59">
        <f>31.5367* CHOOSE(CONTROL!$C$27, $C$14, 100%, $E$14)</f>
        <v>31.5367</v>
      </c>
      <c r="I888" s="59">
        <f>31.5436 * CHOOSE(CONTROL!$C$27, $C$14, 100%, $E$14)</f>
        <v>31.543600000000001</v>
      </c>
      <c r="J888" s="59">
        <f>31.5367 * CHOOSE(CONTROL!$C$27, $C$14, 100%, $E$14)</f>
        <v>31.5367</v>
      </c>
      <c r="K888" s="59">
        <f>31.5436 * CHOOSE(CONTROL!$C$27, $C$14, 100%, $E$14)</f>
        <v>31.543600000000001</v>
      </c>
      <c r="L888" s="59">
        <f>17.2322 * CHOOSE(CONTROL!$C$27, $C$14, 100%, $E$14)</f>
        <v>17.232199999999999</v>
      </c>
      <c r="M888" s="59">
        <f>17.2391 * CHOOSE(CONTROL!$C$27, $C$14, 100%, $E$14)</f>
        <v>17.239100000000001</v>
      </c>
      <c r="N888" s="59">
        <f>17.2322 * CHOOSE(CONTROL!$C$27, $C$14, 100%, $E$14)</f>
        <v>17.232199999999999</v>
      </c>
      <c r="O888" s="59">
        <f>17.2391 * CHOOSE(CONTROL!$C$27, $C$14, 100%, $E$14)</f>
        <v>17.239100000000001</v>
      </c>
    </row>
    <row r="889" spans="1:15" ht="15">
      <c r="A889" s="11">
        <v>68150</v>
      </c>
      <c r="B889" s="58">
        <f>15.0226 * CHOOSE(CONTROL!$C$27, $C$14, 100%, $E$14)</f>
        <v>15.022600000000001</v>
      </c>
      <c r="C889" s="58">
        <f>15.0226 * CHOOSE(CONTROL!$C$27, $C$14, 100%, $E$14)</f>
        <v>15.022600000000001</v>
      </c>
      <c r="D889" s="58">
        <f>15.0283 * CHOOSE(CONTROL!$C$27, $C$14, 100%, $E$14)</f>
        <v>15.0283</v>
      </c>
      <c r="E889" s="59">
        <f>16.9517 * CHOOSE(CONTROL!$C$27, $C$14, 100%, $E$14)</f>
        <v>16.951699999999999</v>
      </c>
      <c r="F889" s="59">
        <f>16.9517 * CHOOSE(CONTROL!$C$27, $C$14, 100%, $E$14)</f>
        <v>16.951699999999999</v>
      </c>
      <c r="G889" s="59">
        <f>16.9586 * CHOOSE(CONTROL!$C$27, $C$14, 100%, $E$14)</f>
        <v>16.958600000000001</v>
      </c>
      <c r="H889" s="59">
        <f>31.6024* CHOOSE(CONTROL!$C$27, $C$14, 100%, $E$14)</f>
        <v>31.602399999999999</v>
      </c>
      <c r="I889" s="59">
        <f>31.6093 * CHOOSE(CONTROL!$C$27, $C$14, 100%, $E$14)</f>
        <v>31.609300000000001</v>
      </c>
      <c r="J889" s="59">
        <f>31.6024 * CHOOSE(CONTROL!$C$27, $C$14, 100%, $E$14)</f>
        <v>31.602399999999999</v>
      </c>
      <c r="K889" s="59">
        <f>31.6093 * CHOOSE(CONTROL!$C$27, $C$14, 100%, $E$14)</f>
        <v>31.609300000000001</v>
      </c>
      <c r="L889" s="59">
        <f>16.9517 * CHOOSE(CONTROL!$C$27, $C$14, 100%, $E$14)</f>
        <v>16.951699999999999</v>
      </c>
      <c r="M889" s="59">
        <f>16.9586 * CHOOSE(CONTROL!$C$27, $C$14, 100%, $E$14)</f>
        <v>16.958600000000001</v>
      </c>
      <c r="N889" s="59">
        <f>16.9517 * CHOOSE(CONTROL!$C$27, $C$14, 100%, $E$14)</f>
        <v>16.951699999999999</v>
      </c>
      <c r="O889" s="59">
        <f>16.9586 * CHOOSE(CONTROL!$C$27, $C$14, 100%, $E$14)</f>
        <v>16.958600000000001</v>
      </c>
    </row>
    <row r="890" spans="1:15" ht="15">
      <c r="A890" s="11">
        <v>68181</v>
      </c>
      <c r="B890" s="58">
        <f>15.0196 * CHOOSE(CONTROL!$C$27, $C$14, 100%, $E$14)</f>
        <v>15.019600000000001</v>
      </c>
      <c r="C890" s="58">
        <f>15.0196 * CHOOSE(CONTROL!$C$27, $C$14, 100%, $E$14)</f>
        <v>15.019600000000001</v>
      </c>
      <c r="D890" s="58">
        <f>15.0252 * CHOOSE(CONTROL!$C$27, $C$14, 100%, $E$14)</f>
        <v>15.0252</v>
      </c>
      <c r="E890" s="59">
        <f>16.9179 * CHOOSE(CONTROL!$C$27, $C$14, 100%, $E$14)</f>
        <v>16.917899999999999</v>
      </c>
      <c r="F890" s="59">
        <f>16.9179 * CHOOSE(CONTROL!$C$27, $C$14, 100%, $E$14)</f>
        <v>16.917899999999999</v>
      </c>
      <c r="G890" s="59">
        <f>16.9248 * CHOOSE(CONTROL!$C$27, $C$14, 100%, $E$14)</f>
        <v>16.924800000000001</v>
      </c>
      <c r="H890" s="59">
        <f>31.6683* CHOOSE(CONTROL!$C$27, $C$14, 100%, $E$14)</f>
        <v>31.668299999999999</v>
      </c>
      <c r="I890" s="59">
        <f>31.6752 * CHOOSE(CONTROL!$C$27, $C$14, 100%, $E$14)</f>
        <v>31.6752</v>
      </c>
      <c r="J890" s="59">
        <f>31.6683 * CHOOSE(CONTROL!$C$27, $C$14, 100%, $E$14)</f>
        <v>31.668299999999999</v>
      </c>
      <c r="K890" s="59">
        <f>31.6752 * CHOOSE(CONTROL!$C$27, $C$14, 100%, $E$14)</f>
        <v>31.6752</v>
      </c>
      <c r="L890" s="59">
        <f>16.9179 * CHOOSE(CONTROL!$C$27, $C$14, 100%, $E$14)</f>
        <v>16.917899999999999</v>
      </c>
      <c r="M890" s="59">
        <f>16.9248 * CHOOSE(CONTROL!$C$27, $C$14, 100%, $E$14)</f>
        <v>16.924800000000001</v>
      </c>
      <c r="N890" s="59">
        <f>16.9179 * CHOOSE(CONTROL!$C$27, $C$14, 100%, $E$14)</f>
        <v>16.917899999999999</v>
      </c>
      <c r="O890" s="59">
        <f>16.9248 * CHOOSE(CONTROL!$C$27, $C$14, 100%, $E$14)</f>
        <v>16.924800000000001</v>
      </c>
    </row>
    <row r="891" spans="1:15" ht="15">
      <c r="A891" s="11">
        <v>68211</v>
      </c>
      <c r="B891" s="58">
        <f>15.0501 * CHOOSE(CONTROL!$C$27, $C$14, 100%, $E$14)</f>
        <v>15.0501</v>
      </c>
      <c r="C891" s="58">
        <f>15.0501 * CHOOSE(CONTROL!$C$27, $C$14, 100%, $E$14)</f>
        <v>15.0501</v>
      </c>
      <c r="D891" s="58">
        <f>15.0541 * CHOOSE(CONTROL!$C$27, $C$14, 100%, $E$14)</f>
        <v>15.0541</v>
      </c>
      <c r="E891" s="59">
        <f>17.0312 * CHOOSE(CONTROL!$C$27, $C$14, 100%, $E$14)</f>
        <v>17.031199999999998</v>
      </c>
      <c r="F891" s="59">
        <f>17.0312 * CHOOSE(CONTROL!$C$27, $C$14, 100%, $E$14)</f>
        <v>17.031199999999998</v>
      </c>
      <c r="G891" s="59">
        <f>17.0361 * CHOOSE(CONTROL!$C$27, $C$14, 100%, $E$14)</f>
        <v>17.036100000000001</v>
      </c>
      <c r="H891" s="59">
        <f>31.7342* CHOOSE(CONTROL!$C$27, $C$14, 100%, $E$14)</f>
        <v>31.734200000000001</v>
      </c>
      <c r="I891" s="59">
        <f>31.7392 * CHOOSE(CONTROL!$C$27, $C$14, 100%, $E$14)</f>
        <v>31.7392</v>
      </c>
      <c r="J891" s="59">
        <f>31.7342 * CHOOSE(CONTROL!$C$27, $C$14, 100%, $E$14)</f>
        <v>31.734200000000001</v>
      </c>
      <c r="K891" s="59">
        <f>31.7392 * CHOOSE(CONTROL!$C$27, $C$14, 100%, $E$14)</f>
        <v>31.7392</v>
      </c>
      <c r="L891" s="59">
        <f>17.0312 * CHOOSE(CONTROL!$C$27, $C$14, 100%, $E$14)</f>
        <v>17.031199999999998</v>
      </c>
      <c r="M891" s="59">
        <f>17.0361 * CHOOSE(CONTROL!$C$27, $C$14, 100%, $E$14)</f>
        <v>17.036100000000001</v>
      </c>
      <c r="N891" s="59">
        <f>17.0312 * CHOOSE(CONTROL!$C$27, $C$14, 100%, $E$14)</f>
        <v>17.031199999999998</v>
      </c>
      <c r="O891" s="59">
        <f>17.0361 * CHOOSE(CONTROL!$C$27, $C$14, 100%, $E$14)</f>
        <v>17.036100000000001</v>
      </c>
    </row>
    <row r="892" spans="1:15" ht="15">
      <c r="A892" s="11">
        <v>68242</v>
      </c>
      <c r="B892" s="58">
        <f>15.0532 * CHOOSE(CONTROL!$C$27, $C$14, 100%, $E$14)</f>
        <v>15.0532</v>
      </c>
      <c r="C892" s="58">
        <f>15.0532 * CHOOSE(CONTROL!$C$27, $C$14, 100%, $E$14)</f>
        <v>15.0532</v>
      </c>
      <c r="D892" s="58">
        <f>15.0572 * CHOOSE(CONTROL!$C$27, $C$14, 100%, $E$14)</f>
        <v>15.0572</v>
      </c>
      <c r="E892" s="59">
        <f>17.0967 * CHOOSE(CONTROL!$C$27, $C$14, 100%, $E$14)</f>
        <v>17.096699999999998</v>
      </c>
      <c r="F892" s="59">
        <f>17.0967 * CHOOSE(CONTROL!$C$27, $C$14, 100%, $E$14)</f>
        <v>17.096699999999998</v>
      </c>
      <c r="G892" s="59">
        <f>17.1016 * CHOOSE(CONTROL!$C$27, $C$14, 100%, $E$14)</f>
        <v>17.101600000000001</v>
      </c>
      <c r="H892" s="59">
        <f>31.8004* CHOOSE(CONTROL!$C$27, $C$14, 100%, $E$14)</f>
        <v>31.8004</v>
      </c>
      <c r="I892" s="59">
        <f>31.8053 * CHOOSE(CONTROL!$C$27, $C$14, 100%, $E$14)</f>
        <v>31.805299999999999</v>
      </c>
      <c r="J892" s="59">
        <f>31.8004 * CHOOSE(CONTROL!$C$27, $C$14, 100%, $E$14)</f>
        <v>31.8004</v>
      </c>
      <c r="K892" s="59">
        <f>31.8053 * CHOOSE(CONTROL!$C$27, $C$14, 100%, $E$14)</f>
        <v>31.805299999999999</v>
      </c>
      <c r="L892" s="59">
        <f>17.0967 * CHOOSE(CONTROL!$C$27, $C$14, 100%, $E$14)</f>
        <v>17.096699999999998</v>
      </c>
      <c r="M892" s="59">
        <f>17.1016 * CHOOSE(CONTROL!$C$27, $C$14, 100%, $E$14)</f>
        <v>17.101600000000001</v>
      </c>
      <c r="N892" s="59">
        <f>17.0967 * CHOOSE(CONTROL!$C$27, $C$14, 100%, $E$14)</f>
        <v>17.096699999999998</v>
      </c>
      <c r="O892" s="59">
        <f>17.1016 * CHOOSE(CONTROL!$C$27, $C$14, 100%, $E$14)</f>
        <v>17.101600000000001</v>
      </c>
    </row>
    <row r="893" spans="1:15" ht="15">
      <c r="A893" s="11">
        <v>68272</v>
      </c>
      <c r="B893" s="58">
        <f>15.0532 * CHOOSE(CONTROL!$C$27, $C$14, 100%, $E$14)</f>
        <v>15.0532</v>
      </c>
      <c r="C893" s="58">
        <f>15.0532 * CHOOSE(CONTROL!$C$27, $C$14, 100%, $E$14)</f>
        <v>15.0532</v>
      </c>
      <c r="D893" s="58">
        <f>15.0572 * CHOOSE(CONTROL!$C$27, $C$14, 100%, $E$14)</f>
        <v>15.0572</v>
      </c>
      <c r="E893" s="59">
        <f>16.9383 * CHOOSE(CONTROL!$C$27, $C$14, 100%, $E$14)</f>
        <v>16.938300000000002</v>
      </c>
      <c r="F893" s="59">
        <f>16.9383 * CHOOSE(CONTROL!$C$27, $C$14, 100%, $E$14)</f>
        <v>16.938300000000002</v>
      </c>
      <c r="G893" s="59">
        <f>16.9432 * CHOOSE(CONTROL!$C$27, $C$14, 100%, $E$14)</f>
        <v>16.943200000000001</v>
      </c>
      <c r="H893" s="59">
        <f>31.8666* CHOOSE(CONTROL!$C$27, $C$14, 100%, $E$14)</f>
        <v>31.866599999999998</v>
      </c>
      <c r="I893" s="59">
        <f>31.8715 * CHOOSE(CONTROL!$C$27, $C$14, 100%, $E$14)</f>
        <v>31.871500000000001</v>
      </c>
      <c r="J893" s="59">
        <f>31.8666 * CHOOSE(CONTROL!$C$27, $C$14, 100%, $E$14)</f>
        <v>31.866599999999998</v>
      </c>
      <c r="K893" s="59">
        <f>31.8715 * CHOOSE(CONTROL!$C$27, $C$14, 100%, $E$14)</f>
        <v>31.871500000000001</v>
      </c>
      <c r="L893" s="59">
        <f>16.9383 * CHOOSE(CONTROL!$C$27, $C$14, 100%, $E$14)</f>
        <v>16.938300000000002</v>
      </c>
      <c r="M893" s="59">
        <f>16.9432 * CHOOSE(CONTROL!$C$27, $C$14, 100%, $E$14)</f>
        <v>16.943200000000001</v>
      </c>
      <c r="N893" s="59">
        <f>16.9383 * CHOOSE(CONTROL!$C$27, $C$14, 100%, $E$14)</f>
        <v>16.938300000000002</v>
      </c>
      <c r="O893" s="59">
        <f>16.9432 * CHOOSE(CONTROL!$C$27, $C$14, 100%, $E$14)</f>
        <v>16.943200000000001</v>
      </c>
    </row>
    <row r="894" spans="1:15" ht="15">
      <c r="A894" s="11">
        <v>68303</v>
      </c>
      <c r="B894" s="58">
        <f>15.021 * CHOOSE(CONTROL!$C$27, $C$14, 100%, $E$14)</f>
        <v>15.021000000000001</v>
      </c>
      <c r="C894" s="58">
        <f>15.021 * CHOOSE(CONTROL!$C$27, $C$14, 100%, $E$14)</f>
        <v>15.021000000000001</v>
      </c>
      <c r="D894" s="58">
        <f>15.025 * CHOOSE(CONTROL!$C$27, $C$14, 100%, $E$14)</f>
        <v>15.025</v>
      </c>
      <c r="E894" s="59">
        <f>17.0319 * CHOOSE(CONTROL!$C$27, $C$14, 100%, $E$14)</f>
        <v>17.0319</v>
      </c>
      <c r="F894" s="59">
        <f>17.0319 * CHOOSE(CONTROL!$C$27, $C$14, 100%, $E$14)</f>
        <v>17.0319</v>
      </c>
      <c r="G894" s="59">
        <f>17.0368 * CHOOSE(CONTROL!$C$27, $C$14, 100%, $E$14)</f>
        <v>17.036799999999999</v>
      </c>
      <c r="H894" s="59">
        <f>31.6279* CHOOSE(CONTROL!$C$27, $C$14, 100%, $E$14)</f>
        <v>31.6279</v>
      </c>
      <c r="I894" s="59">
        <f>31.6328 * CHOOSE(CONTROL!$C$27, $C$14, 100%, $E$14)</f>
        <v>31.6328</v>
      </c>
      <c r="J894" s="59">
        <f>31.6279 * CHOOSE(CONTROL!$C$27, $C$14, 100%, $E$14)</f>
        <v>31.6279</v>
      </c>
      <c r="K894" s="59">
        <f>31.6328 * CHOOSE(CONTROL!$C$27, $C$14, 100%, $E$14)</f>
        <v>31.6328</v>
      </c>
      <c r="L894" s="59">
        <f>17.0319 * CHOOSE(CONTROL!$C$27, $C$14, 100%, $E$14)</f>
        <v>17.0319</v>
      </c>
      <c r="M894" s="59">
        <f>17.0368 * CHOOSE(CONTROL!$C$27, $C$14, 100%, $E$14)</f>
        <v>17.036799999999999</v>
      </c>
      <c r="N894" s="59">
        <f>17.0319 * CHOOSE(CONTROL!$C$27, $C$14, 100%, $E$14)</f>
        <v>17.0319</v>
      </c>
      <c r="O894" s="59">
        <f>17.0368 * CHOOSE(CONTROL!$C$27, $C$14, 100%, $E$14)</f>
        <v>17.036799999999999</v>
      </c>
    </row>
    <row r="895" spans="1:15" ht="15">
      <c r="A895" s="11">
        <v>68334</v>
      </c>
      <c r="B895" s="58">
        <f>15.018 * CHOOSE(CONTROL!$C$27, $C$14, 100%, $E$14)</f>
        <v>15.018000000000001</v>
      </c>
      <c r="C895" s="58">
        <f>15.018 * CHOOSE(CONTROL!$C$27, $C$14, 100%, $E$14)</f>
        <v>15.018000000000001</v>
      </c>
      <c r="D895" s="58">
        <f>15.022 * CHOOSE(CONTROL!$C$27, $C$14, 100%, $E$14)</f>
        <v>15.022</v>
      </c>
      <c r="E895" s="59">
        <f>16.7254 * CHOOSE(CONTROL!$C$27, $C$14, 100%, $E$14)</f>
        <v>16.7254</v>
      </c>
      <c r="F895" s="59">
        <f>16.7254 * CHOOSE(CONTROL!$C$27, $C$14, 100%, $E$14)</f>
        <v>16.7254</v>
      </c>
      <c r="G895" s="59">
        <f>16.7303 * CHOOSE(CONTROL!$C$27, $C$14, 100%, $E$14)</f>
        <v>16.7303</v>
      </c>
      <c r="H895" s="59">
        <f>31.6938* CHOOSE(CONTROL!$C$27, $C$14, 100%, $E$14)</f>
        <v>31.6938</v>
      </c>
      <c r="I895" s="59">
        <f>31.6987 * CHOOSE(CONTROL!$C$27, $C$14, 100%, $E$14)</f>
        <v>31.698699999999999</v>
      </c>
      <c r="J895" s="59">
        <f>31.6938 * CHOOSE(CONTROL!$C$27, $C$14, 100%, $E$14)</f>
        <v>31.6938</v>
      </c>
      <c r="K895" s="59">
        <f>31.6987 * CHOOSE(CONTROL!$C$27, $C$14, 100%, $E$14)</f>
        <v>31.698699999999999</v>
      </c>
      <c r="L895" s="59">
        <f>16.7254 * CHOOSE(CONTROL!$C$27, $C$14, 100%, $E$14)</f>
        <v>16.7254</v>
      </c>
      <c r="M895" s="59">
        <f>16.7303 * CHOOSE(CONTROL!$C$27, $C$14, 100%, $E$14)</f>
        <v>16.7303</v>
      </c>
      <c r="N895" s="59">
        <f>16.7254 * CHOOSE(CONTROL!$C$27, $C$14, 100%, $E$14)</f>
        <v>16.7254</v>
      </c>
      <c r="O895" s="59">
        <f>16.7303 * CHOOSE(CONTROL!$C$27, $C$14, 100%, $E$14)</f>
        <v>16.7303</v>
      </c>
    </row>
    <row r="896" spans="1:15" ht="15">
      <c r="A896" s="11">
        <v>68362</v>
      </c>
      <c r="B896" s="58">
        <f>15.0149 * CHOOSE(CONTROL!$C$27, $C$14, 100%, $E$14)</f>
        <v>15.014900000000001</v>
      </c>
      <c r="C896" s="58">
        <f>15.0149 * CHOOSE(CONTROL!$C$27, $C$14, 100%, $E$14)</f>
        <v>15.014900000000001</v>
      </c>
      <c r="D896" s="58">
        <f>15.0189 * CHOOSE(CONTROL!$C$27, $C$14, 100%, $E$14)</f>
        <v>15.0189</v>
      </c>
      <c r="E896" s="59">
        <f>16.9632 * CHOOSE(CONTROL!$C$27, $C$14, 100%, $E$14)</f>
        <v>16.963200000000001</v>
      </c>
      <c r="F896" s="59">
        <f>16.9632 * CHOOSE(CONTROL!$C$27, $C$14, 100%, $E$14)</f>
        <v>16.963200000000001</v>
      </c>
      <c r="G896" s="59">
        <f>16.9681 * CHOOSE(CONTROL!$C$27, $C$14, 100%, $E$14)</f>
        <v>16.9681</v>
      </c>
      <c r="H896" s="59">
        <f>31.7598* CHOOSE(CONTROL!$C$27, $C$14, 100%, $E$14)</f>
        <v>31.759799999999998</v>
      </c>
      <c r="I896" s="59">
        <f>31.7648 * CHOOSE(CONTROL!$C$27, $C$14, 100%, $E$14)</f>
        <v>31.764800000000001</v>
      </c>
      <c r="J896" s="59">
        <f>31.7598 * CHOOSE(CONTROL!$C$27, $C$14, 100%, $E$14)</f>
        <v>31.759799999999998</v>
      </c>
      <c r="K896" s="59">
        <f>31.7648 * CHOOSE(CONTROL!$C$27, $C$14, 100%, $E$14)</f>
        <v>31.764800000000001</v>
      </c>
      <c r="L896" s="59">
        <f>16.9632 * CHOOSE(CONTROL!$C$27, $C$14, 100%, $E$14)</f>
        <v>16.963200000000001</v>
      </c>
      <c r="M896" s="59">
        <f>16.9681 * CHOOSE(CONTROL!$C$27, $C$14, 100%, $E$14)</f>
        <v>16.9681</v>
      </c>
      <c r="N896" s="59">
        <f>16.9632 * CHOOSE(CONTROL!$C$27, $C$14, 100%, $E$14)</f>
        <v>16.963200000000001</v>
      </c>
      <c r="O896" s="59">
        <f>16.9681 * CHOOSE(CONTROL!$C$27, $C$14, 100%, $E$14)</f>
        <v>16.9681</v>
      </c>
    </row>
    <row r="897" spans="1:15" ht="15">
      <c r="A897" s="11">
        <v>68393</v>
      </c>
      <c r="B897" s="58">
        <f>15.0218 * CHOOSE(CONTROL!$C$27, $C$14, 100%, $E$14)</f>
        <v>15.021800000000001</v>
      </c>
      <c r="C897" s="58">
        <f>15.0218 * CHOOSE(CONTROL!$C$27, $C$14, 100%, $E$14)</f>
        <v>15.021800000000001</v>
      </c>
      <c r="D897" s="58">
        <f>15.0258 * CHOOSE(CONTROL!$C$27, $C$14, 100%, $E$14)</f>
        <v>15.0258</v>
      </c>
      <c r="E897" s="59">
        <f>17.2166 * CHOOSE(CONTROL!$C$27, $C$14, 100%, $E$14)</f>
        <v>17.2166</v>
      </c>
      <c r="F897" s="59">
        <f>17.2166 * CHOOSE(CONTROL!$C$27, $C$14, 100%, $E$14)</f>
        <v>17.2166</v>
      </c>
      <c r="G897" s="59">
        <f>17.2216 * CHOOSE(CONTROL!$C$27, $C$14, 100%, $E$14)</f>
        <v>17.221599999999999</v>
      </c>
      <c r="H897" s="59">
        <f>31.826* CHOOSE(CONTROL!$C$27, $C$14, 100%, $E$14)</f>
        <v>31.826000000000001</v>
      </c>
      <c r="I897" s="59">
        <f>31.8309 * CHOOSE(CONTROL!$C$27, $C$14, 100%, $E$14)</f>
        <v>31.8309</v>
      </c>
      <c r="J897" s="59">
        <f>31.826 * CHOOSE(CONTROL!$C$27, $C$14, 100%, $E$14)</f>
        <v>31.826000000000001</v>
      </c>
      <c r="K897" s="59">
        <f>31.8309 * CHOOSE(CONTROL!$C$27, $C$14, 100%, $E$14)</f>
        <v>31.8309</v>
      </c>
      <c r="L897" s="59">
        <f>17.2166 * CHOOSE(CONTROL!$C$27, $C$14, 100%, $E$14)</f>
        <v>17.2166</v>
      </c>
      <c r="M897" s="59">
        <f>17.2216 * CHOOSE(CONTROL!$C$27, $C$14, 100%, $E$14)</f>
        <v>17.221599999999999</v>
      </c>
      <c r="N897" s="59">
        <f>17.2166 * CHOOSE(CONTROL!$C$27, $C$14, 100%, $E$14)</f>
        <v>17.2166</v>
      </c>
      <c r="O897" s="59">
        <f>17.2216 * CHOOSE(CONTROL!$C$27, $C$14, 100%, $E$14)</f>
        <v>17.221599999999999</v>
      </c>
    </row>
    <row r="898" spans="1:15" ht="15">
      <c r="A898" s="11">
        <v>68423</v>
      </c>
      <c r="B898" s="58">
        <f>15.0218 * CHOOSE(CONTROL!$C$27, $C$14, 100%, $E$14)</f>
        <v>15.021800000000001</v>
      </c>
      <c r="C898" s="58">
        <f>15.0218 * CHOOSE(CONTROL!$C$27, $C$14, 100%, $E$14)</f>
        <v>15.021800000000001</v>
      </c>
      <c r="D898" s="58">
        <f>15.0274 * CHOOSE(CONTROL!$C$27, $C$14, 100%, $E$14)</f>
        <v>15.0274</v>
      </c>
      <c r="E898" s="59">
        <f>17.3133 * CHOOSE(CONTROL!$C$27, $C$14, 100%, $E$14)</f>
        <v>17.313300000000002</v>
      </c>
      <c r="F898" s="59">
        <f>17.3133 * CHOOSE(CONTROL!$C$27, $C$14, 100%, $E$14)</f>
        <v>17.313300000000002</v>
      </c>
      <c r="G898" s="59">
        <f>17.3202 * CHOOSE(CONTROL!$C$27, $C$14, 100%, $E$14)</f>
        <v>17.3202</v>
      </c>
      <c r="H898" s="59">
        <f>31.8923* CHOOSE(CONTROL!$C$27, $C$14, 100%, $E$14)</f>
        <v>31.892299999999999</v>
      </c>
      <c r="I898" s="59">
        <f>31.8992 * CHOOSE(CONTROL!$C$27, $C$14, 100%, $E$14)</f>
        <v>31.8992</v>
      </c>
      <c r="J898" s="59">
        <f>31.8923 * CHOOSE(CONTROL!$C$27, $C$14, 100%, $E$14)</f>
        <v>31.892299999999999</v>
      </c>
      <c r="K898" s="59">
        <f>31.8992 * CHOOSE(CONTROL!$C$27, $C$14, 100%, $E$14)</f>
        <v>31.8992</v>
      </c>
      <c r="L898" s="59">
        <f>17.3133 * CHOOSE(CONTROL!$C$27, $C$14, 100%, $E$14)</f>
        <v>17.313300000000002</v>
      </c>
      <c r="M898" s="59">
        <f>17.3202 * CHOOSE(CONTROL!$C$27, $C$14, 100%, $E$14)</f>
        <v>17.3202</v>
      </c>
      <c r="N898" s="59">
        <f>17.3133 * CHOOSE(CONTROL!$C$27, $C$14, 100%, $E$14)</f>
        <v>17.313300000000002</v>
      </c>
      <c r="O898" s="59">
        <f>17.3202 * CHOOSE(CONTROL!$C$27, $C$14, 100%, $E$14)</f>
        <v>17.3202</v>
      </c>
    </row>
    <row r="899" spans="1:15" ht="15">
      <c r="A899" s="11">
        <v>68454</v>
      </c>
      <c r="B899" s="58">
        <f>15.0279 * CHOOSE(CONTROL!$C$27, $C$14, 100%, $E$14)</f>
        <v>15.027900000000001</v>
      </c>
      <c r="C899" s="58">
        <f>15.0279 * CHOOSE(CONTROL!$C$27, $C$14, 100%, $E$14)</f>
        <v>15.027900000000001</v>
      </c>
      <c r="D899" s="58">
        <f>15.0335 * CHOOSE(CONTROL!$C$27, $C$14, 100%, $E$14)</f>
        <v>15.0335</v>
      </c>
      <c r="E899" s="59">
        <f>17.2209 * CHOOSE(CONTROL!$C$27, $C$14, 100%, $E$14)</f>
        <v>17.2209</v>
      </c>
      <c r="F899" s="59">
        <f>17.2209 * CHOOSE(CONTROL!$C$27, $C$14, 100%, $E$14)</f>
        <v>17.2209</v>
      </c>
      <c r="G899" s="59">
        <f>17.2278 * CHOOSE(CONTROL!$C$27, $C$14, 100%, $E$14)</f>
        <v>17.227799999999998</v>
      </c>
      <c r="H899" s="59">
        <f>31.9588* CHOOSE(CONTROL!$C$27, $C$14, 100%, $E$14)</f>
        <v>31.9588</v>
      </c>
      <c r="I899" s="59">
        <f>31.9657 * CHOOSE(CONTROL!$C$27, $C$14, 100%, $E$14)</f>
        <v>31.965699999999998</v>
      </c>
      <c r="J899" s="59">
        <f>31.9588 * CHOOSE(CONTROL!$C$27, $C$14, 100%, $E$14)</f>
        <v>31.9588</v>
      </c>
      <c r="K899" s="59">
        <f>31.9657 * CHOOSE(CONTROL!$C$27, $C$14, 100%, $E$14)</f>
        <v>31.965699999999998</v>
      </c>
      <c r="L899" s="59">
        <f>17.2209 * CHOOSE(CONTROL!$C$27, $C$14, 100%, $E$14)</f>
        <v>17.2209</v>
      </c>
      <c r="M899" s="59">
        <f>17.2278 * CHOOSE(CONTROL!$C$27, $C$14, 100%, $E$14)</f>
        <v>17.227799999999998</v>
      </c>
      <c r="N899" s="59">
        <f>17.2209 * CHOOSE(CONTROL!$C$27, $C$14, 100%, $E$14)</f>
        <v>17.2209</v>
      </c>
      <c r="O899" s="59">
        <f>17.2278 * CHOOSE(CONTROL!$C$27, $C$14, 100%, $E$14)</f>
        <v>17.227799999999998</v>
      </c>
    </row>
    <row r="900" spans="1:15" ht="15">
      <c r="A900" s="11">
        <v>68484</v>
      </c>
      <c r="B900" s="58">
        <f>15.2551 * CHOOSE(CONTROL!$C$27, $C$14, 100%, $E$14)</f>
        <v>15.255100000000001</v>
      </c>
      <c r="C900" s="58">
        <f>15.2551 * CHOOSE(CONTROL!$C$27, $C$14, 100%, $E$14)</f>
        <v>15.255100000000001</v>
      </c>
      <c r="D900" s="58">
        <f>15.2608 * CHOOSE(CONTROL!$C$27, $C$14, 100%, $E$14)</f>
        <v>15.2608</v>
      </c>
      <c r="E900" s="59">
        <f>17.494 * CHOOSE(CONTROL!$C$27, $C$14, 100%, $E$14)</f>
        <v>17.494</v>
      </c>
      <c r="F900" s="59">
        <f>17.494 * CHOOSE(CONTROL!$C$27, $C$14, 100%, $E$14)</f>
        <v>17.494</v>
      </c>
      <c r="G900" s="59">
        <f>17.5009 * CHOOSE(CONTROL!$C$27, $C$14, 100%, $E$14)</f>
        <v>17.500900000000001</v>
      </c>
      <c r="H900" s="59">
        <f>32.0253* CHOOSE(CONTROL!$C$27, $C$14, 100%, $E$14)</f>
        <v>32.025300000000001</v>
      </c>
      <c r="I900" s="59">
        <f>32.0322 * CHOOSE(CONTROL!$C$27, $C$14, 100%, $E$14)</f>
        <v>32.032200000000003</v>
      </c>
      <c r="J900" s="59">
        <f>32.0253 * CHOOSE(CONTROL!$C$27, $C$14, 100%, $E$14)</f>
        <v>32.025300000000001</v>
      </c>
      <c r="K900" s="59">
        <f>32.0322 * CHOOSE(CONTROL!$C$27, $C$14, 100%, $E$14)</f>
        <v>32.032200000000003</v>
      </c>
      <c r="L900" s="59">
        <f>17.494 * CHOOSE(CONTROL!$C$27, $C$14, 100%, $E$14)</f>
        <v>17.494</v>
      </c>
      <c r="M900" s="59">
        <f>17.5009 * CHOOSE(CONTROL!$C$27, $C$14, 100%, $E$14)</f>
        <v>17.500900000000001</v>
      </c>
      <c r="N900" s="59">
        <f>17.494 * CHOOSE(CONTROL!$C$27, $C$14, 100%, $E$14)</f>
        <v>17.494</v>
      </c>
      <c r="O900" s="59">
        <f>17.5009 * CHOOSE(CONTROL!$C$27, $C$14, 100%, $E$14)</f>
        <v>17.500900000000001</v>
      </c>
    </row>
    <row r="901" spans="1:15" ht="15">
      <c r="A901" s="11">
        <v>68515</v>
      </c>
      <c r="B901" s="58">
        <f>15.2618 * CHOOSE(CONTROL!$C$27, $C$14, 100%, $E$14)</f>
        <v>15.261799999999999</v>
      </c>
      <c r="C901" s="58">
        <f>15.2618 * CHOOSE(CONTROL!$C$27, $C$14, 100%, $E$14)</f>
        <v>15.261799999999999</v>
      </c>
      <c r="D901" s="58">
        <f>15.2675 * CHOOSE(CONTROL!$C$27, $C$14, 100%, $E$14)</f>
        <v>15.2675</v>
      </c>
      <c r="E901" s="59">
        <f>17.2088 * CHOOSE(CONTROL!$C$27, $C$14, 100%, $E$14)</f>
        <v>17.2088</v>
      </c>
      <c r="F901" s="59">
        <f>17.2088 * CHOOSE(CONTROL!$C$27, $C$14, 100%, $E$14)</f>
        <v>17.2088</v>
      </c>
      <c r="G901" s="59">
        <f>17.2157 * CHOOSE(CONTROL!$C$27, $C$14, 100%, $E$14)</f>
        <v>17.215699999999998</v>
      </c>
      <c r="H901" s="59">
        <f>32.0921* CHOOSE(CONTROL!$C$27, $C$14, 100%, $E$14)</f>
        <v>32.092100000000002</v>
      </c>
      <c r="I901" s="59">
        <f>32.099 * CHOOSE(CONTROL!$C$27, $C$14, 100%, $E$14)</f>
        <v>32.098999999999997</v>
      </c>
      <c r="J901" s="59">
        <f>32.0921 * CHOOSE(CONTROL!$C$27, $C$14, 100%, $E$14)</f>
        <v>32.092100000000002</v>
      </c>
      <c r="K901" s="59">
        <f>32.099 * CHOOSE(CONTROL!$C$27, $C$14, 100%, $E$14)</f>
        <v>32.098999999999997</v>
      </c>
      <c r="L901" s="59">
        <f>17.2088 * CHOOSE(CONTROL!$C$27, $C$14, 100%, $E$14)</f>
        <v>17.2088</v>
      </c>
      <c r="M901" s="59">
        <f>17.2157 * CHOOSE(CONTROL!$C$27, $C$14, 100%, $E$14)</f>
        <v>17.215699999999998</v>
      </c>
      <c r="N901" s="59">
        <f>17.2088 * CHOOSE(CONTROL!$C$27, $C$14, 100%, $E$14)</f>
        <v>17.2088</v>
      </c>
      <c r="O901" s="59">
        <f>17.2157 * CHOOSE(CONTROL!$C$27, $C$14, 100%, $E$14)</f>
        <v>17.215699999999998</v>
      </c>
    </row>
    <row r="902" spans="1:15" ht="15">
      <c r="A902" s="11">
        <v>68546</v>
      </c>
      <c r="B902" s="58">
        <f>15.2588 * CHOOSE(CONTROL!$C$27, $C$14, 100%, $E$14)</f>
        <v>15.258800000000001</v>
      </c>
      <c r="C902" s="58">
        <f>15.2588 * CHOOSE(CONTROL!$C$27, $C$14, 100%, $E$14)</f>
        <v>15.258800000000001</v>
      </c>
      <c r="D902" s="58">
        <f>15.2644 * CHOOSE(CONTROL!$C$27, $C$14, 100%, $E$14)</f>
        <v>15.2644</v>
      </c>
      <c r="E902" s="59">
        <f>17.1744 * CHOOSE(CONTROL!$C$27, $C$14, 100%, $E$14)</f>
        <v>17.174399999999999</v>
      </c>
      <c r="F902" s="59">
        <f>17.1744 * CHOOSE(CONTROL!$C$27, $C$14, 100%, $E$14)</f>
        <v>17.174399999999999</v>
      </c>
      <c r="G902" s="59">
        <f>17.1813 * CHOOSE(CONTROL!$C$27, $C$14, 100%, $E$14)</f>
        <v>17.1813</v>
      </c>
      <c r="H902" s="59">
        <f>32.1589* CHOOSE(CONTROL!$C$27, $C$14, 100%, $E$14)</f>
        <v>32.158900000000003</v>
      </c>
      <c r="I902" s="59">
        <f>32.1658 * CHOOSE(CONTROL!$C$27, $C$14, 100%, $E$14)</f>
        <v>32.165799999999997</v>
      </c>
      <c r="J902" s="59">
        <f>32.1589 * CHOOSE(CONTROL!$C$27, $C$14, 100%, $E$14)</f>
        <v>32.158900000000003</v>
      </c>
      <c r="K902" s="59">
        <f>32.1658 * CHOOSE(CONTROL!$C$27, $C$14, 100%, $E$14)</f>
        <v>32.165799999999997</v>
      </c>
      <c r="L902" s="59">
        <f>17.1744 * CHOOSE(CONTROL!$C$27, $C$14, 100%, $E$14)</f>
        <v>17.174399999999999</v>
      </c>
      <c r="M902" s="59">
        <f>17.1813 * CHOOSE(CONTROL!$C$27, $C$14, 100%, $E$14)</f>
        <v>17.1813</v>
      </c>
      <c r="N902" s="59">
        <f>17.1744 * CHOOSE(CONTROL!$C$27, $C$14, 100%, $E$14)</f>
        <v>17.174399999999999</v>
      </c>
      <c r="O902" s="59">
        <f>17.1813 * CHOOSE(CONTROL!$C$27, $C$14, 100%, $E$14)</f>
        <v>17.1813</v>
      </c>
    </row>
    <row r="903" spans="1:15" ht="15">
      <c r="A903" s="11">
        <v>68576</v>
      </c>
      <c r="B903" s="58">
        <f>15.2901 * CHOOSE(CONTROL!$C$27, $C$14, 100%, $E$14)</f>
        <v>15.290100000000001</v>
      </c>
      <c r="C903" s="58">
        <f>15.2901 * CHOOSE(CONTROL!$C$27, $C$14, 100%, $E$14)</f>
        <v>15.290100000000001</v>
      </c>
      <c r="D903" s="58">
        <f>15.2941 * CHOOSE(CONTROL!$C$27, $C$14, 100%, $E$14)</f>
        <v>15.2941</v>
      </c>
      <c r="E903" s="59">
        <f>17.2899 * CHOOSE(CONTROL!$C$27, $C$14, 100%, $E$14)</f>
        <v>17.289899999999999</v>
      </c>
      <c r="F903" s="59">
        <f>17.2899 * CHOOSE(CONTROL!$C$27, $C$14, 100%, $E$14)</f>
        <v>17.289899999999999</v>
      </c>
      <c r="G903" s="59">
        <f>17.2948 * CHOOSE(CONTROL!$C$27, $C$14, 100%, $E$14)</f>
        <v>17.294799999999999</v>
      </c>
      <c r="H903" s="59">
        <f>32.2259* CHOOSE(CONTROL!$C$27, $C$14, 100%, $E$14)</f>
        <v>32.225900000000003</v>
      </c>
      <c r="I903" s="59">
        <f>32.2308 * CHOOSE(CONTROL!$C$27, $C$14, 100%, $E$14)</f>
        <v>32.230800000000002</v>
      </c>
      <c r="J903" s="59">
        <f>32.2259 * CHOOSE(CONTROL!$C$27, $C$14, 100%, $E$14)</f>
        <v>32.225900000000003</v>
      </c>
      <c r="K903" s="59">
        <f>32.2308 * CHOOSE(CONTROL!$C$27, $C$14, 100%, $E$14)</f>
        <v>32.230800000000002</v>
      </c>
      <c r="L903" s="59">
        <f>17.2899 * CHOOSE(CONTROL!$C$27, $C$14, 100%, $E$14)</f>
        <v>17.289899999999999</v>
      </c>
      <c r="M903" s="59">
        <f>17.2948 * CHOOSE(CONTROL!$C$27, $C$14, 100%, $E$14)</f>
        <v>17.294799999999999</v>
      </c>
      <c r="N903" s="59">
        <f>17.2899 * CHOOSE(CONTROL!$C$27, $C$14, 100%, $E$14)</f>
        <v>17.289899999999999</v>
      </c>
      <c r="O903" s="59">
        <f>17.2948 * CHOOSE(CONTROL!$C$27, $C$14, 100%, $E$14)</f>
        <v>17.294799999999999</v>
      </c>
    </row>
    <row r="904" spans="1:15" ht="15">
      <c r="A904" s="11">
        <v>68607</v>
      </c>
      <c r="B904" s="58">
        <f>15.2931 * CHOOSE(CONTROL!$C$27, $C$14, 100%, $E$14)</f>
        <v>15.293100000000001</v>
      </c>
      <c r="C904" s="58">
        <f>15.2931 * CHOOSE(CONTROL!$C$27, $C$14, 100%, $E$14)</f>
        <v>15.293100000000001</v>
      </c>
      <c r="D904" s="58">
        <f>15.2971 * CHOOSE(CONTROL!$C$27, $C$14, 100%, $E$14)</f>
        <v>15.2971</v>
      </c>
      <c r="E904" s="59">
        <f>17.3564 * CHOOSE(CONTROL!$C$27, $C$14, 100%, $E$14)</f>
        <v>17.356400000000001</v>
      </c>
      <c r="F904" s="59">
        <f>17.3564 * CHOOSE(CONTROL!$C$27, $C$14, 100%, $E$14)</f>
        <v>17.356400000000001</v>
      </c>
      <c r="G904" s="59">
        <f>17.3613 * CHOOSE(CONTROL!$C$27, $C$14, 100%, $E$14)</f>
        <v>17.3613</v>
      </c>
      <c r="H904" s="59">
        <f>32.2931* CHOOSE(CONTROL!$C$27, $C$14, 100%, $E$14)</f>
        <v>32.293100000000003</v>
      </c>
      <c r="I904" s="59">
        <f>32.298 * CHOOSE(CONTROL!$C$27, $C$14, 100%, $E$14)</f>
        <v>32.298000000000002</v>
      </c>
      <c r="J904" s="59">
        <f>32.2931 * CHOOSE(CONTROL!$C$27, $C$14, 100%, $E$14)</f>
        <v>32.293100000000003</v>
      </c>
      <c r="K904" s="59">
        <f>32.298 * CHOOSE(CONTROL!$C$27, $C$14, 100%, $E$14)</f>
        <v>32.298000000000002</v>
      </c>
      <c r="L904" s="59">
        <f>17.3564 * CHOOSE(CONTROL!$C$27, $C$14, 100%, $E$14)</f>
        <v>17.356400000000001</v>
      </c>
      <c r="M904" s="59">
        <f>17.3613 * CHOOSE(CONTROL!$C$27, $C$14, 100%, $E$14)</f>
        <v>17.3613</v>
      </c>
      <c r="N904" s="59">
        <f>17.3564 * CHOOSE(CONTROL!$C$27, $C$14, 100%, $E$14)</f>
        <v>17.356400000000001</v>
      </c>
      <c r="O904" s="59">
        <f>17.3613 * CHOOSE(CONTROL!$C$27, $C$14, 100%, $E$14)</f>
        <v>17.3613</v>
      </c>
    </row>
    <row r="905" spans="1:15" ht="15">
      <c r="A905" s="11">
        <v>68637</v>
      </c>
      <c r="B905" s="58">
        <f>15.2931 * CHOOSE(CONTROL!$C$27, $C$14, 100%, $E$14)</f>
        <v>15.293100000000001</v>
      </c>
      <c r="C905" s="58">
        <f>15.2931 * CHOOSE(CONTROL!$C$27, $C$14, 100%, $E$14)</f>
        <v>15.293100000000001</v>
      </c>
      <c r="D905" s="58">
        <f>15.2971 * CHOOSE(CONTROL!$C$27, $C$14, 100%, $E$14)</f>
        <v>15.2971</v>
      </c>
      <c r="E905" s="59">
        <f>17.1953 * CHOOSE(CONTROL!$C$27, $C$14, 100%, $E$14)</f>
        <v>17.1953</v>
      </c>
      <c r="F905" s="59">
        <f>17.1953 * CHOOSE(CONTROL!$C$27, $C$14, 100%, $E$14)</f>
        <v>17.1953</v>
      </c>
      <c r="G905" s="59">
        <f>17.2003 * CHOOSE(CONTROL!$C$27, $C$14, 100%, $E$14)</f>
        <v>17.200299999999999</v>
      </c>
      <c r="H905" s="59">
        <f>32.3603* CHOOSE(CONTROL!$C$27, $C$14, 100%, $E$14)</f>
        <v>32.360300000000002</v>
      </c>
      <c r="I905" s="59">
        <f>32.3653 * CHOOSE(CONTROL!$C$27, $C$14, 100%, $E$14)</f>
        <v>32.365299999999998</v>
      </c>
      <c r="J905" s="59">
        <f>32.3603 * CHOOSE(CONTROL!$C$27, $C$14, 100%, $E$14)</f>
        <v>32.360300000000002</v>
      </c>
      <c r="K905" s="59">
        <f>32.3653 * CHOOSE(CONTROL!$C$27, $C$14, 100%, $E$14)</f>
        <v>32.365299999999998</v>
      </c>
      <c r="L905" s="59">
        <f>17.1953 * CHOOSE(CONTROL!$C$27, $C$14, 100%, $E$14)</f>
        <v>17.1953</v>
      </c>
      <c r="M905" s="59">
        <f>17.2003 * CHOOSE(CONTROL!$C$27, $C$14, 100%, $E$14)</f>
        <v>17.200299999999999</v>
      </c>
      <c r="N905" s="59">
        <f>17.1953 * CHOOSE(CONTROL!$C$27, $C$14, 100%, $E$14)</f>
        <v>17.1953</v>
      </c>
      <c r="O905" s="59">
        <f>17.2003 * CHOOSE(CONTROL!$C$27, $C$14, 100%, $E$14)</f>
        <v>17.200299999999999</v>
      </c>
    </row>
    <row r="906" spans="1:15" ht="15">
      <c r="A906" s="11">
        <v>68668</v>
      </c>
      <c r="B906" s="58">
        <f>15.2566 * CHOOSE(CONTROL!$C$27, $C$14, 100%, $E$14)</f>
        <v>15.256600000000001</v>
      </c>
      <c r="C906" s="58">
        <f>15.2566 * CHOOSE(CONTROL!$C$27, $C$14, 100%, $E$14)</f>
        <v>15.256600000000001</v>
      </c>
      <c r="D906" s="58">
        <f>15.2606 * CHOOSE(CONTROL!$C$27, $C$14, 100%, $E$14)</f>
        <v>15.2606</v>
      </c>
      <c r="E906" s="59">
        <f>17.2866 * CHOOSE(CONTROL!$C$27, $C$14, 100%, $E$14)</f>
        <v>17.2866</v>
      </c>
      <c r="F906" s="59">
        <f>17.2866 * CHOOSE(CONTROL!$C$27, $C$14, 100%, $E$14)</f>
        <v>17.2866</v>
      </c>
      <c r="G906" s="59">
        <f>17.2915 * CHOOSE(CONTROL!$C$27, $C$14, 100%, $E$14)</f>
        <v>17.291499999999999</v>
      </c>
      <c r="H906" s="59">
        <f>32.1105* CHOOSE(CONTROL!$C$27, $C$14, 100%, $E$14)</f>
        <v>32.110500000000002</v>
      </c>
      <c r="I906" s="59">
        <f>32.1154 * CHOOSE(CONTROL!$C$27, $C$14, 100%, $E$14)</f>
        <v>32.115400000000001</v>
      </c>
      <c r="J906" s="59">
        <f>32.1105 * CHOOSE(CONTROL!$C$27, $C$14, 100%, $E$14)</f>
        <v>32.110500000000002</v>
      </c>
      <c r="K906" s="59">
        <f>32.1154 * CHOOSE(CONTROL!$C$27, $C$14, 100%, $E$14)</f>
        <v>32.115400000000001</v>
      </c>
      <c r="L906" s="59">
        <f>17.2866 * CHOOSE(CONTROL!$C$27, $C$14, 100%, $E$14)</f>
        <v>17.2866</v>
      </c>
      <c r="M906" s="59">
        <f>17.2915 * CHOOSE(CONTROL!$C$27, $C$14, 100%, $E$14)</f>
        <v>17.291499999999999</v>
      </c>
      <c r="N906" s="59">
        <f>17.2866 * CHOOSE(CONTROL!$C$27, $C$14, 100%, $E$14)</f>
        <v>17.2866</v>
      </c>
      <c r="O906" s="59">
        <f>17.2915 * CHOOSE(CONTROL!$C$27, $C$14, 100%, $E$14)</f>
        <v>17.291499999999999</v>
      </c>
    </row>
    <row r="907" spans="1:15" ht="15">
      <c r="A907" s="11">
        <v>68699</v>
      </c>
      <c r="B907" s="58">
        <f>15.2536 * CHOOSE(CONTROL!$C$27, $C$14, 100%, $E$14)</f>
        <v>15.2536</v>
      </c>
      <c r="C907" s="58">
        <f>15.2536 * CHOOSE(CONTROL!$C$27, $C$14, 100%, $E$14)</f>
        <v>15.2536</v>
      </c>
      <c r="D907" s="58">
        <f>15.2575 * CHOOSE(CONTROL!$C$27, $C$14, 100%, $E$14)</f>
        <v>15.2575</v>
      </c>
      <c r="E907" s="59">
        <f>16.9752 * CHOOSE(CONTROL!$C$27, $C$14, 100%, $E$14)</f>
        <v>16.975200000000001</v>
      </c>
      <c r="F907" s="59">
        <f>16.9752 * CHOOSE(CONTROL!$C$27, $C$14, 100%, $E$14)</f>
        <v>16.975200000000001</v>
      </c>
      <c r="G907" s="59">
        <f>16.9801 * CHOOSE(CONTROL!$C$27, $C$14, 100%, $E$14)</f>
        <v>16.9801</v>
      </c>
      <c r="H907" s="59">
        <f>32.1774* CHOOSE(CONTROL!$C$27, $C$14, 100%, $E$14)</f>
        <v>32.177399999999999</v>
      </c>
      <c r="I907" s="59">
        <f>32.1823 * CHOOSE(CONTROL!$C$27, $C$14, 100%, $E$14)</f>
        <v>32.182299999999998</v>
      </c>
      <c r="J907" s="59">
        <f>32.1774 * CHOOSE(CONTROL!$C$27, $C$14, 100%, $E$14)</f>
        <v>32.177399999999999</v>
      </c>
      <c r="K907" s="59">
        <f>32.1823 * CHOOSE(CONTROL!$C$27, $C$14, 100%, $E$14)</f>
        <v>32.182299999999998</v>
      </c>
      <c r="L907" s="59">
        <f>16.9752 * CHOOSE(CONTROL!$C$27, $C$14, 100%, $E$14)</f>
        <v>16.975200000000001</v>
      </c>
      <c r="M907" s="59">
        <f>16.9801 * CHOOSE(CONTROL!$C$27, $C$14, 100%, $E$14)</f>
        <v>16.9801</v>
      </c>
      <c r="N907" s="59">
        <f>16.9752 * CHOOSE(CONTROL!$C$27, $C$14, 100%, $E$14)</f>
        <v>16.975200000000001</v>
      </c>
      <c r="O907" s="59">
        <f>16.9801 * CHOOSE(CONTROL!$C$27, $C$14, 100%, $E$14)</f>
        <v>16.9801</v>
      </c>
    </row>
    <row r="908" spans="1:15" ht="15">
      <c r="A908" s="11">
        <v>68728</v>
      </c>
      <c r="B908" s="58">
        <f>15.2505 * CHOOSE(CONTROL!$C$27, $C$14, 100%, $E$14)</f>
        <v>15.250500000000001</v>
      </c>
      <c r="C908" s="58">
        <f>15.2505 * CHOOSE(CONTROL!$C$27, $C$14, 100%, $E$14)</f>
        <v>15.250500000000001</v>
      </c>
      <c r="D908" s="58">
        <f>15.2545 * CHOOSE(CONTROL!$C$27, $C$14, 100%, $E$14)</f>
        <v>15.2545</v>
      </c>
      <c r="E908" s="59">
        <f>17.2169 * CHOOSE(CONTROL!$C$27, $C$14, 100%, $E$14)</f>
        <v>17.216899999999999</v>
      </c>
      <c r="F908" s="59">
        <f>17.2169 * CHOOSE(CONTROL!$C$27, $C$14, 100%, $E$14)</f>
        <v>17.216899999999999</v>
      </c>
      <c r="G908" s="59">
        <f>17.2218 * CHOOSE(CONTROL!$C$27, $C$14, 100%, $E$14)</f>
        <v>17.221800000000002</v>
      </c>
      <c r="H908" s="59">
        <f>32.2444* CHOOSE(CONTROL!$C$27, $C$14, 100%, $E$14)</f>
        <v>32.244399999999999</v>
      </c>
      <c r="I908" s="59">
        <f>32.2493 * CHOOSE(CONTROL!$C$27, $C$14, 100%, $E$14)</f>
        <v>32.249299999999998</v>
      </c>
      <c r="J908" s="59">
        <f>32.2444 * CHOOSE(CONTROL!$C$27, $C$14, 100%, $E$14)</f>
        <v>32.244399999999999</v>
      </c>
      <c r="K908" s="59">
        <f>32.2493 * CHOOSE(CONTROL!$C$27, $C$14, 100%, $E$14)</f>
        <v>32.249299999999998</v>
      </c>
      <c r="L908" s="59">
        <f>17.2169 * CHOOSE(CONTROL!$C$27, $C$14, 100%, $E$14)</f>
        <v>17.216899999999999</v>
      </c>
      <c r="M908" s="59">
        <f>17.2218 * CHOOSE(CONTROL!$C$27, $C$14, 100%, $E$14)</f>
        <v>17.221800000000002</v>
      </c>
      <c r="N908" s="59">
        <f>17.2169 * CHOOSE(CONTROL!$C$27, $C$14, 100%, $E$14)</f>
        <v>17.216899999999999</v>
      </c>
      <c r="O908" s="59">
        <f>17.2218 * CHOOSE(CONTROL!$C$27, $C$14, 100%, $E$14)</f>
        <v>17.221800000000002</v>
      </c>
    </row>
    <row r="909" spans="1:15" ht="15">
      <c r="A909" s="11">
        <v>68759</v>
      </c>
      <c r="B909" s="58">
        <f>15.2576 * CHOOSE(CONTROL!$C$27, $C$14, 100%, $E$14)</f>
        <v>15.2576</v>
      </c>
      <c r="C909" s="58">
        <f>15.2576 * CHOOSE(CONTROL!$C$27, $C$14, 100%, $E$14)</f>
        <v>15.2576</v>
      </c>
      <c r="D909" s="58">
        <f>15.2616 * CHOOSE(CONTROL!$C$27, $C$14, 100%, $E$14)</f>
        <v>15.2616</v>
      </c>
      <c r="E909" s="59">
        <f>17.4745 * CHOOSE(CONTROL!$C$27, $C$14, 100%, $E$14)</f>
        <v>17.474499999999999</v>
      </c>
      <c r="F909" s="59">
        <f>17.4745 * CHOOSE(CONTROL!$C$27, $C$14, 100%, $E$14)</f>
        <v>17.474499999999999</v>
      </c>
      <c r="G909" s="59">
        <f>17.4794 * CHOOSE(CONTROL!$C$27, $C$14, 100%, $E$14)</f>
        <v>17.479399999999998</v>
      </c>
      <c r="H909" s="59">
        <f>32.3116* CHOOSE(CONTROL!$C$27, $C$14, 100%, $E$14)</f>
        <v>32.311599999999999</v>
      </c>
      <c r="I909" s="59">
        <f>32.3165 * CHOOSE(CONTROL!$C$27, $C$14, 100%, $E$14)</f>
        <v>32.316499999999998</v>
      </c>
      <c r="J909" s="59">
        <f>32.3116 * CHOOSE(CONTROL!$C$27, $C$14, 100%, $E$14)</f>
        <v>32.311599999999999</v>
      </c>
      <c r="K909" s="59">
        <f>32.3165 * CHOOSE(CONTROL!$C$27, $C$14, 100%, $E$14)</f>
        <v>32.316499999999998</v>
      </c>
      <c r="L909" s="59">
        <f>17.4745 * CHOOSE(CONTROL!$C$27, $C$14, 100%, $E$14)</f>
        <v>17.474499999999999</v>
      </c>
      <c r="M909" s="59">
        <f>17.4794 * CHOOSE(CONTROL!$C$27, $C$14, 100%, $E$14)</f>
        <v>17.479399999999998</v>
      </c>
      <c r="N909" s="59">
        <f>17.4745 * CHOOSE(CONTROL!$C$27, $C$14, 100%, $E$14)</f>
        <v>17.474499999999999</v>
      </c>
      <c r="O909" s="59">
        <f>17.4794 * CHOOSE(CONTROL!$C$27, $C$14, 100%, $E$14)</f>
        <v>17.479399999999998</v>
      </c>
    </row>
    <row r="910" spans="1:15" ht="15">
      <c r="A910" s="11">
        <v>68789</v>
      </c>
      <c r="B910" s="58">
        <f>15.2576 * CHOOSE(CONTROL!$C$27, $C$14, 100%, $E$14)</f>
        <v>15.2576</v>
      </c>
      <c r="C910" s="58">
        <f>15.2576 * CHOOSE(CONTROL!$C$27, $C$14, 100%, $E$14)</f>
        <v>15.2576</v>
      </c>
      <c r="D910" s="58">
        <f>15.2632 * CHOOSE(CONTROL!$C$27, $C$14, 100%, $E$14)</f>
        <v>15.263199999999999</v>
      </c>
      <c r="E910" s="59">
        <f>17.5727 * CHOOSE(CONTROL!$C$27, $C$14, 100%, $E$14)</f>
        <v>17.572700000000001</v>
      </c>
      <c r="F910" s="59">
        <f>17.5727 * CHOOSE(CONTROL!$C$27, $C$14, 100%, $E$14)</f>
        <v>17.572700000000001</v>
      </c>
      <c r="G910" s="59">
        <f>17.5796 * CHOOSE(CONTROL!$C$27, $C$14, 100%, $E$14)</f>
        <v>17.579599999999999</v>
      </c>
      <c r="H910" s="59">
        <f>32.3789* CHOOSE(CONTROL!$C$27, $C$14, 100%, $E$14)</f>
        <v>32.378900000000002</v>
      </c>
      <c r="I910" s="59">
        <f>32.3858 * CHOOSE(CONTROL!$C$27, $C$14, 100%, $E$14)</f>
        <v>32.385800000000003</v>
      </c>
      <c r="J910" s="59">
        <f>32.3789 * CHOOSE(CONTROL!$C$27, $C$14, 100%, $E$14)</f>
        <v>32.378900000000002</v>
      </c>
      <c r="K910" s="59">
        <f>32.3858 * CHOOSE(CONTROL!$C$27, $C$14, 100%, $E$14)</f>
        <v>32.385800000000003</v>
      </c>
      <c r="L910" s="59">
        <f>17.5727 * CHOOSE(CONTROL!$C$27, $C$14, 100%, $E$14)</f>
        <v>17.572700000000001</v>
      </c>
      <c r="M910" s="59">
        <f>17.5796 * CHOOSE(CONTROL!$C$27, $C$14, 100%, $E$14)</f>
        <v>17.579599999999999</v>
      </c>
      <c r="N910" s="59">
        <f>17.5727 * CHOOSE(CONTROL!$C$27, $C$14, 100%, $E$14)</f>
        <v>17.572700000000001</v>
      </c>
      <c r="O910" s="59">
        <f>17.5796 * CHOOSE(CONTROL!$C$27, $C$14, 100%, $E$14)</f>
        <v>17.579599999999999</v>
      </c>
    </row>
    <row r="911" spans="1:15" ht="15">
      <c r="A911" s="11">
        <v>68820</v>
      </c>
      <c r="B911" s="58">
        <f>15.2637 * CHOOSE(CONTROL!$C$27, $C$14, 100%, $E$14)</f>
        <v>15.2637</v>
      </c>
      <c r="C911" s="58">
        <f>15.2637 * CHOOSE(CONTROL!$C$27, $C$14, 100%, $E$14)</f>
        <v>15.2637</v>
      </c>
      <c r="D911" s="58">
        <f>15.2693 * CHOOSE(CONTROL!$C$27, $C$14, 100%, $E$14)</f>
        <v>15.269299999999999</v>
      </c>
      <c r="E911" s="59">
        <f>17.4787 * CHOOSE(CONTROL!$C$27, $C$14, 100%, $E$14)</f>
        <v>17.4787</v>
      </c>
      <c r="F911" s="59">
        <f>17.4787 * CHOOSE(CONTROL!$C$27, $C$14, 100%, $E$14)</f>
        <v>17.4787</v>
      </c>
      <c r="G911" s="59">
        <f>17.4856 * CHOOSE(CONTROL!$C$27, $C$14, 100%, $E$14)</f>
        <v>17.485600000000002</v>
      </c>
      <c r="H911" s="59">
        <f>32.4464* CHOOSE(CONTROL!$C$27, $C$14, 100%, $E$14)</f>
        <v>32.446399999999997</v>
      </c>
      <c r="I911" s="59">
        <f>32.4532 * CHOOSE(CONTROL!$C$27, $C$14, 100%, $E$14)</f>
        <v>32.453200000000002</v>
      </c>
      <c r="J911" s="59">
        <f>32.4464 * CHOOSE(CONTROL!$C$27, $C$14, 100%, $E$14)</f>
        <v>32.446399999999997</v>
      </c>
      <c r="K911" s="59">
        <f>32.4532 * CHOOSE(CONTROL!$C$27, $C$14, 100%, $E$14)</f>
        <v>32.453200000000002</v>
      </c>
      <c r="L911" s="59">
        <f>17.4787 * CHOOSE(CONTROL!$C$27, $C$14, 100%, $E$14)</f>
        <v>17.4787</v>
      </c>
      <c r="M911" s="59">
        <f>17.4856 * CHOOSE(CONTROL!$C$27, $C$14, 100%, $E$14)</f>
        <v>17.485600000000002</v>
      </c>
      <c r="N911" s="59">
        <f>17.4787 * CHOOSE(CONTROL!$C$27, $C$14, 100%, $E$14)</f>
        <v>17.4787</v>
      </c>
      <c r="O911" s="59">
        <f>17.4856 * CHOOSE(CONTROL!$C$27, $C$14, 100%, $E$14)</f>
        <v>17.485600000000002</v>
      </c>
    </row>
    <row r="912" spans="1:15" ht="15">
      <c r="A912" s="11">
        <v>68850</v>
      </c>
      <c r="B912" s="58">
        <f>15.4943 * CHOOSE(CONTROL!$C$27, $C$14, 100%, $E$14)</f>
        <v>15.494300000000001</v>
      </c>
      <c r="C912" s="58">
        <f>15.4943 * CHOOSE(CONTROL!$C$27, $C$14, 100%, $E$14)</f>
        <v>15.494300000000001</v>
      </c>
      <c r="D912" s="58">
        <f>15.5 * CHOOSE(CONTROL!$C$27, $C$14, 100%, $E$14)</f>
        <v>15.5</v>
      </c>
      <c r="E912" s="59">
        <f>17.7558 * CHOOSE(CONTROL!$C$27, $C$14, 100%, $E$14)</f>
        <v>17.755800000000001</v>
      </c>
      <c r="F912" s="59">
        <f>17.7558 * CHOOSE(CONTROL!$C$27, $C$14, 100%, $E$14)</f>
        <v>17.755800000000001</v>
      </c>
      <c r="G912" s="59">
        <f>17.7626 * CHOOSE(CONTROL!$C$27, $C$14, 100%, $E$14)</f>
        <v>17.762599999999999</v>
      </c>
      <c r="H912" s="59">
        <f>32.514* CHOOSE(CONTROL!$C$27, $C$14, 100%, $E$14)</f>
        <v>32.514000000000003</v>
      </c>
      <c r="I912" s="59">
        <f>32.5208 * CHOOSE(CONTROL!$C$27, $C$14, 100%, $E$14)</f>
        <v>32.520800000000001</v>
      </c>
      <c r="J912" s="59">
        <f>32.514 * CHOOSE(CONTROL!$C$27, $C$14, 100%, $E$14)</f>
        <v>32.514000000000003</v>
      </c>
      <c r="K912" s="59">
        <f>32.5208 * CHOOSE(CONTROL!$C$27, $C$14, 100%, $E$14)</f>
        <v>32.520800000000001</v>
      </c>
      <c r="L912" s="59">
        <f>17.7558 * CHOOSE(CONTROL!$C$27, $C$14, 100%, $E$14)</f>
        <v>17.755800000000001</v>
      </c>
      <c r="M912" s="59">
        <f>17.7626 * CHOOSE(CONTROL!$C$27, $C$14, 100%, $E$14)</f>
        <v>17.762599999999999</v>
      </c>
      <c r="N912" s="59">
        <f>17.7558 * CHOOSE(CONTROL!$C$27, $C$14, 100%, $E$14)</f>
        <v>17.755800000000001</v>
      </c>
      <c r="O912" s="59">
        <f>17.7626 * CHOOSE(CONTROL!$C$27, $C$14, 100%, $E$14)</f>
        <v>17.762599999999999</v>
      </c>
    </row>
    <row r="913" spans="1:15" ht="15">
      <c r="A913" s="11">
        <v>68881</v>
      </c>
      <c r="B913" s="58">
        <f>15.501 * CHOOSE(CONTROL!$C$27, $C$14, 100%, $E$14)</f>
        <v>15.500999999999999</v>
      </c>
      <c r="C913" s="58">
        <f>15.501 * CHOOSE(CONTROL!$C$27, $C$14, 100%, $E$14)</f>
        <v>15.500999999999999</v>
      </c>
      <c r="D913" s="58">
        <f>15.5066 * CHOOSE(CONTROL!$C$27, $C$14, 100%, $E$14)</f>
        <v>15.506600000000001</v>
      </c>
      <c r="E913" s="59">
        <f>17.4658 * CHOOSE(CONTROL!$C$27, $C$14, 100%, $E$14)</f>
        <v>17.465800000000002</v>
      </c>
      <c r="F913" s="59">
        <f>17.4658 * CHOOSE(CONTROL!$C$27, $C$14, 100%, $E$14)</f>
        <v>17.465800000000002</v>
      </c>
      <c r="G913" s="59">
        <f>17.4727 * CHOOSE(CONTROL!$C$27, $C$14, 100%, $E$14)</f>
        <v>17.4727</v>
      </c>
      <c r="H913" s="59">
        <f>32.5817* CHOOSE(CONTROL!$C$27, $C$14, 100%, $E$14)</f>
        <v>32.581699999999998</v>
      </c>
      <c r="I913" s="59">
        <f>32.5886 * CHOOSE(CONTROL!$C$27, $C$14, 100%, $E$14)</f>
        <v>32.5886</v>
      </c>
      <c r="J913" s="59">
        <f>32.5817 * CHOOSE(CONTROL!$C$27, $C$14, 100%, $E$14)</f>
        <v>32.581699999999998</v>
      </c>
      <c r="K913" s="59">
        <f>32.5886 * CHOOSE(CONTROL!$C$27, $C$14, 100%, $E$14)</f>
        <v>32.5886</v>
      </c>
      <c r="L913" s="59">
        <f>17.4658 * CHOOSE(CONTROL!$C$27, $C$14, 100%, $E$14)</f>
        <v>17.465800000000002</v>
      </c>
      <c r="M913" s="59">
        <f>17.4727 * CHOOSE(CONTROL!$C$27, $C$14, 100%, $E$14)</f>
        <v>17.4727</v>
      </c>
      <c r="N913" s="59">
        <f>17.4658 * CHOOSE(CONTROL!$C$27, $C$14, 100%, $E$14)</f>
        <v>17.465800000000002</v>
      </c>
      <c r="O913" s="59">
        <f>17.4727 * CHOOSE(CONTROL!$C$27, $C$14, 100%, $E$14)</f>
        <v>17.4727</v>
      </c>
    </row>
    <row r="914" spans="1:15" ht="15">
      <c r="A914" s="11">
        <v>68912</v>
      </c>
      <c r="B914" s="58">
        <f>15.498 * CHOOSE(CONTROL!$C$27, $C$14, 100%, $E$14)</f>
        <v>15.497999999999999</v>
      </c>
      <c r="C914" s="58">
        <f>15.498 * CHOOSE(CONTROL!$C$27, $C$14, 100%, $E$14)</f>
        <v>15.497999999999999</v>
      </c>
      <c r="D914" s="58">
        <f>15.5036 * CHOOSE(CONTROL!$C$27, $C$14, 100%, $E$14)</f>
        <v>15.5036</v>
      </c>
      <c r="E914" s="59">
        <f>17.431 * CHOOSE(CONTROL!$C$27, $C$14, 100%, $E$14)</f>
        <v>17.431000000000001</v>
      </c>
      <c r="F914" s="59">
        <f>17.431 * CHOOSE(CONTROL!$C$27, $C$14, 100%, $E$14)</f>
        <v>17.431000000000001</v>
      </c>
      <c r="G914" s="59">
        <f>17.4379 * CHOOSE(CONTROL!$C$27, $C$14, 100%, $E$14)</f>
        <v>17.437899999999999</v>
      </c>
      <c r="H914" s="59">
        <f>32.6496* CHOOSE(CONTROL!$C$27, $C$14, 100%, $E$14)</f>
        <v>32.6496</v>
      </c>
      <c r="I914" s="59">
        <f>32.6565 * CHOOSE(CONTROL!$C$27, $C$14, 100%, $E$14)</f>
        <v>32.656500000000001</v>
      </c>
      <c r="J914" s="59">
        <f>32.6496 * CHOOSE(CONTROL!$C$27, $C$14, 100%, $E$14)</f>
        <v>32.6496</v>
      </c>
      <c r="K914" s="59">
        <f>32.6565 * CHOOSE(CONTROL!$C$27, $C$14, 100%, $E$14)</f>
        <v>32.656500000000001</v>
      </c>
      <c r="L914" s="59">
        <f>17.431 * CHOOSE(CONTROL!$C$27, $C$14, 100%, $E$14)</f>
        <v>17.431000000000001</v>
      </c>
      <c r="M914" s="59">
        <f>17.4379 * CHOOSE(CONTROL!$C$27, $C$14, 100%, $E$14)</f>
        <v>17.437899999999999</v>
      </c>
      <c r="N914" s="59">
        <f>17.431 * CHOOSE(CONTROL!$C$27, $C$14, 100%, $E$14)</f>
        <v>17.431000000000001</v>
      </c>
      <c r="O914" s="59">
        <f>17.4379 * CHOOSE(CONTROL!$C$27, $C$14, 100%, $E$14)</f>
        <v>17.437899999999999</v>
      </c>
    </row>
    <row r="915" spans="1:15" ht="15">
      <c r="A915" s="11">
        <v>68942</v>
      </c>
      <c r="B915" s="58">
        <f>15.53 * CHOOSE(CONTROL!$C$27, $C$14, 100%, $E$14)</f>
        <v>15.53</v>
      </c>
      <c r="C915" s="58">
        <f>15.53 * CHOOSE(CONTROL!$C$27, $C$14, 100%, $E$14)</f>
        <v>15.53</v>
      </c>
      <c r="D915" s="58">
        <f>15.534 * CHOOSE(CONTROL!$C$27, $C$14, 100%, $E$14)</f>
        <v>15.534000000000001</v>
      </c>
      <c r="E915" s="59">
        <f>17.5485 * CHOOSE(CONTROL!$C$27, $C$14, 100%, $E$14)</f>
        <v>17.548500000000001</v>
      </c>
      <c r="F915" s="59">
        <f>17.5485 * CHOOSE(CONTROL!$C$27, $C$14, 100%, $E$14)</f>
        <v>17.548500000000001</v>
      </c>
      <c r="G915" s="59">
        <f>17.5534 * CHOOSE(CONTROL!$C$27, $C$14, 100%, $E$14)</f>
        <v>17.5534</v>
      </c>
      <c r="H915" s="59">
        <f>32.7176* CHOOSE(CONTROL!$C$27, $C$14, 100%, $E$14)</f>
        <v>32.717599999999997</v>
      </c>
      <c r="I915" s="59">
        <f>32.7225 * CHOOSE(CONTROL!$C$27, $C$14, 100%, $E$14)</f>
        <v>32.722499999999997</v>
      </c>
      <c r="J915" s="59">
        <f>32.7176 * CHOOSE(CONTROL!$C$27, $C$14, 100%, $E$14)</f>
        <v>32.717599999999997</v>
      </c>
      <c r="K915" s="59">
        <f>32.7225 * CHOOSE(CONTROL!$C$27, $C$14, 100%, $E$14)</f>
        <v>32.722499999999997</v>
      </c>
      <c r="L915" s="59">
        <f>17.5485 * CHOOSE(CONTROL!$C$27, $C$14, 100%, $E$14)</f>
        <v>17.548500000000001</v>
      </c>
      <c r="M915" s="59">
        <f>17.5534 * CHOOSE(CONTROL!$C$27, $C$14, 100%, $E$14)</f>
        <v>17.5534</v>
      </c>
      <c r="N915" s="59">
        <f>17.5485 * CHOOSE(CONTROL!$C$27, $C$14, 100%, $E$14)</f>
        <v>17.548500000000001</v>
      </c>
      <c r="O915" s="59">
        <f>17.5534 * CHOOSE(CONTROL!$C$27, $C$14, 100%, $E$14)</f>
        <v>17.5534</v>
      </c>
    </row>
    <row r="916" spans="1:15" ht="15">
      <c r="A916" s="11">
        <v>68973</v>
      </c>
      <c r="B916" s="58">
        <f>15.533 * CHOOSE(CONTROL!$C$27, $C$14, 100%, $E$14)</f>
        <v>15.532999999999999</v>
      </c>
      <c r="C916" s="58">
        <f>15.533 * CHOOSE(CONTROL!$C$27, $C$14, 100%, $E$14)</f>
        <v>15.532999999999999</v>
      </c>
      <c r="D916" s="58">
        <f>15.537 * CHOOSE(CONTROL!$C$27, $C$14, 100%, $E$14)</f>
        <v>15.537000000000001</v>
      </c>
      <c r="E916" s="59">
        <f>17.6161 * CHOOSE(CONTROL!$C$27, $C$14, 100%, $E$14)</f>
        <v>17.616099999999999</v>
      </c>
      <c r="F916" s="59">
        <f>17.6161 * CHOOSE(CONTROL!$C$27, $C$14, 100%, $E$14)</f>
        <v>17.616099999999999</v>
      </c>
      <c r="G916" s="59">
        <f>17.621 * CHOOSE(CONTROL!$C$27, $C$14, 100%, $E$14)</f>
        <v>17.620999999999999</v>
      </c>
      <c r="H916" s="59">
        <f>32.7857* CHOOSE(CONTROL!$C$27, $C$14, 100%, $E$14)</f>
        <v>32.785699999999999</v>
      </c>
      <c r="I916" s="59">
        <f>32.7907 * CHOOSE(CONTROL!$C$27, $C$14, 100%, $E$14)</f>
        <v>32.790700000000001</v>
      </c>
      <c r="J916" s="59">
        <f>32.7857 * CHOOSE(CONTROL!$C$27, $C$14, 100%, $E$14)</f>
        <v>32.785699999999999</v>
      </c>
      <c r="K916" s="59">
        <f>32.7907 * CHOOSE(CONTROL!$C$27, $C$14, 100%, $E$14)</f>
        <v>32.790700000000001</v>
      </c>
      <c r="L916" s="59">
        <f>17.6161 * CHOOSE(CONTROL!$C$27, $C$14, 100%, $E$14)</f>
        <v>17.616099999999999</v>
      </c>
      <c r="M916" s="59">
        <f>17.621 * CHOOSE(CONTROL!$C$27, $C$14, 100%, $E$14)</f>
        <v>17.620999999999999</v>
      </c>
      <c r="N916" s="59">
        <f>17.6161 * CHOOSE(CONTROL!$C$27, $C$14, 100%, $E$14)</f>
        <v>17.616099999999999</v>
      </c>
      <c r="O916" s="59">
        <f>17.621 * CHOOSE(CONTROL!$C$27, $C$14, 100%, $E$14)</f>
        <v>17.620999999999999</v>
      </c>
    </row>
    <row r="917" spans="1:15" ht="15">
      <c r="A917" s="11">
        <v>69003</v>
      </c>
      <c r="B917" s="58">
        <f>15.533 * CHOOSE(CONTROL!$C$27, $C$14, 100%, $E$14)</f>
        <v>15.532999999999999</v>
      </c>
      <c r="C917" s="58">
        <f>15.533 * CHOOSE(CONTROL!$C$27, $C$14, 100%, $E$14)</f>
        <v>15.532999999999999</v>
      </c>
      <c r="D917" s="58">
        <f>15.537 * CHOOSE(CONTROL!$C$27, $C$14, 100%, $E$14)</f>
        <v>15.537000000000001</v>
      </c>
      <c r="E917" s="59">
        <f>17.4524 * CHOOSE(CONTROL!$C$27, $C$14, 100%, $E$14)</f>
        <v>17.452400000000001</v>
      </c>
      <c r="F917" s="59">
        <f>17.4524 * CHOOSE(CONTROL!$C$27, $C$14, 100%, $E$14)</f>
        <v>17.452400000000001</v>
      </c>
      <c r="G917" s="59">
        <f>17.4573 * CHOOSE(CONTROL!$C$27, $C$14, 100%, $E$14)</f>
        <v>17.4573</v>
      </c>
      <c r="H917" s="59">
        <f>32.8541* CHOOSE(CONTROL!$C$27, $C$14, 100%, $E$14)</f>
        <v>32.854100000000003</v>
      </c>
      <c r="I917" s="59">
        <f>32.859 * CHOOSE(CONTROL!$C$27, $C$14, 100%, $E$14)</f>
        <v>32.859000000000002</v>
      </c>
      <c r="J917" s="59">
        <f>32.8541 * CHOOSE(CONTROL!$C$27, $C$14, 100%, $E$14)</f>
        <v>32.854100000000003</v>
      </c>
      <c r="K917" s="59">
        <f>32.859 * CHOOSE(CONTROL!$C$27, $C$14, 100%, $E$14)</f>
        <v>32.859000000000002</v>
      </c>
      <c r="L917" s="59">
        <f>17.4524 * CHOOSE(CONTROL!$C$27, $C$14, 100%, $E$14)</f>
        <v>17.452400000000001</v>
      </c>
      <c r="M917" s="59">
        <f>17.4573 * CHOOSE(CONTROL!$C$27, $C$14, 100%, $E$14)</f>
        <v>17.4573</v>
      </c>
      <c r="N917" s="59">
        <f>17.4524 * CHOOSE(CONTROL!$C$27, $C$14, 100%, $E$14)</f>
        <v>17.452400000000001</v>
      </c>
      <c r="O917" s="59">
        <f>17.4573 * CHOOSE(CONTROL!$C$27, $C$14, 100%, $E$14)</f>
        <v>17.4573</v>
      </c>
    </row>
    <row r="918" spans="1:15" ht="15">
      <c r="A918" s="11">
        <v>69034</v>
      </c>
      <c r="B918" s="58">
        <f>15.4922 * CHOOSE(CONTROL!$C$27, $C$14, 100%, $E$14)</f>
        <v>15.4922</v>
      </c>
      <c r="C918" s="58">
        <f>15.4922 * CHOOSE(CONTROL!$C$27, $C$14, 100%, $E$14)</f>
        <v>15.4922</v>
      </c>
      <c r="D918" s="58">
        <f>15.4962 * CHOOSE(CONTROL!$C$27, $C$14, 100%, $E$14)</f>
        <v>15.4962</v>
      </c>
      <c r="E918" s="59">
        <f>17.5413 * CHOOSE(CONTROL!$C$27, $C$14, 100%, $E$14)</f>
        <v>17.5413</v>
      </c>
      <c r="F918" s="59">
        <f>17.5413 * CHOOSE(CONTROL!$C$27, $C$14, 100%, $E$14)</f>
        <v>17.5413</v>
      </c>
      <c r="G918" s="59">
        <f>17.5462 * CHOOSE(CONTROL!$C$27, $C$14, 100%, $E$14)</f>
        <v>17.546199999999999</v>
      </c>
      <c r="H918" s="59">
        <f>32.593* CHOOSE(CONTROL!$C$27, $C$14, 100%, $E$14)</f>
        <v>32.593000000000004</v>
      </c>
      <c r="I918" s="59">
        <f>32.5979 * CHOOSE(CONTROL!$C$27, $C$14, 100%, $E$14)</f>
        <v>32.597900000000003</v>
      </c>
      <c r="J918" s="59">
        <f>32.593 * CHOOSE(CONTROL!$C$27, $C$14, 100%, $E$14)</f>
        <v>32.593000000000004</v>
      </c>
      <c r="K918" s="59">
        <f>32.5979 * CHOOSE(CONTROL!$C$27, $C$14, 100%, $E$14)</f>
        <v>32.597900000000003</v>
      </c>
      <c r="L918" s="59">
        <f>17.5413 * CHOOSE(CONTROL!$C$27, $C$14, 100%, $E$14)</f>
        <v>17.5413</v>
      </c>
      <c r="M918" s="59">
        <f>17.5462 * CHOOSE(CONTROL!$C$27, $C$14, 100%, $E$14)</f>
        <v>17.546199999999999</v>
      </c>
      <c r="N918" s="59">
        <f>17.5413 * CHOOSE(CONTROL!$C$27, $C$14, 100%, $E$14)</f>
        <v>17.5413</v>
      </c>
      <c r="O918" s="59">
        <f>17.5462 * CHOOSE(CONTROL!$C$27, $C$14, 100%, $E$14)</f>
        <v>17.546199999999999</v>
      </c>
    </row>
    <row r="919" spans="1:15" ht="15">
      <c r="A919" s="11">
        <v>69065</v>
      </c>
      <c r="B919" s="58">
        <f>15.4891 * CHOOSE(CONTROL!$C$27, $C$14, 100%, $E$14)</f>
        <v>15.489100000000001</v>
      </c>
      <c r="C919" s="58">
        <f>15.4891 * CHOOSE(CONTROL!$C$27, $C$14, 100%, $E$14)</f>
        <v>15.489100000000001</v>
      </c>
      <c r="D919" s="58">
        <f>15.4931 * CHOOSE(CONTROL!$C$27, $C$14, 100%, $E$14)</f>
        <v>15.4931</v>
      </c>
      <c r="E919" s="59">
        <f>17.225 * CHOOSE(CONTROL!$C$27, $C$14, 100%, $E$14)</f>
        <v>17.225000000000001</v>
      </c>
      <c r="F919" s="59">
        <f>17.225 * CHOOSE(CONTROL!$C$27, $C$14, 100%, $E$14)</f>
        <v>17.225000000000001</v>
      </c>
      <c r="G919" s="59">
        <f>17.2299 * CHOOSE(CONTROL!$C$27, $C$14, 100%, $E$14)</f>
        <v>17.229900000000001</v>
      </c>
      <c r="H919" s="59">
        <f>32.6609* CHOOSE(CONTROL!$C$27, $C$14, 100%, $E$14)</f>
        <v>32.660899999999998</v>
      </c>
      <c r="I919" s="59">
        <f>32.6658 * CHOOSE(CONTROL!$C$27, $C$14, 100%, $E$14)</f>
        <v>32.665799999999997</v>
      </c>
      <c r="J919" s="59">
        <f>32.6609 * CHOOSE(CONTROL!$C$27, $C$14, 100%, $E$14)</f>
        <v>32.660899999999998</v>
      </c>
      <c r="K919" s="59">
        <f>32.6658 * CHOOSE(CONTROL!$C$27, $C$14, 100%, $E$14)</f>
        <v>32.665799999999997</v>
      </c>
      <c r="L919" s="59">
        <f>17.225 * CHOOSE(CONTROL!$C$27, $C$14, 100%, $E$14)</f>
        <v>17.225000000000001</v>
      </c>
      <c r="M919" s="59">
        <f>17.2299 * CHOOSE(CONTROL!$C$27, $C$14, 100%, $E$14)</f>
        <v>17.229900000000001</v>
      </c>
      <c r="N919" s="59">
        <f>17.225 * CHOOSE(CONTROL!$C$27, $C$14, 100%, $E$14)</f>
        <v>17.225000000000001</v>
      </c>
      <c r="O919" s="59">
        <f>17.2299 * CHOOSE(CONTROL!$C$27, $C$14, 100%, $E$14)</f>
        <v>17.229900000000001</v>
      </c>
    </row>
    <row r="920" spans="1:15" ht="15">
      <c r="A920" s="11">
        <v>69093</v>
      </c>
      <c r="B920" s="58">
        <f>15.4861 * CHOOSE(CONTROL!$C$27, $C$14, 100%, $E$14)</f>
        <v>15.4861</v>
      </c>
      <c r="C920" s="58">
        <f>15.4861 * CHOOSE(CONTROL!$C$27, $C$14, 100%, $E$14)</f>
        <v>15.4861</v>
      </c>
      <c r="D920" s="58">
        <f>15.4901 * CHOOSE(CONTROL!$C$27, $C$14, 100%, $E$14)</f>
        <v>15.4901</v>
      </c>
      <c r="E920" s="59">
        <f>17.4706 * CHOOSE(CONTROL!$C$27, $C$14, 100%, $E$14)</f>
        <v>17.470600000000001</v>
      </c>
      <c r="F920" s="59">
        <f>17.4706 * CHOOSE(CONTROL!$C$27, $C$14, 100%, $E$14)</f>
        <v>17.470600000000001</v>
      </c>
      <c r="G920" s="59">
        <f>17.4755 * CHOOSE(CONTROL!$C$27, $C$14, 100%, $E$14)</f>
        <v>17.4755</v>
      </c>
      <c r="H920" s="59">
        <f>32.729* CHOOSE(CONTROL!$C$27, $C$14, 100%, $E$14)</f>
        <v>32.728999999999999</v>
      </c>
      <c r="I920" s="59">
        <f>32.7339 * CHOOSE(CONTROL!$C$27, $C$14, 100%, $E$14)</f>
        <v>32.733899999999998</v>
      </c>
      <c r="J920" s="59">
        <f>32.729 * CHOOSE(CONTROL!$C$27, $C$14, 100%, $E$14)</f>
        <v>32.728999999999999</v>
      </c>
      <c r="K920" s="59">
        <f>32.7339 * CHOOSE(CONTROL!$C$27, $C$14, 100%, $E$14)</f>
        <v>32.733899999999998</v>
      </c>
      <c r="L920" s="59">
        <f>17.4706 * CHOOSE(CONTROL!$C$27, $C$14, 100%, $E$14)</f>
        <v>17.470600000000001</v>
      </c>
      <c r="M920" s="59">
        <f>17.4755 * CHOOSE(CONTROL!$C$27, $C$14, 100%, $E$14)</f>
        <v>17.4755</v>
      </c>
      <c r="N920" s="59">
        <f>17.4706 * CHOOSE(CONTROL!$C$27, $C$14, 100%, $E$14)</f>
        <v>17.470600000000001</v>
      </c>
      <c r="O920" s="59">
        <f>17.4755 * CHOOSE(CONTROL!$C$27, $C$14, 100%, $E$14)</f>
        <v>17.4755</v>
      </c>
    </row>
    <row r="921" spans="1:15" ht="15">
      <c r="A921" s="11">
        <v>69124</v>
      </c>
      <c r="B921" s="58">
        <f>15.4933 * CHOOSE(CONTROL!$C$27, $C$14, 100%, $E$14)</f>
        <v>15.4933</v>
      </c>
      <c r="C921" s="58">
        <f>15.4933 * CHOOSE(CONTROL!$C$27, $C$14, 100%, $E$14)</f>
        <v>15.4933</v>
      </c>
      <c r="D921" s="58">
        <f>15.4973 * CHOOSE(CONTROL!$C$27, $C$14, 100%, $E$14)</f>
        <v>15.497299999999999</v>
      </c>
      <c r="E921" s="59">
        <f>17.7324 * CHOOSE(CONTROL!$C$27, $C$14, 100%, $E$14)</f>
        <v>17.732399999999998</v>
      </c>
      <c r="F921" s="59">
        <f>17.7324 * CHOOSE(CONTROL!$C$27, $C$14, 100%, $E$14)</f>
        <v>17.732399999999998</v>
      </c>
      <c r="G921" s="59">
        <f>17.7373 * CHOOSE(CONTROL!$C$27, $C$14, 100%, $E$14)</f>
        <v>17.737300000000001</v>
      </c>
      <c r="H921" s="59">
        <f>32.7972* CHOOSE(CONTROL!$C$27, $C$14, 100%, $E$14)</f>
        <v>32.797199999999997</v>
      </c>
      <c r="I921" s="59">
        <f>32.8021 * CHOOSE(CONTROL!$C$27, $C$14, 100%, $E$14)</f>
        <v>32.802100000000003</v>
      </c>
      <c r="J921" s="59">
        <f>32.7972 * CHOOSE(CONTROL!$C$27, $C$14, 100%, $E$14)</f>
        <v>32.797199999999997</v>
      </c>
      <c r="K921" s="59">
        <f>32.8021 * CHOOSE(CONTROL!$C$27, $C$14, 100%, $E$14)</f>
        <v>32.802100000000003</v>
      </c>
      <c r="L921" s="59">
        <f>17.7324 * CHOOSE(CONTROL!$C$27, $C$14, 100%, $E$14)</f>
        <v>17.732399999999998</v>
      </c>
      <c r="M921" s="59">
        <f>17.7373 * CHOOSE(CONTROL!$C$27, $C$14, 100%, $E$14)</f>
        <v>17.737300000000001</v>
      </c>
      <c r="N921" s="59">
        <f>17.7324 * CHOOSE(CONTROL!$C$27, $C$14, 100%, $E$14)</f>
        <v>17.732399999999998</v>
      </c>
      <c r="O921" s="59">
        <f>17.7373 * CHOOSE(CONTROL!$C$27, $C$14, 100%, $E$14)</f>
        <v>17.737300000000001</v>
      </c>
    </row>
    <row r="922" spans="1:15" ht="15">
      <c r="A922" s="11">
        <v>69154</v>
      </c>
      <c r="B922" s="58">
        <f>15.4933 * CHOOSE(CONTROL!$C$27, $C$14, 100%, $E$14)</f>
        <v>15.4933</v>
      </c>
      <c r="C922" s="58">
        <f>15.4933 * CHOOSE(CONTROL!$C$27, $C$14, 100%, $E$14)</f>
        <v>15.4933</v>
      </c>
      <c r="D922" s="58">
        <f>15.499 * CHOOSE(CONTROL!$C$27, $C$14, 100%, $E$14)</f>
        <v>15.499000000000001</v>
      </c>
      <c r="E922" s="59">
        <f>17.8321 * CHOOSE(CONTROL!$C$27, $C$14, 100%, $E$14)</f>
        <v>17.832100000000001</v>
      </c>
      <c r="F922" s="59">
        <f>17.8321 * CHOOSE(CONTROL!$C$27, $C$14, 100%, $E$14)</f>
        <v>17.832100000000001</v>
      </c>
      <c r="G922" s="59">
        <f>17.839 * CHOOSE(CONTROL!$C$27, $C$14, 100%, $E$14)</f>
        <v>17.838999999999999</v>
      </c>
      <c r="H922" s="59">
        <f>32.8655* CHOOSE(CONTROL!$C$27, $C$14, 100%, $E$14)</f>
        <v>32.865499999999997</v>
      </c>
      <c r="I922" s="59">
        <f>32.8724 * CHOOSE(CONTROL!$C$27, $C$14, 100%, $E$14)</f>
        <v>32.872399999999999</v>
      </c>
      <c r="J922" s="59">
        <f>32.8655 * CHOOSE(CONTROL!$C$27, $C$14, 100%, $E$14)</f>
        <v>32.865499999999997</v>
      </c>
      <c r="K922" s="59">
        <f>32.8724 * CHOOSE(CONTROL!$C$27, $C$14, 100%, $E$14)</f>
        <v>32.872399999999999</v>
      </c>
      <c r="L922" s="59">
        <f>17.8321 * CHOOSE(CONTROL!$C$27, $C$14, 100%, $E$14)</f>
        <v>17.832100000000001</v>
      </c>
      <c r="M922" s="59">
        <f>17.839 * CHOOSE(CONTROL!$C$27, $C$14, 100%, $E$14)</f>
        <v>17.838999999999999</v>
      </c>
      <c r="N922" s="59">
        <f>17.8321 * CHOOSE(CONTROL!$C$27, $C$14, 100%, $E$14)</f>
        <v>17.832100000000001</v>
      </c>
      <c r="O922" s="59">
        <f>17.839 * CHOOSE(CONTROL!$C$27, $C$14, 100%, $E$14)</f>
        <v>17.838999999999999</v>
      </c>
    </row>
    <row r="923" spans="1:15" ht="15">
      <c r="A923" s="11">
        <v>69185</v>
      </c>
      <c r="B923" s="58">
        <f>15.4994 * CHOOSE(CONTROL!$C$27, $C$14, 100%, $E$14)</f>
        <v>15.4994</v>
      </c>
      <c r="C923" s="58">
        <f>15.4994 * CHOOSE(CONTROL!$C$27, $C$14, 100%, $E$14)</f>
        <v>15.4994</v>
      </c>
      <c r="D923" s="58">
        <f>15.5051 * CHOOSE(CONTROL!$C$27, $C$14, 100%, $E$14)</f>
        <v>15.505100000000001</v>
      </c>
      <c r="E923" s="59">
        <f>17.7366 * CHOOSE(CONTROL!$C$27, $C$14, 100%, $E$14)</f>
        <v>17.736599999999999</v>
      </c>
      <c r="F923" s="59">
        <f>17.7366 * CHOOSE(CONTROL!$C$27, $C$14, 100%, $E$14)</f>
        <v>17.736599999999999</v>
      </c>
      <c r="G923" s="59">
        <f>17.7435 * CHOOSE(CONTROL!$C$27, $C$14, 100%, $E$14)</f>
        <v>17.743500000000001</v>
      </c>
      <c r="H923" s="59">
        <f>32.9339* CHOOSE(CONTROL!$C$27, $C$14, 100%, $E$14)</f>
        <v>32.933900000000001</v>
      </c>
      <c r="I923" s="59">
        <f>32.9408 * CHOOSE(CONTROL!$C$27, $C$14, 100%, $E$14)</f>
        <v>32.940800000000003</v>
      </c>
      <c r="J923" s="59">
        <f>32.9339 * CHOOSE(CONTROL!$C$27, $C$14, 100%, $E$14)</f>
        <v>32.933900000000001</v>
      </c>
      <c r="K923" s="59">
        <f>32.9408 * CHOOSE(CONTROL!$C$27, $C$14, 100%, $E$14)</f>
        <v>32.940800000000003</v>
      </c>
      <c r="L923" s="59">
        <f>17.7366 * CHOOSE(CONTROL!$C$27, $C$14, 100%, $E$14)</f>
        <v>17.736599999999999</v>
      </c>
      <c r="M923" s="59">
        <f>17.7435 * CHOOSE(CONTROL!$C$27, $C$14, 100%, $E$14)</f>
        <v>17.743500000000001</v>
      </c>
      <c r="N923" s="59">
        <f>17.7366 * CHOOSE(CONTROL!$C$27, $C$14, 100%, $E$14)</f>
        <v>17.736599999999999</v>
      </c>
      <c r="O923" s="59">
        <f>17.7435 * CHOOSE(CONTROL!$C$27, $C$14, 100%, $E$14)</f>
        <v>17.743500000000001</v>
      </c>
    </row>
    <row r="924" spans="1:15" ht="15">
      <c r="A924" s="11">
        <v>69215</v>
      </c>
      <c r="B924" s="58">
        <f>15.7335 * CHOOSE(CONTROL!$C$27, $C$14, 100%, $E$14)</f>
        <v>15.733499999999999</v>
      </c>
      <c r="C924" s="58">
        <f>15.7335 * CHOOSE(CONTROL!$C$27, $C$14, 100%, $E$14)</f>
        <v>15.733499999999999</v>
      </c>
      <c r="D924" s="58">
        <f>15.7391 * CHOOSE(CONTROL!$C$27, $C$14, 100%, $E$14)</f>
        <v>15.739100000000001</v>
      </c>
      <c r="E924" s="59">
        <f>18.0175 * CHOOSE(CONTROL!$C$27, $C$14, 100%, $E$14)</f>
        <v>18.017499999999998</v>
      </c>
      <c r="F924" s="59">
        <f>18.0175 * CHOOSE(CONTROL!$C$27, $C$14, 100%, $E$14)</f>
        <v>18.017499999999998</v>
      </c>
      <c r="G924" s="59">
        <f>18.0244 * CHOOSE(CONTROL!$C$27, $C$14, 100%, $E$14)</f>
        <v>18.0244</v>
      </c>
      <c r="H924" s="59">
        <f>33.0026* CHOOSE(CONTROL!$C$27, $C$14, 100%, $E$14)</f>
        <v>33.002600000000001</v>
      </c>
      <c r="I924" s="59">
        <f>33.0095 * CHOOSE(CONTROL!$C$27, $C$14, 100%, $E$14)</f>
        <v>33.009500000000003</v>
      </c>
      <c r="J924" s="59">
        <f>33.0026 * CHOOSE(CONTROL!$C$27, $C$14, 100%, $E$14)</f>
        <v>33.002600000000001</v>
      </c>
      <c r="K924" s="59">
        <f>33.0095 * CHOOSE(CONTROL!$C$27, $C$14, 100%, $E$14)</f>
        <v>33.009500000000003</v>
      </c>
      <c r="L924" s="59">
        <f>18.0175 * CHOOSE(CONTROL!$C$27, $C$14, 100%, $E$14)</f>
        <v>18.017499999999998</v>
      </c>
      <c r="M924" s="59">
        <f>18.0244 * CHOOSE(CONTROL!$C$27, $C$14, 100%, $E$14)</f>
        <v>18.0244</v>
      </c>
      <c r="N924" s="59">
        <f>18.0175 * CHOOSE(CONTROL!$C$27, $C$14, 100%, $E$14)</f>
        <v>18.017499999999998</v>
      </c>
      <c r="O924" s="59">
        <f>18.0244 * CHOOSE(CONTROL!$C$27, $C$14, 100%, $E$14)</f>
        <v>18.0244</v>
      </c>
    </row>
    <row r="925" spans="1:15" ht="15">
      <c r="A925" s="11">
        <v>69246</v>
      </c>
      <c r="B925" s="58">
        <f>15.7402 * CHOOSE(CONTROL!$C$27, $C$14, 100%, $E$14)</f>
        <v>15.7402</v>
      </c>
      <c r="C925" s="58">
        <f>15.7402 * CHOOSE(CONTROL!$C$27, $C$14, 100%, $E$14)</f>
        <v>15.7402</v>
      </c>
      <c r="D925" s="58">
        <f>15.7458 * CHOOSE(CONTROL!$C$27, $C$14, 100%, $E$14)</f>
        <v>15.745799999999999</v>
      </c>
      <c r="E925" s="59">
        <f>17.7229 * CHOOSE(CONTROL!$C$27, $C$14, 100%, $E$14)</f>
        <v>17.722899999999999</v>
      </c>
      <c r="F925" s="59">
        <f>17.7229 * CHOOSE(CONTROL!$C$27, $C$14, 100%, $E$14)</f>
        <v>17.722899999999999</v>
      </c>
      <c r="G925" s="59">
        <f>17.7298 * CHOOSE(CONTROL!$C$27, $C$14, 100%, $E$14)</f>
        <v>17.729800000000001</v>
      </c>
      <c r="H925" s="59">
        <f>33.0713* CHOOSE(CONTROL!$C$27, $C$14, 100%, $E$14)</f>
        <v>33.071300000000001</v>
      </c>
      <c r="I925" s="59">
        <f>33.0782 * CHOOSE(CONTROL!$C$27, $C$14, 100%, $E$14)</f>
        <v>33.078200000000002</v>
      </c>
      <c r="J925" s="59">
        <f>33.0713 * CHOOSE(CONTROL!$C$27, $C$14, 100%, $E$14)</f>
        <v>33.071300000000001</v>
      </c>
      <c r="K925" s="59">
        <f>33.0782 * CHOOSE(CONTROL!$C$27, $C$14, 100%, $E$14)</f>
        <v>33.078200000000002</v>
      </c>
      <c r="L925" s="59">
        <f>17.7229 * CHOOSE(CONTROL!$C$27, $C$14, 100%, $E$14)</f>
        <v>17.722899999999999</v>
      </c>
      <c r="M925" s="59">
        <f>17.7298 * CHOOSE(CONTROL!$C$27, $C$14, 100%, $E$14)</f>
        <v>17.729800000000001</v>
      </c>
      <c r="N925" s="59">
        <f>17.7229 * CHOOSE(CONTROL!$C$27, $C$14, 100%, $E$14)</f>
        <v>17.722899999999999</v>
      </c>
      <c r="O925" s="59">
        <f>17.7298 * CHOOSE(CONTROL!$C$27, $C$14, 100%, $E$14)</f>
        <v>17.729800000000001</v>
      </c>
    </row>
    <row r="926" spans="1:15" ht="15">
      <c r="A926" s="11">
        <v>69277</v>
      </c>
      <c r="B926" s="58">
        <f>15.7371 * CHOOSE(CONTROL!$C$27, $C$14, 100%, $E$14)</f>
        <v>15.7371</v>
      </c>
      <c r="C926" s="58">
        <f>15.7371 * CHOOSE(CONTROL!$C$27, $C$14, 100%, $E$14)</f>
        <v>15.7371</v>
      </c>
      <c r="D926" s="58">
        <f>15.7428 * CHOOSE(CONTROL!$C$27, $C$14, 100%, $E$14)</f>
        <v>15.742800000000001</v>
      </c>
      <c r="E926" s="59">
        <f>17.6875 * CHOOSE(CONTROL!$C$27, $C$14, 100%, $E$14)</f>
        <v>17.6875</v>
      </c>
      <c r="F926" s="59">
        <f>17.6875 * CHOOSE(CONTROL!$C$27, $C$14, 100%, $E$14)</f>
        <v>17.6875</v>
      </c>
      <c r="G926" s="59">
        <f>17.6944 * CHOOSE(CONTROL!$C$27, $C$14, 100%, $E$14)</f>
        <v>17.694400000000002</v>
      </c>
      <c r="H926" s="59">
        <f>33.1402* CHOOSE(CONTROL!$C$27, $C$14, 100%, $E$14)</f>
        <v>33.1402</v>
      </c>
      <c r="I926" s="59">
        <f>33.1471 * CHOOSE(CONTROL!$C$27, $C$14, 100%, $E$14)</f>
        <v>33.147100000000002</v>
      </c>
      <c r="J926" s="59">
        <f>33.1402 * CHOOSE(CONTROL!$C$27, $C$14, 100%, $E$14)</f>
        <v>33.1402</v>
      </c>
      <c r="K926" s="59">
        <f>33.1471 * CHOOSE(CONTROL!$C$27, $C$14, 100%, $E$14)</f>
        <v>33.147100000000002</v>
      </c>
      <c r="L926" s="59">
        <f>17.6875 * CHOOSE(CONTROL!$C$27, $C$14, 100%, $E$14)</f>
        <v>17.6875</v>
      </c>
      <c r="M926" s="59">
        <f>17.6944 * CHOOSE(CONTROL!$C$27, $C$14, 100%, $E$14)</f>
        <v>17.694400000000002</v>
      </c>
      <c r="N926" s="59">
        <f>17.6875 * CHOOSE(CONTROL!$C$27, $C$14, 100%, $E$14)</f>
        <v>17.6875</v>
      </c>
      <c r="O926" s="59">
        <f>17.6944 * CHOOSE(CONTROL!$C$27, $C$14, 100%, $E$14)</f>
        <v>17.694400000000002</v>
      </c>
    </row>
    <row r="927" spans="1:15" ht="15">
      <c r="A927" s="11">
        <v>69307</v>
      </c>
      <c r="B927" s="58">
        <f>15.7699 * CHOOSE(CONTROL!$C$27, $C$14, 100%, $E$14)</f>
        <v>15.7699</v>
      </c>
      <c r="C927" s="58">
        <f>15.7699 * CHOOSE(CONTROL!$C$27, $C$14, 100%, $E$14)</f>
        <v>15.7699</v>
      </c>
      <c r="D927" s="58">
        <f>15.7739 * CHOOSE(CONTROL!$C$27, $C$14, 100%, $E$14)</f>
        <v>15.773899999999999</v>
      </c>
      <c r="E927" s="59">
        <f>17.8071 * CHOOSE(CONTROL!$C$27, $C$14, 100%, $E$14)</f>
        <v>17.807099999999998</v>
      </c>
      <c r="F927" s="59">
        <f>17.8071 * CHOOSE(CONTROL!$C$27, $C$14, 100%, $E$14)</f>
        <v>17.807099999999998</v>
      </c>
      <c r="G927" s="59">
        <f>17.812 * CHOOSE(CONTROL!$C$27, $C$14, 100%, $E$14)</f>
        <v>17.812000000000001</v>
      </c>
      <c r="H927" s="59">
        <f>33.2093* CHOOSE(CONTROL!$C$27, $C$14, 100%, $E$14)</f>
        <v>33.209299999999999</v>
      </c>
      <c r="I927" s="59">
        <f>33.2142 * CHOOSE(CONTROL!$C$27, $C$14, 100%, $E$14)</f>
        <v>33.214199999999998</v>
      </c>
      <c r="J927" s="59">
        <f>33.2093 * CHOOSE(CONTROL!$C$27, $C$14, 100%, $E$14)</f>
        <v>33.209299999999999</v>
      </c>
      <c r="K927" s="59">
        <f>33.2142 * CHOOSE(CONTROL!$C$27, $C$14, 100%, $E$14)</f>
        <v>33.214199999999998</v>
      </c>
      <c r="L927" s="59">
        <f>17.8071 * CHOOSE(CONTROL!$C$27, $C$14, 100%, $E$14)</f>
        <v>17.807099999999998</v>
      </c>
      <c r="M927" s="59">
        <f>17.812 * CHOOSE(CONTROL!$C$27, $C$14, 100%, $E$14)</f>
        <v>17.812000000000001</v>
      </c>
      <c r="N927" s="59">
        <f>17.8071 * CHOOSE(CONTROL!$C$27, $C$14, 100%, $E$14)</f>
        <v>17.807099999999998</v>
      </c>
      <c r="O927" s="59">
        <f>17.812 * CHOOSE(CONTROL!$C$27, $C$14, 100%, $E$14)</f>
        <v>17.812000000000001</v>
      </c>
    </row>
    <row r="928" spans="1:15" ht="15">
      <c r="A928" s="11">
        <v>69338</v>
      </c>
      <c r="B928" s="58">
        <f>15.773 * CHOOSE(CONTROL!$C$27, $C$14, 100%, $E$14)</f>
        <v>15.773</v>
      </c>
      <c r="C928" s="58">
        <f>15.773 * CHOOSE(CONTROL!$C$27, $C$14, 100%, $E$14)</f>
        <v>15.773</v>
      </c>
      <c r="D928" s="58">
        <f>15.777 * CHOOSE(CONTROL!$C$27, $C$14, 100%, $E$14)</f>
        <v>15.776999999999999</v>
      </c>
      <c r="E928" s="59">
        <f>17.8758 * CHOOSE(CONTROL!$C$27, $C$14, 100%, $E$14)</f>
        <v>17.875800000000002</v>
      </c>
      <c r="F928" s="59">
        <f>17.8758 * CHOOSE(CONTROL!$C$27, $C$14, 100%, $E$14)</f>
        <v>17.875800000000002</v>
      </c>
      <c r="G928" s="59">
        <f>17.8807 * CHOOSE(CONTROL!$C$27, $C$14, 100%, $E$14)</f>
        <v>17.880700000000001</v>
      </c>
      <c r="H928" s="59">
        <f>33.2784* CHOOSE(CONTROL!$C$27, $C$14, 100%, $E$14)</f>
        <v>33.278399999999998</v>
      </c>
      <c r="I928" s="59">
        <f>33.2834 * CHOOSE(CONTROL!$C$27, $C$14, 100%, $E$14)</f>
        <v>33.2834</v>
      </c>
      <c r="J928" s="59">
        <f>33.2784 * CHOOSE(CONTROL!$C$27, $C$14, 100%, $E$14)</f>
        <v>33.278399999999998</v>
      </c>
      <c r="K928" s="59">
        <f>33.2834 * CHOOSE(CONTROL!$C$27, $C$14, 100%, $E$14)</f>
        <v>33.2834</v>
      </c>
      <c r="L928" s="59">
        <f>17.8758 * CHOOSE(CONTROL!$C$27, $C$14, 100%, $E$14)</f>
        <v>17.875800000000002</v>
      </c>
      <c r="M928" s="59">
        <f>17.8807 * CHOOSE(CONTROL!$C$27, $C$14, 100%, $E$14)</f>
        <v>17.880700000000001</v>
      </c>
      <c r="N928" s="59">
        <f>17.8758 * CHOOSE(CONTROL!$C$27, $C$14, 100%, $E$14)</f>
        <v>17.875800000000002</v>
      </c>
      <c r="O928" s="59">
        <f>17.8807 * CHOOSE(CONTROL!$C$27, $C$14, 100%, $E$14)</f>
        <v>17.880700000000001</v>
      </c>
    </row>
    <row r="929" spans="1:15" ht="15">
      <c r="A929" s="11">
        <v>69368</v>
      </c>
      <c r="B929" s="58">
        <f>15.773 * CHOOSE(CONTROL!$C$27, $C$14, 100%, $E$14)</f>
        <v>15.773</v>
      </c>
      <c r="C929" s="58">
        <f>15.773 * CHOOSE(CONTROL!$C$27, $C$14, 100%, $E$14)</f>
        <v>15.773</v>
      </c>
      <c r="D929" s="58">
        <f>15.777 * CHOOSE(CONTROL!$C$27, $C$14, 100%, $E$14)</f>
        <v>15.776999999999999</v>
      </c>
      <c r="E929" s="59">
        <f>17.7095 * CHOOSE(CONTROL!$C$27, $C$14, 100%, $E$14)</f>
        <v>17.709499999999998</v>
      </c>
      <c r="F929" s="59">
        <f>17.7095 * CHOOSE(CONTROL!$C$27, $C$14, 100%, $E$14)</f>
        <v>17.709499999999998</v>
      </c>
      <c r="G929" s="59">
        <f>17.7144 * CHOOSE(CONTROL!$C$27, $C$14, 100%, $E$14)</f>
        <v>17.714400000000001</v>
      </c>
      <c r="H929" s="59">
        <f>33.3478* CHOOSE(CONTROL!$C$27, $C$14, 100%, $E$14)</f>
        <v>33.347799999999999</v>
      </c>
      <c r="I929" s="59">
        <f>33.3527 * CHOOSE(CONTROL!$C$27, $C$14, 100%, $E$14)</f>
        <v>33.352699999999999</v>
      </c>
      <c r="J929" s="59">
        <f>33.3478 * CHOOSE(CONTROL!$C$27, $C$14, 100%, $E$14)</f>
        <v>33.347799999999999</v>
      </c>
      <c r="K929" s="59">
        <f>33.3527 * CHOOSE(CONTROL!$C$27, $C$14, 100%, $E$14)</f>
        <v>33.352699999999999</v>
      </c>
      <c r="L929" s="59">
        <f>17.7095 * CHOOSE(CONTROL!$C$27, $C$14, 100%, $E$14)</f>
        <v>17.709499999999998</v>
      </c>
      <c r="M929" s="59">
        <f>17.7144 * CHOOSE(CONTROL!$C$27, $C$14, 100%, $E$14)</f>
        <v>17.714400000000001</v>
      </c>
      <c r="N929" s="59">
        <f>17.7095 * CHOOSE(CONTROL!$C$27, $C$14, 100%, $E$14)</f>
        <v>17.709499999999998</v>
      </c>
      <c r="O929" s="59">
        <f>17.7144 * CHOOSE(CONTROL!$C$27, $C$14, 100%, $E$14)</f>
        <v>17.714400000000001</v>
      </c>
    </row>
    <row r="930" spans="1:15" ht="15">
      <c r="A930" s="11">
        <v>69399</v>
      </c>
      <c r="B930" s="58">
        <f>15.7277 * CHOOSE(CONTROL!$C$27, $C$14, 100%, $E$14)</f>
        <v>15.7277</v>
      </c>
      <c r="C930" s="58">
        <f>15.7277 * CHOOSE(CONTROL!$C$27, $C$14, 100%, $E$14)</f>
        <v>15.7277</v>
      </c>
      <c r="D930" s="58">
        <f>15.7317 * CHOOSE(CONTROL!$C$27, $C$14, 100%, $E$14)</f>
        <v>15.7317</v>
      </c>
      <c r="E930" s="59">
        <f>17.796 * CHOOSE(CONTROL!$C$27, $C$14, 100%, $E$14)</f>
        <v>17.795999999999999</v>
      </c>
      <c r="F930" s="59">
        <f>17.796 * CHOOSE(CONTROL!$C$27, $C$14, 100%, $E$14)</f>
        <v>17.795999999999999</v>
      </c>
      <c r="G930" s="59">
        <f>17.801 * CHOOSE(CONTROL!$C$27, $C$14, 100%, $E$14)</f>
        <v>17.800999999999998</v>
      </c>
      <c r="H930" s="59">
        <f>33.0756* CHOOSE(CONTROL!$C$27, $C$14, 100%, $E$14)</f>
        <v>33.075600000000001</v>
      </c>
      <c r="I930" s="59">
        <f>33.0805 * CHOOSE(CONTROL!$C$27, $C$14, 100%, $E$14)</f>
        <v>33.080500000000001</v>
      </c>
      <c r="J930" s="59">
        <f>33.0756 * CHOOSE(CONTROL!$C$27, $C$14, 100%, $E$14)</f>
        <v>33.075600000000001</v>
      </c>
      <c r="K930" s="59">
        <f>33.0805 * CHOOSE(CONTROL!$C$27, $C$14, 100%, $E$14)</f>
        <v>33.080500000000001</v>
      </c>
      <c r="L930" s="59">
        <f>17.796 * CHOOSE(CONTROL!$C$27, $C$14, 100%, $E$14)</f>
        <v>17.795999999999999</v>
      </c>
      <c r="M930" s="59">
        <f>17.801 * CHOOSE(CONTROL!$C$27, $C$14, 100%, $E$14)</f>
        <v>17.800999999999998</v>
      </c>
      <c r="N930" s="59">
        <f>17.796 * CHOOSE(CONTROL!$C$27, $C$14, 100%, $E$14)</f>
        <v>17.795999999999999</v>
      </c>
      <c r="O930" s="59">
        <f>17.801 * CHOOSE(CONTROL!$C$27, $C$14, 100%, $E$14)</f>
        <v>17.800999999999998</v>
      </c>
    </row>
    <row r="931" spans="1:15" ht="15">
      <c r="A931" s="11">
        <v>69430</v>
      </c>
      <c r="B931" s="58">
        <f>15.7247 * CHOOSE(CONTROL!$C$27, $C$14, 100%, $E$14)</f>
        <v>15.7247</v>
      </c>
      <c r="C931" s="58">
        <f>15.7247 * CHOOSE(CONTROL!$C$27, $C$14, 100%, $E$14)</f>
        <v>15.7247</v>
      </c>
      <c r="D931" s="58">
        <f>15.7287 * CHOOSE(CONTROL!$C$27, $C$14, 100%, $E$14)</f>
        <v>15.7287</v>
      </c>
      <c r="E931" s="59">
        <f>17.4747 * CHOOSE(CONTROL!$C$27, $C$14, 100%, $E$14)</f>
        <v>17.474699999999999</v>
      </c>
      <c r="F931" s="59">
        <f>17.4747 * CHOOSE(CONTROL!$C$27, $C$14, 100%, $E$14)</f>
        <v>17.474699999999999</v>
      </c>
      <c r="G931" s="59">
        <f>17.4797 * CHOOSE(CONTROL!$C$27, $C$14, 100%, $E$14)</f>
        <v>17.479700000000001</v>
      </c>
      <c r="H931" s="59">
        <f>33.1445* CHOOSE(CONTROL!$C$27, $C$14, 100%, $E$14)</f>
        <v>33.144500000000001</v>
      </c>
      <c r="I931" s="59">
        <f>33.1494 * CHOOSE(CONTROL!$C$27, $C$14, 100%, $E$14)</f>
        <v>33.1494</v>
      </c>
      <c r="J931" s="59">
        <f>33.1445 * CHOOSE(CONTROL!$C$27, $C$14, 100%, $E$14)</f>
        <v>33.144500000000001</v>
      </c>
      <c r="K931" s="59">
        <f>33.1494 * CHOOSE(CONTROL!$C$27, $C$14, 100%, $E$14)</f>
        <v>33.1494</v>
      </c>
      <c r="L931" s="59">
        <f>17.4747 * CHOOSE(CONTROL!$C$27, $C$14, 100%, $E$14)</f>
        <v>17.474699999999999</v>
      </c>
      <c r="M931" s="59">
        <f>17.4797 * CHOOSE(CONTROL!$C$27, $C$14, 100%, $E$14)</f>
        <v>17.479700000000001</v>
      </c>
      <c r="N931" s="59">
        <f>17.4747 * CHOOSE(CONTROL!$C$27, $C$14, 100%, $E$14)</f>
        <v>17.474699999999999</v>
      </c>
      <c r="O931" s="59">
        <f>17.4797 * CHOOSE(CONTROL!$C$27, $C$14, 100%, $E$14)</f>
        <v>17.479700000000001</v>
      </c>
    </row>
    <row r="932" spans="1:15" ht="15">
      <c r="A932" s="11">
        <v>69458</v>
      </c>
      <c r="B932" s="58">
        <f>15.7217 * CHOOSE(CONTROL!$C$27, $C$14, 100%, $E$14)</f>
        <v>15.7217</v>
      </c>
      <c r="C932" s="58">
        <f>15.7217 * CHOOSE(CONTROL!$C$27, $C$14, 100%, $E$14)</f>
        <v>15.7217</v>
      </c>
      <c r="D932" s="58">
        <f>15.7256 * CHOOSE(CONTROL!$C$27, $C$14, 100%, $E$14)</f>
        <v>15.7256</v>
      </c>
      <c r="E932" s="59">
        <f>17.7242 * CHOOSE(CONTROL!$C$27, $C$14, 100%, $E$14)</f>
        <v>17.7242</v>
      </c>
      <c r="F932" s="59">
        <f>17.7242 * CHOOSE(CONTROL!$C$27, $C$14, 100%, $E$14)</f>
        <v>17.7242</v>
      </c>
      <c r="G932" s="59">
        <f>17.7292 * CHOOSE(CONTROL!$C$27, $C$14, 100%, $E$14)</f>
        <v>17.729199999999999</v>
      </c>
      <c r="H932" s="59">
        <f>33.2135* CHOOSE(CONTROL!$C$27, $C$14, 100%, $E$14)</f>
        <v>33.213500000000003</v>
      </c>
      <c r="I932" s="59">
        <f>33.2184 * CHOOSE(CONTROL!$C$27, $C$14, 100%, $E$14)</f>
        <v>33.218400000000003</v>
      </c>
      <c r="J932" s="59">
        <f>33.2135 * CHOOSE(CONTROL!$C$27, $C$14, 100%, $E$14)</f>
        <v>33.213500000000003</v>
      </c>
      <c r="K932" s="59">
        <f>33.2184 * CHOOSE(CONTROL!$C$27, $C$14, 100%, $E$14)</f>
        <v>33.218400000000003</v>
      </c>
      <c r="L932" s="59">
        <f>17.7242 * CHOOSE(CONTROL!$C$27, $C$14, 100%, $E$14)</f>
        <v>17.7242</v>
      </c>
      <c r="M932" s="59">
        <f>17.7292 * CHOOSE(CONTROL!$C$27, $C$14, 100%, $E$14)</f>
        <v>17.729199999999999</v>
      </c>
      <c r="N932" s="59">
        <f>17.7242 * CHOOSE(CONTROL!$C$27, $C$14, 100%, $E$14)</f>
        <v>17.7242</v>
      </c>
      <c r="O932" s="59">
        <f>17.7292 * CHOOSE(CONTROL!$C$27, $C$14, 100%, $E$14)</f>
        <v>17.729199999999999</v>
      </c>
    </row>
    <row r="933" spans="1:15" ht="15">
      <c r="A933" s="11">
        <v>69489</v>
      </c>
      <c r="B933" s="58">
        <f>15.7291 * CHOOSE(CONTROL!$C$27, $C$14, 100%, $E$14)</f>
        <v>15.729100000000001</v>
      </c>
      <c r="C933" s="58">
        <f>15.7291 * CHOOSE(CONTROL!$C$27, $C$14, 100%, $E$14)</f>
        <v>15.729100000000001</v>
      </c>
      <c r="D933" s="58">
        <f>15.7331 * CHOOSE(CONTROL!$C$27, $C$14, 100%, $E$14)</f>
        <v>15.7331</v>
      </c>
      <c r="E933" s="59">
        <f>17.9902 * CHOOSE(CONTROL!$C$27, $C$14, 100%, $E$14)</f>
        <v>17.990200000000002</v>
      </c>
      <c r="F933" s="59">
        <f>17.9902 * CHOOSE(CONTROL!$C$27, $C$14, 100%, $E$14)</f>
        <v>17.990200000000002</v>
      </c>
      <c r="G933" s="59">
        <f>17.9951 * CHOOSE(CONTROL!$C$27, $C$14, 100%, $E$14)</f>
        <v>17.995100000000001</v>
      </c>
      <c r="H933" s="59">
        <f>33.2827* CHOOSE(CONTROL!$C$27, $C$14, 100%, $E$14)</f>
        <v>33.282699999999998</v>
      </c>
      <c r="I933" s="59">
        <f>33.2876 * CHOOSE(CONTROL!$C$27, $C$14, 100%, $E$14)</f>
        <v>33.287599999999998</v>
      </c>
      <c r="J933" s="59">
        <f>33.2827 * CHOOSE(CONTROL!$C$27, $C$14, 100%, $E$14)</f>
        <v>33.282699999999998</v>
      </c>
      <c r="K933" s="59">
        <f>33.2876 * CHOOSE(CONTROL!$C$27, $C$14, 100%, $E$14)</f>
        <v>33.287599999999998</v>
      </c>
      <c r="L933" s="59">
        <f>17.9902 * CHOOSE(CONTROL!$C$27, $C$14, 100%, $E$14)</f>
        <v>17.990200000000002</v>
      </c>
      <c r="M933" s="59">
        <f>17.9951 * CHOOSE(CONTROL!$C$27, $C$14, 100%, $E$14)</f>
        <v>17.995100000000001</v>
      </c>
      <c r="N933" s="59">
        <f>17.9902 * CHOOSE(CONTROL!$C$27, $C$14, 100%, $E$14)</f>
        <v>17.990200000000002</v>
      </c>
      <c r="O933" s="59">
        <f>17.9951 * CHOOSE(CONTROL!$C$27, $C$14, 100%, $E$14)</f>
        <v>17.995100000000001</v>
      </c>
    </row>
    <row r="934" spans="1:15" ht="15">
      <c r="A934" s="11">
        <v>69519</v>
      </c>
      <c r="B934" s="58">
        <f>15.7291 * CHOOSE(CONTROL!$C$27, $C$14, 100%, $E$14)</f>
        <v>15.729100000000001</v>
      </c>
      <c r="C934" s="58">
        <f>15.7291 * CHOOSE(CONTROL!$C$27, $C$14, 100%, $E$14)</f>
        <v>15.729100000000001</v>
      </c>
      <c r="D934" s="58">
        <f>15.7347 * CHOOSE(CONTROL!$C$27, $C$14, 100%, $E$14)</f>
        <v>15.7347</v>
      </c>
      <c r="E934" s="59">
        <f>18.0916 * CHOOSE(CONTROL!$C$27, $C$14, 100%, $E$14)</f>
        <v>18.0916</v>
      </c>
      <c r="F934" s="59">
        <f>18.0916 * CHOOSE(CONTROL!$C$27, $C$14, 100%, $E$14)</f>
        <v>18.0916</v>
      </c>
      <c r="G934" s="59">
        <f>18.0984 * CHOOSE(CONTROL!$C$27, $C$14, 100%, $E$14)</f>
        <v>18.098400000000002</v>
      </c>
      <c r="H934" s="59">
        <f>33.3521* CHOOSE(CONTROL!$C$27, $C$14, 100%, $E$14)</f>
        <v>33.3521</v>
      </c>
      <c r="I934" s="59">
        <f>33.359 * CHOOSE(CONTROL!$C$27, $C$14, 100%, $E$14)</f>
        <v>33.359000000000002</v>
      </c>
      <c r="J934" s="59">
        <f>33.3521 * CHOOSE(CONTROL!$C$27, $C$14, 100%, $E$14)</f>
        <v>33.3521</v>
      </c>
      <c r="K934" s="59">
        <f>33.359 * CHOOSE(CONTROL!$C$27, $C$14, 100%, $E$14)</f>
        <v>33.359000000000002</v>
      </c>
      <c r="L934" s="59">
        <f>18.0916 * CHOOSE(CONTROL!$C$27, $C$14, 100%, $E$14)</f>
        <v>18.0916</v>
      </c>
      <c r="M934" s="59">
        <f>18.0984 * CHOOSE(CONTROL!$C$27, $C$14, 100%, $E$14)</f>
        <v>18.098400000000002</v>
      </c>
      <c r="N934" s="59">
        <f>18.0916 * CHOOSE(CONTROL!$C$27, $C$14, 100%, $E$14)</f>
        <v>18.0916</v>
      </c>
      <c r="O934" s="59">
        <f>18.0984 * CHOOSE(CONTROL!$C$27, $C$14, 100%, $E$14)</f>
        <v>18.098400000000002</v>
      </c>
    </row>
    <row r="935" spans="1:15" ht="15">
      <c r="A935" s="11">
        <v>69550</v>
      </c>
      <c r="B935" s="58">
        <f>15.7352 * CHOOSE(CONTROL!$C$27, $C$14, 100%, $E$14)</f>
        <v>15.735200000000001</v>
      </c>
      <c r="C935" s="58">
        <f>15.7352 * CHOOSE(CONTROL!$C$27, $C$14, 100%, $E$14)</f>
        <v>15.735200000000001</v>
      </c>
      <c r="D935" s="58">
        <f>15.7408 * CHOOSE(CONTROL!$C$27, $C$14, 100%, $E$14)</f>
        <v>15.7408</v>
      </c>
      <c r="E935" s="59">
        <f>17.9945 * CHOOSE(CONTROL!$C$27, $C$14, 100%, $E$14)</f>
        <v>17.994499999999999</v>
      </c>
      <c r="F935" s="59">
        <f>17.9945 * CHOOSE(CONTROL!$C$27, $C$14, 100%, $E$14)</f>
        <v>17.994499999999999</v>
      </c>
      <c r="G935" s="59">
        <f>18.0014 * CHOOSE(CONTROL!$C$27, $C$14, 100%, $E$14)</f>
        <v>18.0014</v>
      </c>
      <c r="H935" s="59">
        <f>33.4215* CHOOSE(CONTROL!$C$27, $C$14, 100%, $E$14)</f>
        <v>33.421500000000002</v>
      </c>
      <c r="I935" s="59">
        <f>33.4284 * CHOOSE(CONTROL!$C$27, $C$14, 100%, $E$14)</f>
        <v>33.428400000000003</v>
      </c>
      <c r="J935" s="59">
        <f>33.4215 * CHOOSE(CONTROL!$C$27, $C$14, 100%, $E$14)</f>
        <v>33.421500000000002</v>
      </c>
      <c r="K935" s="59">
        <f>33.4284 * CHOOSE(CONTROL!$C$27, $C$14, 100%, $E$14)</f>
        <v>33.428400000000003</v>
      </c>
      <c r="L935" s="59">
        <f>17.9945 * CHOOSE(CONTROL!$C$27, $C$14, 100%, $E$14)</f>
        <v>17.994499999999999</v>
      </c>
      <c r="M935" s="59">
        <f>18.0014 * CHOOSE(CONTROL!$C$27, $C$14, 100%, $E$14)</f>
        <v>18.0014</v>
      </c>
      <c r="N935" s="59">
        <f>17.9945 * CHOOSE(CONTROL!$C$27, $C$14, 100%, $E$14)</f>
        <v>17.994499999999999</v>
      </c>
      <c r="O935" s="59">
        <f>18.0014 * CHOOSE(CONTROL!$C$27, $C$14, 100%, $E$14)</f>
        <v>18.0014</v>
      </c>
    </row>
    <row r="936" spans="1:15" ht="15">
      <c r="A936" s="11">
        <v>69580</v>
      </c>
      <c r="B936" s="58">
        <f>15.9727 * CHOOSE(CONTROL!$C$27, $C$14, 100%, $E$14)</f>
        <v>15.9727</v>
      </c>
      <c r="C936" s="58">
        <f>15.9727 * CHOOSE(CONTROL!$C$27, $C$14, 100%, $E$14)</f>
        <v>15.9727</v>
      </c>
      <c r="D936" s="58">
        <f>15.9783 * CHOOSE(CONTROL!$C$27, $C$14, 100%, $E$14)</f>
        <v>15.978300000000001</v>
      </c>
      <c r="E936" s="59">
        <f>18.2793 * CHOOSE(CONTROL!$C$27, $C$14, 100%, $E$14)</f>
        <v>18.279299999999999</v>
      </c>
      <c r="F936" s="59">
        <f>18.2793 * CHOOSE(CONTROL!$C$27, $C$14, 100%, $E$14)</f>
        <v>18.279299999999999</v>
      </c>
      <c r="G936" s="59">
        <f>18.2862 * CHOOSE(CONTROL!$C$27, $C$14, 100%, $E$14)</f>
        <v>18.286200000000001</v>
      </c>
      <c r="H936" s="59">
        <f>33.4912* CHOOSE(CONTROL!$C$27, $C$14, 100%, $E$14)</f>
        <v>33.491199999999999</v>
      </c>
      <c r="I936" s="59">
        <f>33.4981 * CHOOSE(CONTROL!$C$27, $C$14, 100%, $E$14)</f>
        <v>33.498100000000001</v>
      </c>
      <c r="J936" s="59">
        <f>33.4912 * CHOOSE(CONTROL!$C$27, $C$14, 100%, $E$14)</f>
        <v>33.491199999999999</v>
      </c>
      <c r="K936" s="59">
        <f>33.4981 * CHOOSE(CONTROL!$C$27, $C$14, 100%, $E$14)</f>
        <v>33.498100000000001</v>
      </c>
      <c r="L936" s="59">
        <f>18.2793 * CHOOSE(CONTROL!$C$27, $C$14, 100%, $E$14)</f>
        <v>18.279299999999999</v>
      </c>
      <c r="M936" s="59">
        <f>18.2862 * CHOOSE(CONTROL!$C$27, $C$14, 100%, $E$14)</f>
        <v>18.286200000000001</v>
      </c>
      <c r="N936" s="59">
        <f>18.2793 * CHOOSE(CONTROL!$C$27, $C$14, 100%, $E$14)</f>
        <v>18.279299999999999</v>
      </c>
      <c r="O936" s="59">
        <f>18.2862 * CHOOSE(CONTROL!$C$27, $C$14, 100%, $E$14)</f>
        <v>18.286200000000001</v>
      </c>
    </row>
    <row r="937" spans="1:15" ht="15">
      <c r="A937" s="11">
        <v>69611</v>
      </c>
      <c r="B937" s="58">
        <f>15.9794 * CHOOSE(CONTROL!$C$27, $C$14, 100%, $E$14)</f>
        <v>15.9794</v>
      </c>
      <c r="C937" s="58">
        <f>15.9794 * CHOOSE(CONTROL!$C$27, $C$14, 100%, $E$14)</f>
        <v>15.9794</v>
      </c>
      <c r="D937" s="58">
        <f>15.985 * CHOOSE(CONTROL!$C$27, $C$14, 100%, $E$14)</f>
        <v>15.984999999999999</v>
      </c>
      <c r="E937" s="59">
        <f>17.98 * CHOOSE(CONTROL!$C$27, $C$14, 100%, $E$14)</f>
        <v>17.98</v>
      </c>
      <c r="F937" s="59">
        <f>17.98 * CHOOSE(CONTROL!$C$27, $C$14, 100%, $E$14)</f>
        <v>17.98</v>
      </c>
      <c r="G937" s="59">
        <f>17.9869 * CHOOSE(CONTROL!$C$27, $C$14, 100%, $E$14)</f>
        <v>17.986899999999999</v>
      </c>
      <c r="H937" s="59">
        <f>33.5609* CHOOSE(CONTROL!$C$27, $C$14, 100%, $E$14)</f>
        <v>33.560899999999997</v>
      </c>
      <c r="I937" s="59">
        <f>33.5678 * CHOOSE(CONTROL!$C$27, $C$14, 100%, $E$14)</f>
        <v>33.567799999999998</v>
      </c>
      <c r="J937" s="59">
        <f>33.5609 * CHOOSE(CONTROL!$C$27, $C$14, 100%, $E$14)</f>
        <v>33.560899999999997</v>
      </c>
      <c r="K937" s="59">
        <f>33.5678 * CHOOSE(CONTROL!$C$27, $C$14, 100%, $E$14)</f>
        <v>33.567799999999998</v>
      </c>
      <c r="L937" s="59">
        <f>17.98 * CHOOSE(CONTROL!$C$27, $C$14, 100%, $E$14)</f>
        <v>17.98</v>
      </c>
      <c r="M937" s="59">
        <f>17.9869 * CHOOSE(CONTROL!$C$27, $C$14, 100%, $E$14)</f>
        <v>17.986899999999999</v>
      </c>
      <c r="N937" s="59">
        <f>17.98 * CHOOSE(CONTROL!$C$27, $C$14, 100%, $E$14)</f>
        <v>17.98</v>
      </c>
      <c r="O937" s="59">
        <f>17.9869 * CHOOSE(CONTROL!$C$27, $C$14, 100%, $E$14)</f>
        <v>17.986899999999999</v>
      </c>
    </row>
    <row r="938" spans="1:15" ht="15">
      <c r="A938" s="11">
        <v>69642</v>
      </c>
      <c r="B938" s="58">
        <f>15.9763 * CHOOSE(CONTROL!$C$27, $C$14, 100%, $E$14)</f>
        <v>15.9763</v>
      </c>
      <c r="C938" s="58">
        <f>15.9763 * CHOOSE(CONTROL!$C$27, $C$14, 100%, $E$14)</f>
        <v>15.9763</v>
      </c>
      <c r="D938" s="58">
        <f>15.982 * CHOOSE(CONTROL!$C$27, $C$14, 100%, $E$14)</f>
        <v>15.981999999999999</v>
      </c>
      <c r="E938" s="59">
        <f>17.9441 * CHOOSE(CONTROL!$C$27, $C$14, 100%, $E$14)</f>
        <v>17.944099999999999</v>
      </c>
      <c r="F938" s="59">
        <f>17.9441 * CHOOSE(CONTROL!$C$27, $C$14, 100%, $E$14)</f>
        <v>17.944099999999999</v>
      </c>
      <c r="G938" s="59">
        <f>17.951 * CHOOSE(CONTROL!$C$27, $C$14, 100%, $E$14)</f>
        <v>17.951000000000001</v>
      </c>
      <c r="H938" s="59">
        <f>33.6309* CHOOSE(CONTROL!$C$27, $C$14, 100%, $E$14)</f>
        <v>33.630899999999997</v>
      </c>
      <c r="I938" s="59">
        <f>33.6378 * CHOOSE(CONTROL!$C$27, $C$14, 100%, $E$14)</f>
        <v>33.637799999999999</v>
      </c>
      <c r="J938" s="59">
        <f>33.6309 * CHOOSE(CONTROL!$C$27, $C$14, 100%, $E$14)</f>
        <v>33.630899999999997</v>
      </c>
      <c r="K938" s="59">
        <f>33.6378 * CHOOSE(CONTROL!$C$27, $C$14, 100%, $E$14)</f>
        <v>33.637799999999999</v>
      </c>
      <c r="L938" s="59">
        <f>17.9441 * CHOOSE(CONTROL!$C$27, $C$14, 100%, $E$14)</f>
        <v>17.944099999999999</v>
      </c>
      <c r="M938" s="59">
        <f>17.951 * CHOOSE(CONTROL!$C$27, $C$14, 100%, $E$14)</f>
        <v>17.951000000000001</v>
      </c>
      <c r="N938" s="59">
        <f>17.9441 * CHOOSE(CONTROL!$C$27, $C$14, 100%, $E$14)</f>
        <v>17.944099999999999</v>
      </c>
      <c r="O938" s="59">
        <f>17.951 * CHOOSE(CONTROL!$C$27, $C$14, 100%, $E$14)</f>
        <v>17.951000000000001</v>
      </c>
    </row>
    <row r="939" spans="1:15" ht="15">
      <c r="A939" s="11">
        <v>69672</v>
      </c>
      <c r="B939" s="58">
        <f>16.0099 * CHOOSE(CONTROL!$C$27, $C$14, 100%, $E$14)</f>
        <v>16.009899999999998</v>
      </c>
      <c r="C939" s="58">
        <f>16.0099 * CHOOSE(CONTROL!$C$27, $C$14, 100%, $E$14)</f>
        <v>16.009899999999998</v>
      </c>
      <c r="D939" s="58">
        <f>16.0139 * CHOOSE(CONTROL!$C$27, $C$14, 100%, $E$14)</f>
        <v>16.0139</v>
      </c>
      <c r="E939" s="59">
        <f>18.0658 * CHOOSE(CONTROL!$C$27, $C$14, 100%, $E$14)</f>
        <v>18.065799999999999</v>
      </c>
      <c r="F939" s="59">
        <f>18.0658 * CHOOSE(CONTROL!$C$27, $C$14, 100%, $E$14)</f>
        <v>18.065799999999999</v>
      </c>
      <c r="G939" s="59">
        <f>18.0707 * CHOOSE(CONTROL!$C$27, $C$14, 100%, $E$14)</f>
        <v>18.070699999999999</v>
      </c>
      <c r="H939" s="59">
        <f>33.7009* CHOOSE(CONTROL!$C$27, $C$14, 100%, $E$14)</f>
        <v>33.700899999999997</v>
      </c>
      <c r="I939" s="59">
        <f>33.7058 * CHOOSE(CONTROL!$C$27, $C$14, 100%, $E$14)</f>
        <v>33.705800000000004</v>
      </c>
      <c r="J939" s="59">
        <f>33.7009 * CHOOSE(CONTROL!$C$27, $C$14, 100%, $E$14)</f>
        <v>33.700899999999997</v>
      </c>
      <c r="K939" s="59">
        <f>33.7058 * CHOOSE(CONTROL!$C$27, $C$14, 100%, $E$14)</f>
        <v>33.705800000000004</v>
      </c>
      <c r="L939" s="59">
        <f>18.0658 * CHOOSE(CONTROL!$C$27, $C$14, 100%, $E$14)</f>
        <v>18.065799999999999</v>
      </c>
      <c r="M939" s="59">
        <f>18.0707 * CHOOSE(CONTROL!$C$27, $C$14, 100%, $E$14)</f>
        <v>18.070699999999999</v>
      </c>
      <c r="N939" s="59">
        <f>18.0658 * CHOOSE(CONTROL!$C$27, $C$14, 100%, $E$14)</f>
        <v>18.065799999999999</v>
      </c>
      <c r="O939" s="59">
        <f>18.0707 * CHOOSE(CONTROL!$C$27, $C$14, 100%, $E$14)</f>
        <v>18.070699999999999</v>
      </c>
    </row>
    <row r="940" spans="1:15" ht="15">
      <c r="A940" s="11">
        <v>69703</v>
      </c>
      <c r="B940" s="58">
        <f>16.0129 * CHOOSE(CONTROL!$C$27, $C$14, 100%, $E$14)</f>
        <v>16.012899999999998</v>
      </c>
      <c r="C940" s="58">
        <f>16.0129 * CHOOSE(CONTROL!$C$27, $C$14, 100%, $E$14)</f>
        <v>16.012899999999998</v>
      </c>
      <c r="D940" s="58">
        <f>16.0169 * CHOOSE(CONTROL!$C$27, $C$14, 100%, $E$14)</f>
        <v>16.0169</v>
      </c>
      <c r="E940" s="59">
        <f>18.1354 * CHOOSE(CONTROL!$C$27, $C$14, 100%, $E$14)</f>
        <v>18.135400000000001</v>
      </c>
      <c r="F940" s="59">
        <f>18.1354 * CHOOSE(CONTROL!$C$27, $C$14, 100%, $E$14)</f>
        <v>18.135400000000001</v>
      </c>
      <c r="G940" s="59">
        <f>18.1404 * CHOOSE(CONTROL!$C$27, $C$14, 100%, $E$14)</f>
        <v>18.1404</v>
      </c>
      <c r="H940" s="59">
        <f>33.7711* CHOOSE(CONTROL!$C$27, $C$14, 100%, $E$14)</f>
        <v>33.771099999999997</v>
      </c>
      <c r="I940" s="59">
        <f>33.7761 * CHOOSE(CONTROL!$C$27, $C$14, 100%, $E$14)</f>
        <v>33.7761</v>
      </c>
      <c r="J940" s="59">
        <f>33.7711 * CHOOSE(CONTROL!$C$27, $C$14, 100%, $E$14)</f>
        <v>33.771099999999997</v>
      </c>
      <c r="K940" s="59">
        <f>33.7761 * CHOOSE(CONTROL!$C$27, $C$14, 100%, $E$14)</f>
        <v>33.7761</v>
      </c>
      <c r="L940" s="59">
        <f>18.1354 * CHOOSE(CONTROL!$C$27, $C$14, 100%, $E$14)</f>
        <v>18.135400000000001</v>
      </c>
      <c r="M940" s="59">
        <f>18.1404 * CHOOSE(CONTROL!$C$27, $C$14, 100%, $E$14)</f>
        <v>18.1404</v>
      </c>
      <c r="N940" s="59">
        <f>18.1354 * CHOOSE(CONTROL!$C$27, $C$14, 100%, $E$14)</f>
        <v>18.135400000000001</v>
      </c>
      <c r="O940" s="59">
        <f>18.1404 * CHOOSE(CONTROL!$C$27, $C$14, 100%, $E$14)</f>
        <v>18.1404</v>
      </c>
    </row>
    <row r="941" spans="1:15" ht="15">
      <c r="A941" s="11">
        <v>69733</v>
      </c>
      <c r="B941" s="58">
        <f>16.0129 * CHOOSE(CONTROL!$C$27, $C$14, 100%, $E$14)</f>
        <v>16.012899999999998</v>
      </c>
      <c r="C941" s="58">
        <f>16.0129 * CHOOSE(CONTROL!$C$27, $C$14, 100%, $E$14)</f>
        <v>16.012899999999998</v>
      </c>
      <c r="D941" s="58">
        <f>16.0169 * CHOOSE(CONTROL!$C$27, $C$14, 100%, $E$14)</f>
        <v>16.0169</v>
      </c>
      <c r="E941" s="59">
        <f>17.9666 * CHOOSE(CONTROL!$C$27, $C$14, 100%, $E$14)</f>
        <v>17.9666</v>
      </c>
      <c r="F941" s="59">
        <f>17.9666 * CHOOSE(CONTROL!$C$27, $C$14, 100%, $E$14)</f>
        <v>17.9666</v>
      </c>
      <c r="G941" s="59">
        <f>17.9715 * CHOOSE(CONTROL!$C$27, $C$14, 100%, $E$14)</f>
        <v>17.971499999999999</v>
      </c>
      <c r="H941" s="59">
        <f>33.8415* CHOOSE(CONTROL!$C$27, $C$14, 100%, $E$14)</f>
        <v>33.841500000000003</v>
      </c>
      <c r="I941" s="59">
        <f>33.8464 * CHOOSE(CONTROL!$C$27, $C$14, 100%, $E$14)</f>
        <v>33.846400000000003</v>
      </c>
      <c r="J941" s="59">
        <f>33.8415 * CHOOSE(CONTROL!$C$27, $C$14, 100%, $E$14)</f>
        <v>33.841500000000003</v>
      </c>
      <c r="K941" s="59">
        <f>33.8464 * CHOOSE(CONTROL!$C$27, $C$14, 100%, $E$14)</f>
        <v>33.846400000000003</v>
      </c>
      <c r="L941" s="59">
        <f>17.9666 * CHOOSE(CONTROL!$C$27, $C$14, 100%, $E$14)</f>
        <v>17.9666</v>
      </c>
      <c r="M941" s="59">
        <f>17.9715 * CHOOSE(CONTROL!$C$27, $C$14, 100%, $E$14)</f>
        <v>17.971499999999999</v>
      </c>
      <c r="N941" s="59">
        <f>17.9666 * CHOOSE(CONTROL!$C$27, $C$14, 100%, $E$14)</f>
        <v>17.9666</v>
      </c>
      <c r="O941" s="59">
        <f>17.9715 * CHOOSE(CONTROL!$C$27, $C$14, 100%, $E$14)</f>
        <v>17.971499999999999</v>
      </c>
    </row>
    <row r="942" spans="1:15" ht="15">
      <c r="A942" s="11">
        <v>69764</v>
      </c>
      <c r="B942" s="58">
        <f>15.9633 * CHOOSE(CONTROL!$C$27, $C$14, 100%, $E$14)</f>
        <v>15.9633</v>
      </c>
      <c r="C942" s="58">
        <f>15.9633 * CHOOSE(CONTROL!$C$27, $C$14, 100%, $E$14)</f>
        <v>15.9633</v>
      </c>
      <c r="D942" s="58">
        <f>15.9673 * CHOOSE(CONTROL!$C$27, $C$14, 100%, $E$14)</f>
        <v>15.9673</v>
      </c>
      <c r="E942" s="59">
        <f>18.0508 * CHOOSE(CONTROL!$C$27, $C$14, 100%, $E$14)</f>
        <v>18.050799999999999</v>
      </c>
      <c r="F942" s="59">
        <f>18.0508 * CHOOSE(CONTROL!$C$27, $C$14, 100%, $E$14)</f>
        <v>18.050799999999999</v>
      </c>
      <c r="G942" s="59">
        <f>18.0557 * CHOOSE(CONTROL!$C$27, $C$14, 100%, $E$14)</f>
        <v>18.055700000000002</v>
      </c>
      <c r="H942" s="59">
        <f>33.5581* CHOOSE(CONTROL!$C$27, $C$14, 100%, $E$14)</f>
        <v>33.558100000000003</v>
      </c>
      <c r="I942" s="59">
        <f>33.563 * CHOOSE(CONTROL!$C$27, $C$14, 100%, $E$14)</f>
        <v>33.563000000000002</v>
      </c>
      <c r="J942" s="59">
        <f>33.5581 * CHOOSE(CONTROL!$C$27, $C$14, 100%, $E$14)</f>
        <v>33.558100000000003</v>
      </c>
      <c r="K942" s="59">
        <f>33.563 * CHOOSE(CONTROL!$C$27, $C$14, 100%, $E$14)</f>
        <v>33.563000000000002</v>
      </c>
      <c r="L942" s="59">
        <f>18.0508 * CHOOSE(CONTROL!$C$27, $C$14, 100%, $E$14)</f>
        <v>18.050799999999999</v>
      </c>
      <c r="M942" s="59">
        <f>18.0557 * CHOOSE(CONTROL!$C$27, $C$14, 100%, $E$14)</f>
        <v>18.055700000000002</v>
      </c>
      <c r="N942" s="59">
        <f>18.0508 * CHOOSE(CONTROL!$C$27, $C$14, 100%, $E$14)</f>
        <v>18.050799999999999</v>
      </c>
      <c r="O942" s="59">
        <f>18.0557 * CHOOSE(CONTROL!$C$27, $C$14, 100%, $E$14)</f>
        <v>18.055700000000002</v>
      </c>
    </row>
    <row r="943" spans="1:15" ht="15">
      <c r="A943" s="11">
        <v>69795</v>
      </c>
      <c r="B943" s="58">
        <f>15.9603 * CHOOSE(CONTROL!$C$27, $C$14, 100%, $E$14)</f>
        <v>15.9603</v>
      </c>
      <c r="C943" s="58">
        <f>15.9603 * CHOOSE(CONTROL!$C$27, $C$14, 100%, $E$14)</f>
        <v>15.9603</v>
      </c>
      <c r="D943" s="58">
        <f>15.9643 * CHOOSE(CONTROL!$C$27, $C$14, 100%, $E$14)</f>
        <v>15.9643</v>
      </c>
      <c r="E943" s="59">
        <f>17.7245 * CHOOSE(CONTROL!$C$27, $C$14, 100%, $E$14)</f>
        <v>17.724499999999999</v>
      </c>
      <c r="F943" s="59">
        <f>17.7245 * CHOOSE(CONTROL!$C$27, $C$14, 100%, $E$14)</f>
        <v>17.724499999999999</v>
      </c>
      <c r="G943" s="59">
        <f>17.7295 * CHOOSE(CONTROL!$C$27, $C$14, 100%, $E$14)</f>
        <v>17.729500000000002</v>
      </c>
      <c r="H943" s="59">
        <f>33.628* CHOOSE(CONTROL!$C$27, $C$14, 100%, $E$14)</f>
        <v>33.628</v>
      </c>
      <c r="I943" s="59">
        <f>33.6329 * CHOOSE(CONTROL!$C$27, $C$14, 100%, $E$14)</f>
        <v>33.632899999999999</v>
      </c>
      <c r="J943" s="59">
        <f>33.628 * CHOOSE(CONTROL!$C$27, $C$14, 100%, $E$14)</f>
        <v>33.628</v>
      </c>
      <c r="K943" s="59">
        <f>33.6329 * CHOOSE(CONTROL!$C$27, $C$14, 100%, $E$14)</f>
        <v>33.632899999999999</v>
      </c>
      <c r="L943" s="59">
        <f>17.7245 * CHOOSE(CONTROL!$C$27, $C$14, 100%, $E$14)</f>
        <v>17.724499999999999</v>
      </c>
      <c r="M943" s="59">
        <f>17.7295 * CHOOSE(CONTROL!$C$27, $C$14, 100%, $E$14)</f>
        <v>17.729500000000002</v>
      </c>
      <c r="N943" s="59">
        <f>17.7245 * CHOOSE(CONTROL!$C$27, $C$14, 100%, $E$14)</f>
        <v>17.724499999999999</v>
      </c>
      <c r="O943" s="59">
        <f>17.7295 * CHOOSE(CONTROL!$C$27, $C$14, 100%, $E$14)</f>
        <v>17.729500000000002</v>
      </c>
    </row>
    <row r="944" spans="1:15" ht="15">
      <c r="A944" s="11">
        <v>69823</v>
      </c>
      <c r="B944" s="58">
        <f>15.9572 * CHOOSE(CONTROL!$C$27, $C$14, 100%, $E$14)</f>
        <v>15.9572</v>
      </c>
      <c r="C944" s="58">
        <f>15.9572 * CHOOSE(CONTROL!$C$27, $C$14, 100%, $E$14)</f>
        <v>15.9572</v>
      </c>
      <c r="D944" s="58">
        <f>15.9612 * CHOOSE(CONTROL!$C$27, $C$14, 100%, $E$14)</f>
        <v>15.9612</v>
      </c>
      <c r="E944" s="59">
        <f>17.9779 * CHOOSE(CONTROL!$C$27, $C$14, 100%, $E$14)</f>
        <v>17.977900000000002</v>
      </c>
      <c r="F944" s="59">
        <f>17.9779 * CHOOSE(CONTROL!$C$27, $C$14, 100%, $E$14)</f>
        <v>17.977900000000002</v>
      </c>
      <c r="G944" s="59">
        <f>17.9828 * CHOOSE(CONTROL!$C$27, $C$14, 100%, $E$14)</f>
        <v>17.982800000000001</v>
      </c>
      <c r="H944" s="59">
        <f>33.6981* CHOOSE(CONTROL!$C$27, $C$14, 100%, $E$14)</f>
        <v>33.698099999999997</v>
      </c>
      <c r="I944" s="59">
        <f>33.703 * CHOOSE(CONTROL!$C$27, $C$14, 100%, $E$14)</f>
        <v>33.703000000000003</v>
      </c>
      <c r="J944" s="59">
        <f>33.6981 * CHOOSE(CONTROL!$C$27, $C$14, 100%, $E$14)</f>
        <v>33.698099999999997</v>
      </c>
      <c r="K944" s="59">
        <f>33.703 * CHOOSE(CONTROL!$C$27, $C$14, 100%, $E$14)</f>
        <v>33.703000000000003</v>
      </c>
      <c r="L944" s="59">
        <f>17.9779 * CHOOSE(CONTROL!$C$27, $C$14, 100%, $E$14)</f>
        <v>17.977900000000002</v>
      </c>
      <c r="M944" s="59">
        <f>17.9828 * CHOOSE(CONTROL!$C$27, $C$14, 100%, $E$14)</f>
        <v>17.982800000000001</v>
      </c>
      <c r="N944" s="59">
        <f>17.9779 * CHOOSE(CONTROL!$C$27, $C$14, 100%, $E$14)</f>
        <v>17.977900000000002</v>
      </c>
      <c r="O944" s="59">
        <f>17.9828 * CHOOSE(CONTROL!$C$27, $C$14, 100%, $E$14)</f>
        <v>17.982800000000001</v>
      </c>
    </row>
    <row r="945" spans="1:15" ht="15">
      <c r="A945" s="11">
        <v>69854</v>
      </c>
      <c r="B945" s="58">
        <f>15.9649 * CHOOSE(CONTROL!$C$27, $C$14, 100%, $E$14)</f>
        <v>15.9649</v>
      </c>
      <c r="C945" s="58">
        <f>15.9649 * CHOOSE(CONTROL!$C$27, $C$14, 100%, $E$14)</f>
        <v>15.9649</v>
      </c>
      <c r="D945" s="58">
        <f>15.9689 * CHOOSE(CONTROL!$C$27, $C$14, 100%, $E$14)</f>
        <v>15.9689</v>
      </c>
      <c r="E945" s="59">
        <f>18.2481 * CHOOSE(CONTROL!$C$27, $C$14, 100%, $E$14)</f>
        <v>18.248100000000001</v>
      </c>
      <c r="F945" s="59">
        <f>18.2481 * CHOOSE(CONTROL!$C$27, $C$14, 100%, $E$14)</f>
        <v>18.248100000000001</v>
      </c>
      <c r="G945" s="59">
        <f>18.253 * CHOOSE(CONTROL!$C$27, $C$14, 100%, $E$14)</f>
        <v>18.253</v>
      </c>
      <c r="H945" s="59">
        <f>33.7683* CHOOSE(CONTROL!$C$27, $C$14, 100%, $E$14)</f>
        <v>33.768300000000004</v>
      </c>
      <c r="I945" s="59">
        <f>33.7732 * CHOOSE(CONTROL!$C$27, $C$14, 100%, $E$14)</f>
        <v>33.773200000000003</v>
      </c>
      <c r="J945" s="59">
        <f>33.7683 * CHOOSE(CONTROL!$C$27, $C$14, 100%, $E$14)</f>
        <v>33.768300000000004</v>
      </c>
      <c r="K945" s="59">
        <f>33.7732 * CHOOSE(CONTROL!$C$27, $C$14, 100%, $E$14)</f>
        <v>33.773200000000003</v>
      </c>
      <c r="L945" s="59">
        <f>18.2481 * CHOOSE(CONTROL!$C$27, $C$14, 100%, $E$14)</f>
        <v>18.248100000000001</v>
      </c>
      <c r="M945" s="59">
        <f>18.253 * CHOOSE(CONTROL!$C$27, $C$14, 100%, $E$14)</f>
        <v>18.253</v>
      </c>
      <c r="N945" s="59">
        <f>18.2481 * CHOOSE(CONTROL!$C$27, $C$14, 100%, $E$14)</f>
        <v>18.248100000000001</v>
      </c>
      <c r="O945" s="59">
        <f>18.253 * CHOOSE(CONTROL!$C$27, $C$14, 100%, $E$14)</f>
        <v>18.253</v>
      </c>
    </row>
    <row r="946" spans="1:15" ht="15">
      <c r="A946" s="11">
        <v>69884</v>
      </c>
      <c r="B946" s="58">
        <f>15.9649 * CHOOSE(CONTROL!$C$27, $C$14, 100%, $E$14)</f>
        <v>15.9649</v>
      </c>
      <c r="C946" s="58">
        <f>15.9649 * CHOOSE(CONTROL!$C$27, $C$14, 100%, $E$14)</f>
        <v>15.9649</v>
      </c>
      <c r="D946" s="58">
        <f>15.9705 * CHOOSE(CONTROL!$C$27, $C$14, 100%, $E$14)</f>
        <v>15.970499999999999</v>
      </c>
      <c r="E946" s="59">
        <f>18.351 * CHOOSE(CONTROL!$C$27, $C$14, 100%, $E$14)</f>
        <v>18.350999999999999</v>
      </c>
      <c r="F946" s="59">
        <f>18.351 * CHOOSE(CONTROL!$C$27, $C$14, 100%, $E$14)</f>
        <v>18.350999999999999</v>
      </c>
      <c r="G946" s="59">
        <f>18.3579 * CHOOSE(CONTROL!$C$27, $C$14, 100%, $E$14)</f>
        <v>18.357900000000001</v>
      </c>
      <c r="H946" s="59">
        <f>33.8386* CHOOSE(CONTROL!$C$27, $C$14, 100%, $E$14)</f>
        <v>33.8386</v>
      </c>
      <c r="I946" s="59">
        <f>33.8455 * CHOOSE(CONTROL!$C$27, $C$14, 100%, $E$14)</f>
        <v>33.845500000000001</v>
      </c>
      <c r="J946" s="59">
        <f>33.8386 * CHOOSE(CONTROL!$C$27, $C$14, 100%, $E$14)</f>
        <v>33.8386</v>
      </c>
      <c r="K946" s="59">
        <f>33.8455 * CHOOSE(CONTROL!$C$27, $C$14, 100%, $E$14)</f>
        <v>33.845500000000001</v>
      </c>
      <c r="L946" s="59">
        <f>18.351 * CHOOSE(CONTROL!$C$27, $C$14, 100%, $E$14)</f>
        <v>18.350999999999999</v>
      </c>
      <c r="M946" s="59">
        <f>18.3579 * CHOOSE(CONTROL!$C$27, $C$14, 100%, $E$14)</f>
        <v>18.357900000000001</v>
      </c>
      <c r="N946" s="59">
        <f>18.351 * CHOOSE(CONTROL!$C$27, $C$14, 100%, $E$14)</f>
        <v>18.350999999999999</v>
      </c>
      <c r="O946" s="59">
        <f>18.3579 * CHOOSE(CONTROL!$C$27, $C$14, 100%, $E$14)</f>
        <v>18.357900000000001</v>
      </c>
    </row>
    <row r="947" spans="1:15" ht="15">
      <c r="A947" s="11">
        <v>69915</v>
      </c>
      <c r="B947" s="58">
        <f>15.971 * CHOOSE(CONTROL!$C$27, $C$14, 100%, $E$14)</f>
        <v>15.971</v>
      </c>
      <c r="C947" s="58">
        <f>15.971 * CHOOSE(CONTROL!$C$27, $C$14, 100%, $E$14)</f>
        <v>15.971</v>
      </c>
      <c r="D947" s="58">
        <f>15.9766 * CHOOSE(CONTROL!$C$27, $C$14, 100%, $E$14)</f>
        <v>15.976599999999999</v>
      </c>
      <c r="E947" s="59">
        <f>18.2523 * CHOOSE(CONTROL!$C$27, $C$14, 100%, $E$14)</f>
        <v>18.252300000000002</v>
      </c>
      <c r="F947" s="59">
        <f>18.2523 * CHOOSE(CONTROL!$C$27, $C$14, 100%, $E$14)</f>
        <v>18.252300000000002</v>
      </c>
      <c r="G947" s="59">
        <f>18.2592 * CHOOSE(CONTROL!$C$27, $C$14, 100%, $E$14)</f>
        <v>18.2592</v>
      </c>
      <c r="H947" s="59">
        <f>33.9091* CHOOSE(CONTROL!$C$27, $C$14, 100%, $E$14)</f>
        <v>33.909100000000002</v>
      </c>
      <c r="I947" s="59">
        <f>33.916 * CHOOSE(CONTROL!$C$27, $C$14, 100%, $E$14)</f>
        <v>33.915999999999997</v>
      </c>
      <c r="J947" s="59">
        <f>33.9091 * CHOOSE(CONTROL!$C$27, $C$14, 100%, $E$14)</f>
        <v>33.909100000000002</v>
      </c>
      <c r="K947" s="59">
        <f>33.916 * CHOOSE(CONTROL!$C$27, $C$14, 100%, $E$14)</f>
        <v>33.915999999999997</v>
      </c>
      <c r="L947" s="59">
        <f>18.2523 * CHOOSE(CONTROL!$C$27, $C$14, 100%, $E$14)</f>
        <v>18.252300000000002</v>
      </c>
      <c r="M947" s="59">
        <f>18.2592 * CHOOSE(CONTROL!$C$27, $C$14, 100%, $E$14)</f>
        <v>18.2592</v>
      </c>
      <c r="N947" s="59">
        <f>18.2523 * CHOOSE(CONTROL!$C$27, $C$14, 100%, $E$14)</f>
        <v>18.252300000000002</v>
      </c>
      <c r="O947" s="59">
        <f>18.2592 * CHOOSE(CONTROL!$C$27, $C$14, 100%, $E$14)</f>
        <v>18.2592</v>
      </c>
    </row>
    <row r="948" spans="1:15" ht="15">
      <c r="A948" s="11">
        <v>69945</v>
      </c>
      <c r="B948" s="58">
        <f>16.2119 * CHOOSE(CONTROL!$C$27, $C$14, 100%, $E$14)</f>
        <v>16.2119</v>
      </c>
      <c r="C948" s="58">
        <f>16.2119 * CHOOSE(CONTROL!$C$27, $C$14, 100%, $E$14)</f>
        <v>16.2119</v>
      </c>
      <c r="D948" s="58">
        <f>16.2175 * CHOOSE(CONTROL!$C$27, $C$14, 100%, $E$14)</f>
        <v>16.217500000000001</v>
      </c>
      <c r="E948" s="59">
        <f>18.5411 * CHOOSE(CONTROL!$C$27, $C$14, 100%, $E$14)</f>
        <v>18.5411</v>
      </c>
      <c r="F948" s="59">
        <f>18.5411 * CHOOSE(CONTROL!$C$27, $C$14, 100%, $E$14)</f>
        <v>18.5411</v>
      </c>
      <c r="G948" s="59">
        <f>18.548 * CHOOSE(CONTROL!$C$27, $C$14, 100%, $E$14)</f>
        <v>18.547999999999998</v>
      </c>
      <c r="H948" s="59">
        <f>33.9798* CHOOSE(CONTROL!$C$27, $C$14, 100%, $E$14)</f>
        <v>33.979799999999997</v>
      </c>
      <c r="I948" s="59">
        <f>33.9867 * CHOOSE(CONTROL!$C$27, $C$14, 100%, $E$14)</f>
        <v>33.986699999999999</v>
      </c>
      <c r="J948" s="59">
        <f>33.9798 * CHOOSE(CONTROL!$C$27, $C$14, 100%, $E$14)</f>
        <v>33.979799999999997</v>
      </c>
      <c r="K948" s="59">
        <f>33.9867 * CHOOSE(CONTROL!$C$27, $C$14, 100%, $E$14)</f>
        <v>33.986699999999999</v>
      </c>
      <c r="L948" s="59">
        <f>18.5411 * CHOOSE(CONTROL!$C$27, $C$14, 100%, $E$14)</f>
        <v>18.5411</v>
      </c>
      <c r="M948" s="59">
        <f>18.548 * CHOOSE(CONTROL!$C$27, $C$14, 100%, $E$14)</f>
        <v>18.547999999999998</v>
      </c>
      <c r="N948" s="59">
        <f>18.5411 * CHOOSE(CONTROL!$C$27, $C$14, 100%, $E$14)</f>
        <v>18.5411</v>
      </c>
      <c r="O948" s="59">
        <f>18.548 * CHOOSE(CONTROL!$C$27, $C$14, 100%, $E$14)</f>
        <v>18.547999999999998</v>
      </c>
    </row>
    <row r="949" spans="1:15" ht="15">
      <c r="A949" s="11">
        <v>69976</v>
      </c>
      <c r="B949" s="58">
        <f>16.2185 * CHOOSE(CONTROL!$C$27, $C$14, 100%, $E$14)</f>
        <v>16.218499999999999</v>
      </c>
      <c r="C949" s="58">
        <f>16.2185 * CHOOSE(CONTROL!$C$27, $C$14, 100%, $E$14)</f>
        <v>16.218499999999999</v>
      </c>
      <c r="D949" s="58">
        <f>16.2242 * CHOOSE(CONTROL!$C$27, $C$14, 100%, $E$14)</f>
        <v>16.2242</v>
      </c>
      <c r="E949" s="59">
        <f>18.237 * CHOOSE(CONTROL!$C$27, $C$14, 100%, $E$14)</f>
        <v>18.236999999999998</v>
      </c>
      <c r="F949" s="59">
        <f>18.237 * CHOOSE(CONTROL!$C$27, $C$14, 100%, $E$14)</f>
        <v>18.236999999999998</v>
      </c>
      <c r="G949" s="59">
        <f>18.2439 * CHOOSE(CONTROL!$C$27, $C$14, 100%, $E$14)</f>
        <v>18.2439</v>
      </c>
      <c r="H949" s="59">
        <f>34.0506* CHOOSE(CONTROL!$C$27, $C$14, 100%, $E$14)</f>
        <v>34.050600000000003</v>
      </c>
      <c r="I949" s="59">
        <f>34.0575 * CHOOSE(CONTROL!$C$27, $C$14, 100%, $E$14)</f>
        <v>34.057499999999997</v>
      </c>
      <c r="J949" s="59">
        <f>34.0506 * CHOOSE(CONTROL!$C$27, $C$14, 100%, $E$14)</f>
        <v>34.050600000000003</v>
      </c>
      <c r="K949" s="59">
        <f>34.0575 * CHOOSE(CONTROL!$C$27, $C$14, 100%, $E$14)</f>
        <v>34.057499999999997</v>
      </c>
      <c r="L949" s="59">
        <f>18.237 * CHOOSE(CONTROL!$C$27, $C$14, 100%, $E$14)</f>
        <v>18.236999999999998</v>
      </c>
      <c r="M949" s="59">
        <f>18.2439 * CHOOSE(CONTROL!$C$27, $C$14, 100%, $E$14)</f>
        <v>18.2439</v>
      </c>
      <c r="N949" s="59">
        <f>18.237 * CHOOSE(CONTROL!$C$27, $C$14, 100%, $E$14)</f>
        <v>18.236999999999998</v>
      </c>
      <c r="O949" s="59">
        <f>18.2439 * CHOOSE(CONTROL!$C$27, $C$14, 100%, $E$14)</f>
        <v>18.2439</v>
      </c>
    </row>
    <row r="950" spans="1:15" ht="15">
      <c r="A950" s="11">
        <v>70007</v>
      </c>
      <c r="B950" s="58">
        <f>16.2155 * CHOOSE(CONTROL!$C$27, $C$14, 100%, $E$14)</f>
        <v>16.215499999999999</v>
      </c>
      <c r="C950" s="58">
        <f>16.2155 * CHOOSE(CONTROL!$C$27, $C$14, 100%, $E$14)</f>
        <v>16.215499999999999</v>
      </c>
      <c r="D950" s="58">
        <f>16.2211 * CHOOSE(CONTROL!$C$27, $C$14, 100%, $E$14)</f>
        <v>16.2211</v>
      </c>
      <c r="E950" s="59">
        <f>18.2006 * CHOOSE(CONTROL!$C$27, $C$14, 100%, $E$14)</f>
        <v>18.200600000000001</v>
      </c>
      <c r="F950" s="59">
        <f>18.2006 * CHOOSE(CONTROL!$C$27, $C$14, 100%, $E$14)</f>
        <v>18.200600000000001</v>
      </c>
      <c r="G950" s="59">
        <f>18.2075 * CHOOSE(CONTROL!$C$27, $C$14, 100%, $E$14)</f>
        <v>18.2075</v>
      </c>
      <c r="H950" s="59">
        <f>34.1215* CHOOSE(CONTROL!$C$27, $C$14, 100%, $E$14)</f>
        <v>34.121499999999997</v>
      </c>
      <c r="I950" s="59">
        <f>34.1284 * CHOOSE(CONTROL!$C$27, $C$14, 100%, $E$14)</f>
        <v>34.128399999999999</v>
      </c>
      <c r="J950" s="59">
        <f>34.1215 * CHOOSE(CONTROL!$C$27, $C$14, 100%, $E$14)</f>
        <v>34.121499999999997</v>
      </c>
      <c r="K950" s="59">
        <f>34.1284 * CHOOSE(CONTROL!$C$27, $C$14, 100%, $E$14)</f>
        <v>34.128399999999999</v>
      </c>
      <c r="L950" s="59">
        <f>18.2006 * CHOOSE(CONTROL!$C$27, $C$14, 100%, $E$14)</f>
        <v>18.200600000000001</v>
      </c>
      <c r="M950" s="59">
        <f>18.2075 * CHOOSE(CONTROL!$C$27, $C$14, 100%, $E$14)</f>
        <v>18.2075</v>
      </c>
      <c r="N950" s="59">
        <f>18.2006 * CHOOSE(CONTROL!$C$27, $C$14, 100%, $E$14)</f>
        <v>18.200600000000001</v>
      </c>
      <c r="O950" s="59">
        <f>18.2075 * CHOOSE(CONTROL!$C$27, $C$14, 100%, $E$14)</f>
        <v>18.2075</v>
      </c>
    </row>
    <row r="951" spans="1:15" ht="15">
      <c r="A951" s="11">
        <v>70037</v>
      </c>
      <c r="B951" s="58">
        <f>16.2498 * CHOOSE(CONTROL!$C$27, $C$14, 100%, $E$14)</f>
        <v>16.2498</v>
      </c>
      <c r="C951" s="58">
        <f>16.2498 * CHOOSE(CONTROL!$C$27, $C$14, 100%, $E$14)</f>
        <v>16.2498</v>
      </c>
      <c r="D951" s="58">
        <f>16.2538 * CHOOSE(CONTROL!$C$27, $C$14, 100%, $E$14)</f>
        <v>16.253799999999998</v>
      </c>
      <c r="E951" s="59">
        <f>18.3244 * CHOOSE(CONTROL!$C$27, $C$14, 100%, $E$14)</f>
        <v>18.324400000000001</v>
      </c>
      <c r="F951" s="59">
        <f>18.3244 * CHOOSE(CONTROL!$C$27, $C$14, 100%, $E$14)</f>
        <v>18.324400000000001</v>
      </c>
      <c r="G951" s="59">
        <f>18.3293 * CHOOSE(CONTROL!$C$27, $C$14, 100%, $E$14)</f>
        <v>18.3293</v>
      </c>
      <c r="H951" s="59">
        <f>34.1926* CHOOSE(CONTROL!$C$27, $C$14, 100%, $E$14)</f>
        <v>34.192599999999999</v>
      </c>
      <c r="I951" s="59">
        <f>34.1975 * CHOOSE(CONTROL!$C$27, $C$14, 100%, $E$14)</f>
        <v>34.197499999999998</v>
      </c>
      <c r="J951" s="59">
        <f>34.1926 * CHOOSE(CONTROL!$C$27, $C$14, 100%, $E$14)</f>
        <v>34.192599999999999</v>
      </c>
      <c r="K951" s="59">
        <f>34.1975 * CHOOSE(CONTROL!$C$27, $C$14, 100%, $E$14)</f>
        <v>34.197499999999998</v>
      </c>
      <c r="L951" s="59">
        <f>18.3244 * CHOOSE(CONTROL!$C$27, $C$14, 100%, $E$14)</f>
        <v>18.324400000000001</v>
      </c>
      <c r="M951" s="59">
        <f>18.3293 * CHOOSE(CONTROL!$C$27, $C$14, 100%, $E$14)</f>
        <v>18.3293</v>
      </c>
      <c r="N951" s="59">
        <f>18.3244 * CHOOSE(CONTROL!$C$27, $C$14, 100%, $E$14)</f>
        <v>18.324400000000001</v>
      </c>
      <c r="O951" s="59">
        <f>18.3293 * CHOOSE(CONTROL!$C$27, $C$14, 100%, $E$14)</f>
        <v>18.3293</v>
      </c>
    </row>
    <row r="952" spans="1:15" ht="15">
      <c r="A952" s="11">
        <v>70068</v>
      </c>
      <c r="B952" s="58">
        <f>16.2529 * CHOOSE(CONTROL!$C$27, $C$14, 100%, $E$14)</f>
        <v>16.2529</v>
      </c>
      <c r="C952" s="58">
        <f>16.2529 * CHOOSE(CONTROL!$C$27, $C$14, 100%, $E$14)</f>
        <v>16.2529</v>
      </c>
      <c r="D952" s="58">
        <f>16.2569 * CHOOSE(CONTROL!$C$27, $C$14, 100%, $E$14)</f>
        <v>16.256900000000002</v>
      </c>
      <c r="E952" s="59">
        <f>18.3951 * CHOOSE(CONTROL!$C$27, $C$14, 100%, $E$14)</f>
        <v>18.395099999999999</v>
      </c>
      <c r="F952" s="59">
        <f>18.3951 * CHOOSE(CONTROL!$C$27, $C$14, 100%, $E$14)</f>
        <v>18.395099999999999</v>
      </c>
      <c r="G952" s="59">
        <f>18.4 * CHOOSE(CONTROL!$C$27, $C$14, 100%, $E$14)</f>
        <v>18.399999999999999</v>
      </c>
      <c r="H952" s="59">
        <f>34.2638* CHOOSE(CONTROL!$C$27, $C$14, 100%, $E$14)</f>
        <v>34.263800000000003</v>
      </c>
      <c r="I952" s="59">
        <f>34.2688 * CHOOSE(CONTROL!$C$27, $C$14, 100%, $E$14)</f>
        <v>34.268799999999999</v>
      </c>
      <c r="J952" s="59">
        <f>34.2638 * CHOOSE(CONTROL!$C$27, $C$14, 100%, $E$14)</f>
        <v>34.263800000000003</v>
      </c>
      <c r="K952" s="59">
        <f>34.2688 * CHOOSE(CONTROL!$C$27, $C$14, 100%, $E$14)</f>
        <v>34.268799999999999</v>
      </c>
      <c r="L952" s="59">
        <f>18.3951 * CHOOSE(CONTROL!$C$27, $C$14, 100%, $E$14)</f>
        <v>18.395099999999999</v>
      </c>
      <c r="M952" s="59">
        <f>18.4 * CHOOSE(CONTROL!$C$27, $C$14, 100%, $E$14)</f>
        <v>18.399999999999999</v>
      </c>
      <c r="N952" s="59">
        <f>18.3951 * CHOOSE(CONTROL!$C$27, $C$14, 100%, $E$14)</f>
        <v>18.395099999999999</v>
      </c>
      <c r="O952" s="59">
        <f>18.4 * CHOOSE(CONTROL!$C$27, $C$14, 100%, $E$14)</f>
        <v>18.399999999999999</v>
      </c>
    </row>
    <row r="953" spans="1:15" ht="15">
      <c r="A953" s="11">
        <v>70098</v>
      </c>
      <c r="B953" s="58">
        <f>16.2529 * CHOOSE(CONTROL!$C$27, $C$14, 100%, $E$14)</f>
        <v>16.2529</v>
      </c>
      <c r="C953" s="58">
        <f>16.2529 * CHOOSE(CONTROL!$C$27, $C$14, 100%, $E$14)</f>
        <v>16.2529</v>
      </c>
      <c r="D953" s="58">
        <f>16.2569 * CHOOSE(CONTROL!$C$27, $C$14, 100%, $E$14)</f>
        <v>16.256900000000002</v>
      </c>
      <c r="E953" s="59">
        <f>18.2236 * CHOOSE(CONTROL!$C$27, $C$14, 100%, $E$14)</f>
        <v>18.223600000000001</v>
      </c>
      <c r="F953" s="59">
        <f>18.2236 * CHOOSE(CONTROL!$C$27, $C$14, 100%, $E$14)</f>
        <v>18.223600000000001</v>
      </c>
      <c r="G953" s="59">
        <f>18.2285 * CHOOSE(CONTROL!$C$27, $C$14, 100%, $E$14)</f>
        <v>18.2285</v>
      </c>
      <c r="H953" s="59">
        <f>34.3352* CHOOSE(CONTROL!$C$27, $C$14, 100%, $E$14)</f>
        <v>34.3352</v>
      </c>
      <c r="I953" s="59">
        <f>34.3401 * CHOOSE(CONTROL!$C$27, $C$14, 100%, $E$14)</f>
        <v>34.3401</v>
      </c>
      <c r="J953" s="59">
        <f>34.3352 * CHOOSE(CONTROL!$C$27, $C$14, 100%, $E$14)</f>
        <v>34.3352</v>
      </c>
      <c r="K953" s="59">
        <f>34.3401 * CHOOSE(CONTROL!$C$27, $C$14, 100%, $E$14)</f>
        <v>34.3401</v>
      </c>
      <c r="L953" s="59">
        <f>18.2236 * CHOOSE(CONTROL!$C$27, $C$14, 100%, $E$14)</f>
        <v>18.223600000000001</v>
      </c>
      <c r="M953" s="59">
        <f>18.2285 * CHOOSE(CONTROL!$C$27, $C$14, 100%, $E$14)</f>
        <v>18.2285</v>
      </c>
      <c r="N953" s="59">
        <f>18.2236 * CHOOSE(CONTROL!$C$27, $C$14, 100%, $E$14)</f>
        <v>18.223600000000001</v>
      </c>
      <c r="O953" s="59">
        <f>18.2285 * CHOOSE(CONTROL!$C$27, $C$14, 100%, $E$14)</f>
        <v>18.2285</v>
      </c>
    </row>
    <row r="954" spans="1:15" ht="15">
      <c r="A954" s="11">
        <v>70129</v>
      </c>
      <c r="B954" s="58">
        <f>16.1989 * CHOOSE(CONTROL!$C$27, $C$14, 100%, $E$14)</f>
        <v>16.198899999999998</v>
      </c>
      <c r="C954" s="58">
        <f>16.1989 * CHOOSE(CONTROL!$C$27, $C$14, 100%, $E$14)</f>
        <v>16.198899999999998</v>
      </c>
      <c r="D954" s="58">
        <f>16.2029 * CHOOSE(CONTROL!$C$27, $C$14, 100%, $E$14)</f>
        <v>16.2029</v>
      </c>
      <c r="E954" s="59">
        <f>18.3055 * CHOOSE(CONTROL!$C$27, $C$14, 100%, $E$14)</f>
        <v>18.305499999999999</v>
      </c>
      <c r="F954" s="59">
        <f>18.3055 * CHOOSE(CONTROL!$C$27, $C$14, 100%, $E$14)</f>
        <v>18.305499999999999</v>
      </c>
      <c r="G954" s="59">
        <f>18.3104 * CHOOSE(CONTROL!$C$27, $C$14, 100%, $E$14)</f>
        <v>18.310400000000001</v>
      </c>
      <c r="H954" s="59">
        <f>34.0407* CHOOSE(CONTROL!$C$27, $C$14, 100%, $E$14)</f>
        <v>34.040700000000001</v>
      </c>
      <c r="I954" s="59">
        <f>34.0456 * CHOOSE(CONTROL!$C$27, $C$14, 100%, $E$14)</f>
        <v>34.0456</v>
      </c>
      <c r="J954" s="59">
        <f>34.0407 * CHOOSE(CONTROL!$C$27, $C$14, 100%, $E$14)</f>
        <v>34.040700000000001</v>
      </c>
      <c r="K954" s="59">
        <f>34.0456 * CHOOSE(CONTROL!$C$27, $C$14, 100%, $E$14)</f>
        <v>34.0456</v>
      </c>
      <c r="L954" s="59">
        <f>18.3055 * CHOOSE(CONTROL!$C$27, $C$14, 100%, $E$14)</f>
        <v>18.305499999999999</v>
      </c>
      <c r="M954" s="59">
        <f>18.3104 * CHOOSE(CONTROL!$C$27, $C$14, 100%, $E$14)</f>
        <v>18.310400000000001</v>
      </c>
      <c r="N954" s="59">
        <f>18.3055 * CHOOSE(CONTROL!$C$27, $C$14, 100%, $E$14)</f>
        <v>18.305499999999999</v>
      </c>
      <c r="O954" s="59">
        <f>18.3104 * CHOOSE(CONTROL!$C$27, $C$14, 100%, $E$14)</f>
        <v>18.310400000000001</v>
      </c>
    </row>
    <row r="955" spans="1:15" ht="15">
      <c r="A955" s="11">
        <v>70160</v>
      </c>
      <c r="B955" s="58">
        <f>16.1958 * CHOOSE(CONTROL!$C$27, $C$14, 100%, $E$14)</f>
        <v>16.195799999999998</v>
      </c>
      <c r="C955" s="58">
        <f>16.1958 * CHOOSE(CONTROL!$C$27, $C$14, 100%, $E$14)</f>
        <v>16.195799999999998</v>
      </c>
      <c r="D955" s="58">
        <f>16.1998 * CHOOSE(CONTROL!$C$27, $C$14, 100%, $E$14)</f>
        <v>16.1998</v>
      </c>
      <c r="E955" s="59">
        <f>17.9743 * CHOOSE(CONTROL!$C$27, $C$14, 100%, $E$14)</f>
        <v>17.974299999999999</v>
      </c>
      <c r="F955" s="59">
        <f>17.9743 * CHOOSE(CONTROL!$C$27, $C$14, 100%, $E$14)</f>
        <v>17.974299999999999</v>
      </c>
      <c r="G955" s="59">
        <f>17.9792 * CHOOSE(CONTROL!$C$27, $C$14, 100%, $E$14)</f>
        <v>17.979199999999999</v>
      </c>
      <c r="H955" s="59">
        <f>34.1116* CHOOSE(CONTROL!$C$27, $C$14, 100%, $E$14)</f>
        <v>34.111600000000003</v>
      </c>
      <c r="I955" s="59">
        <f>34.1165 * CHOOSE(CONTROL!$C$27, $C$14, 100%, $E$14)</f>
        <v>34.116500000000002</v>
      </c>
      <c r="J955" s="59">
        <f>34.1116 * CHOOSE(CONTROL!$C$27, $C$14, 100%, $E$14)</f>
        <v>34.111600000000003</v>
      </c>
      <c r="K955" s="59">
        <f>34.1165 * CHOOSE(CONTROL!$C$27, $C$14, 100%, $E$14)</f>
        <v>34.116500000000002</v>
      </c>
      <c r="L955" s="59">
        <f>17.9743 * CHOOSE(CONTROL!$C$27, $C$14, 100%, $E$14)</f>
        <v>17.974299999999999</v>
      </c>
      <c r="M955" s="59">
        <f>17.9792 * CHOOSE(CONTROL!$C$27, $C$14, 100%, $E$14)</f>
        <v>17.979199999999999</v>
      </c>
      <c r="N955" s="59">
        <f>17.9743 * CHOOSE(CONTROL!$C$27, $C$14, 100%, $E$14)</f>
        <v>17.974299999999999</v>
      </c>
      <c r="O955" s="59">
        <f>17.9792 * CHOOSE(CONTROL!$C$27, $C$14, 100%, $E$14)</f>
        <v>17.979199999999999</v>
      </c>
    </row>
    <row r="956" spans="1:15" ht="15">
      <c r="A956" s="11">
        <v>70189</v>
      </c>
      <c r="B956" s="58">
        <f>16.1928 * CHOOSE(CONTROL!$C$27, $C$14, 100%, $E$14)</f>
        <v>16.192799999999998</v>
      </c>
      <c r="C956" s="58">
        <f>16.1928 * CHOOSE(CONTROL!$C$27, $C$14, 100%, $E$14)</f>
        <v>16.192799999999998</v>
      </c>
      <c r="D956" s="58">
        <f>16.1968 * CHOOSE(CONTROL!$C$27, $C$14, 100%, $E$14)</f>
        <v>16.1968</v>
      </c>
      <c r="E956" s="59">
        <f>18.2316 * CHOOSE(CONTROL!$C$27, $C$14, 100%, $E$14)</f>
        <v>18.2316</v>
      </c>
      <c r="F956" s="59">
        <f>18.2316 * CHOOSE(CONTROL!$C$27, $C$14, 100%, $E$14)</f>
        <v>18.2316</v>
      </c>
      <c r="G956" s="59">
        <f>18.2365 * CHOOSE(CONTROL!$C$27, $C$14, 100%, $E$14)</f>
        <v>18.236499999999999</v>
      </c>
      <c r="H956" s="59">
        <f>34.1826* CHOOSE(CONTROL!$C$27, $C$14, 100%, $E$14)</f>
        <v>34.182600000000001</v>
      </c>
      <c r="I956" s="59">
        <f>34.1876 * CHOOSE(CONTROL!$C$27, $C$14, 100%, $E$14)</f>
        <v>34.187600000000003</v>
      </c>
      <c r="J956" s="59">
        <f>34.1826 * CHOOSE(CONTROL!$C$27, $C$14, 100%, $E$14)</f>
        <v>34.182600000000001</v>
      </c>
      <c r="K956" s="59">
        <f>34.1876 * CHOOSE(CONTROL!$C$27, $C$14, 100%, $E$14)</f>
        <v>34.187600000000003</v>
      </c>
      <c r="L956" s="59">
        <f>18.2316 * CHOOSE(CONTROL!$C$27, $C$14, 100%, $E$14)</f>
        <v>18.2316</v>
      </c>
      <c r="M956" s="59">
        <f>18.2365 * CHOOSE(CONTROL!$C$27, $C$14, 100%, $E$14)</f>
        <v>18.236499999999999</v>
      </c>
      <c r="N956" s="59">
        <f>18.2316 * CHOOSE(CONTROL!$C$27, $C$14, 100%, $E$14)</f>
        <v>18.2316</v>
      </c>
      <c r="O956" s="59">
        <f>18.2365 * CHOOSE(CONTROL!$C$27, $C$14, 100%, $E$14)</f>
        <v>18.236499999999999</v>
      </c>
    </row>
    <row r="957" spans="1:15" ht="15">
      <c r="A957" s="11">
        <v>70220</v>
      </c>
      <c r="B957" s="58">
        <f>16.2006 * CHOOSE(CONTROL!$C$27, $C$14, 100%, $E$14)</f>
        <v>16.200600000000001</v>
      </c>
      <c r="C957" s="58">
        <f>16.2006 * CHOOSE(CONTROL!$C$27, $C$14, 100%, $E$14)</f>
        <v>16.200600000000001</v>
      </c>
      <c r="D957" s="58">
        <f>16.2046 * CHOOSE(CONTROL!$C$27, $C$14, 100%, $E$14)</f>
        <v>16.204599999999999</v>
      </c>
      <c r="E957" s="59">
        <f>18.5059 * CHOOSE(CONTROL!$C$27, $C$14, 100%, $E$14)</f>
        <v>18.5059</v>
      </c>
      <c r="F957" s="59">
        <f>18.5059 * CHOOSE(CONTROL!$C$27, $C$14, 100%, $E$14)</f>
        <v>18.5059</v>
      </c>
      <c r="G957" s="59">
        <f>18.5109 * CHOOSE(CONTROL!$C$27, $C$14, 100%, $E$14)</f>
        <v>18.510899999999999</v>
      </c>
      <c r="H957" s="59">
        <f>34.2539* CHOOSE(CONTROL!$C$27, $C$14, 100%, $E$14)</f>
        <v>34.253900000000002</v>
      </c>
      <c r="I957" s="59">
        <f>34.2588 * CHOOSE(CONTROL!$C$27, $C$14, 100%, $E$14)</f>
        <v>34.258800000000001</v>
      </c>
      <c r="J957" s="59">
        <f>34.2539 * CHOOSE(CONTROL!$C$27, $C$14, 100%, $E$14)</f>
        <v>34.253900000000002</v>
      </c>
      <c r="K957" s="59">
        <f>34.2588 * CHOOSE(CONTROL!$C$27, $C$14, 100%, $E$14)</f>
        <v>34.258800000000001</v>
      </c>
      <c r="L957" s="59">
        <f>18.5059 * CHOOSE(CONTROL!$C$27, $C$14, 100%, $E$14)</f>
        <v>18.5059</v>
      </c>
      <c r="M957" s="59">
        <f>18.5109 * CHOOSE(CONTROL!$C$27, $C$14, 100%, $E$14)</f>
        <v>18.510899999999999</v>
      </c>
      <c r="N957" s="59">
        <f>18.5059 * CHOOSE(CONTROL!$C$27, $C$14, 100%, $E$14)</f>
        <v>18.5059</v>
      </c>
      <c r="O957" s="59">
        <f>18.5109 * CHOOSE(CONTROL!$C$27, $C$14, 100%, $E$14)</f>
        <v>18.510899999999999</v>
      </c>
    </row>
    <row r="958" spans="1:15" ht="15">
      <c r="A958" s="11">
        <v>70250</v>
      </c>
      <c r="B958" s="58">
        <f>16.2006 * CHOOSE(CONTROL!$C$27, $C$14, 100%, $E$14)</f>
        <v>16.200600000000001</v>
      </c>
      <c r="C958" s="58">
        <f>16.2006 * CHOOSE(CONTROL!$C$27, $C$14, 100%, $E$14)</f>
        <v>16.200600000000001</v>
      </c>
      <c r="D958" s="58">
        <f>16.2063 * CHOOSE(CONTROL!$C$27, $C$14, 100%, $E$14)</f>
        <v>16.206299999999999</v>
      </c>
      <c r="E958" s="59">
        <f>18.6104 * CHOOSE(CONTROL!$C$27, $C$14, 100%, $E$14)</f>
        <v>18.610399999999998</v>
      </c>
      <c r="F958" s="59">
        <f>18.6104 * CHOOSE(CONTROL!$C$27, $C$14, 100%, $E$14)</f>
        <v>18.610399999999998</v>
      </c>
      <c r="G958" s="59">
        <f>18.6173 * CHOOSE(CONTROL!$C$27, $C$14, 100%, $E$14)</f>
        <v>18.6173</v>
      </c>
      <c r="H958" s="59">
        <f>34.3252* CHOOSE(CONTROL!$C$27, $C$14, 100%, $E$14)</f>
        <v>34.325200000000002</v>
      </c>
      <c r="I958" s="59">
        <f>34.3321 * CHOOSE(CONTROL!$C$27, $C$14, 100%, $E$14)</f>
        <v>34.332099999999997</v>
      </c>
      <c r="J958" s="59">
        <f>34.3252 * CHOOSE(CONTROL!$C$27, $C$14, 100%, $E$14)</f>
        <v>34.325200000000002</v>
      </c>
      <c r="K958" s="59">
        <f>34.3321 * CHOOSE(CONTROL!$C$27, $C$14, 100%, $E$14)</f>
        <v>34.332099999999997</v>
      </c>
      <c r="L958" s="59">
        <f>18.6104 * CHOOSE(CONTROL!$C$27, $C$14, 100%, $E$14)</f>
        <v>18.610399999999998</v>
      </c>
      <c r="M958" s="59">
        <f>18.6173 * CHOOSE(CONTROL!$C$27, $C$14, 100%, $E$14)</f>
        <v>18.6173</v>
      </c>
      <c r="N958" s="59">
        <f>18.6104 * CHOOSE(CONTROL!$C$27, $C$14, 100%, $E$14)</f>
        <v>18.610399999999998</v>
      </c>
      <c r="O958" s="59">
        <f>18.6173 * CHOOSE(CONTROL!$C$27, $C$14, 100%, $E$14)</f>
        <v>18.6173</v>
      </c>
    </row>
    <row r="959" spans="1:15" ht="15">
      <c r="A959" s="11">
        <v>70281</v>
      </c>
      <c r="B959" s="58">
        <f>16.2067 * CHOOSE(CONTROL!$C$27, $C$14, 100%, $E$14)</f>
        <v>16.206700000000001</v>
      </c>
      <c r="C959" s="58">
        <f>16.2067 * CHOOSE(CONTROL!$C$27, $C$14, 100%, $E$14)</f>
        <v>16.206700000000001</v>
      </c>
      <c r="D959" s="58">
        <f>16.2124 * CHOOSE(CONTROL!$C$27, $C$14, 100%, $E$14)</f>
        <v>16.212399999999999</v>
      </c>
      <c r="E959" s="59">
        <f>18.5102 * CHOOSE(CONTROL!$C$27, $C$14, 100%, $E$14)</f>
        <v>18.510200000000001</v>
      </c>
      <c r="F959" s="59">
        <f>18.5102 * CHOOSE(CONTROL!$C$27, $C$14, 100%, $E$14)</f>
        <v>18.510200000000001</v>
      </c>
      <c r="G959" s="59">
        <f>18.5171 * CHOOSE(CONTROL!$C$27, $C$14, 100%, $E$14)</f>
        <v>18.517099999999999</v>
      </c>
      <c r="H959" s="59">
        <f>34.3967* CHOOSE(CONTROL!$C$27, $C$14, 100%, $E$14)</f>
        <v>34.396700000000003</v>
      </c>
      <c r="I959" s="59">
        <f>34.4036 * CHOOSE(CONTROL!$C$27, $C$14, 100%, $E$14)</f>
        <v>34.403599999999997</v>
      </c>
      <c r="J959" s="59">
        <f>34.3967 * CHOOSE(CONTROL!$C$27, $C$14, 100%, $E$14)</f>
        <v>34.396700000000003</v>
      </c>
      <c r="K959" s="59">
        <f>34.4036 * CHOOSE(CONTROL!$C$27, $C$14, 100%, $E$14)</f>
        <v>34.403599999999997</v>
      </c>
      <c r="L959" s="59">
        <f>18.5102 * CHOOSE(CONTROL!$C$27, $C$14, 100%, $E$14)</f>
        <v>18.510200000000001</v>
      </c>
      <c r="M959" s="59">
        <f>18.5171 * CHOOSE(CONTROL!$C$27, $C$14, 100%, $E$14)</f>
        <v>18.517099999999999</v>
      </c>
      <c r="N959" s="59">
        <f>18.5102 * CHOOSE(CONTROL!$C$27, $C$14, 100%, $E$14)</f>
        <v>18.510200000000001</v>
      </c>
      <c r="O959" s="59">
        <f>18.5171 * CHOOSE(CONTROL!$C$27, $C$14, 100%, $E$14)</f>
        <v>18.517099999999999</v>
      </c>
    </row>
    <row r="960" spans="1:15" ht="15">
      <c r="A960" s="11">
        <v>70311</v>
      </c>
      <c r="B960" s="58">
        <f>16.451 * CHOOSE(CONTROL!$C$27, $C$14, 100%, $E$14)</f>
        <v>16.451000000000001</v>
      </c>
      <c r="C960" s="58">
        <f>16.451 * CHOOSE(CONTROL!$C$27, $C$14, 100%, $E$14)</f>
        <v>16.451000000000001</v>
      </c>
      <c r="D960" s="58">
        <f>16.4567 * CHOOSE(CONTROL!$C$27, $C$14, 100%, $E$14)</f>
        <v>16.456700000000001</v>
      </c>
      <c r="E960" s="59">
        <f>18.8029 * CHOOSE(CONTROL!$C$27, $C$14, 100%, $E$14)</f>
        <v>18.802900000000001</v>
      </c>
      <c r="F960" s="59">
        <f>18.8029 * CHOOSE(CONTROL!$C$27, $C$14, 100%, $E$14)</f>
        <v>18.802900000000001</v>
      </c>
      <c r="G960" s="59">
        <f>18.8097 * CHOOSE(CONTROL!$C$27, $C$14, 100%, $E$14)</f>
        <v>18.809699999999999</v>
      </c>
      <c r="H960" s="59">
        <f>34.4684* CHOOSE(CONTROL!$C$27, $C$14, 100%, $E$14)</f>
        <v>34.468400000000003</v>
      </c>
      <c r="I960" s="59">
        <f>34.4753 * CHOOSE(CONTROL!$C$27, $C$14, 100%, $E$14)</f>
        <v>34.475299999999997</v>
      </c>
      <c r="J960" s="59">
        <f>34.4684 * CHOOSE(CONTROL!$C$27, $C$14, 100%, $E$14)</f>
        <v>34.468400000000003</v>
      </c>
      <c r="K960" s="59">
        <f>34.4753 * CHOOSE(CONTROL!$C$27, $C$14, 100%, $E$14)</f>
        <v>34.475299999999997</v>
      </c>
      <c r="L960" s="59">
        <f>18.8029 * CHOOSE(CONTROL!$C$27, $C$14, 100%, $E$14)</f>
        <v>18.802900000000001</v>
      </c>
      <c r="M960" s="59">
        <f>18.8097 * CHOOSE(CONTROL!$C$27, $C$14, 100%, $E$14)</f>
        <v>18.809699999999999</v>
      </c>
      <c r="N960" s="59">
        <f>18.8029 * CHOOSE(CONTROL!$C$27, $C$14, 100%, $E$14)</f>
        <v>18.802900000000001</v>
      </c>
      <c r="O960" s="59">
        <f>18.8097 * CHOOSE(CONTROL!$C$27, $C$14, 100%, $E$14)</f>
        <v>18.809699999999999</v>
      </c>
    </row>
    <row r="961" spans="1:15" ht="15">
      <c r="A961" s="11">
        <v>70342</v>
      </c>
      <c r="B961" s="58">
        <f>16.4577 * CHOOSE(CONTROL!$C$27, $C$14, 100%, $E$14)</f>
        <v>16.457699999999999</v>
      </c>
      <c r="C961" s="58">
        <f>16.4577 * CHOOSE(CONTROL!$C$27, $C$14, 100%, $E$14)</f>
        <v>16.457699999999999</v>
      </c>
      <c r="D961" s="58">
        <f>16.4634 * CHOOSE(CONTROL!$C$27, $C$14, 100%, $E$14)</f>
        <v>16.4634</v>
      </c>
      <c r="E961" s="59">
        <f>18.4941 * CHOOSE(CONTROL!$C$27, $C$14, 100%, $E$14)</f>
        <v>18.4941</v>
      </c>
      <c r="F961" s="59">
        <f>18.4941 * CHOOSE(CONTROL!$C$27, $C$14, 100%, $E$14)</f>
        <v>18.4941</v>
      </c>
      <c r="G961" s="59">
        <f>18.501 * CHOOSE(CONTROL!$C$27, $C$14, 100%, $E$14)</f>
        <v>18.501000000000001</v>
      </c>
      <c r="H961" s="59">
        <f>34.5402* CHOOSE(CONTROL!$C$27, $C$14, 100%, $E$14)</f>
        <v>34.540199999999999</v>
      </c>
      <c r="I961" s="59">
        <f>34.5471 * CHOOSE(CONTROL!$C$27, $C$14, 100%, $E$14)</f>
        <v>34.5471</v>
      </c>
      <c r="J961" s="59">
        <f>34.5402 * CHOOSE(CONTROL!$C$27, $C$14, 100%, $E$14)</f>
        <v>34.540199999999999</v>
      </c>
      <c r="K961" s="59">
        <f>34.5471 * CHOOSE(CONTROL!$C$27, $C$14, 100%, $E$14)</f>
        <v>34.5471</v>
      </c>
      <c r="L961" s="59">
        <f>18.4941 * CHOOSE(CONTROL!$C$27, $C$14, 100%, $E$14)</f>
        <v>18.4941</v>
      </c>
      <c r="M961" s="59">
        <f>18.501 * CHOOSE(CONTROL!$C$27, $C$14, 100%, $E$14)</f>
        <v>18.501000000000001</v>
      </c>
      <c r="N961" s="59">
        <f>18.4941 * CHOOSE(CONTROL!$C$27, $C$14, 100%, $E$14)</f>
        <v>18.4941</v>
      </c>
      <c r="O961" s="59">
        <f>18.501 * CHOOSE(CONTROL!$C$27, $C$14, 100%, $E$14)</f>
        <v>18.501000000000001</v>
      </c>
    </row>
    <row r="962" spans="1:15" ht="15">
      <c r="A962" s="11">
        <v>70373</v>
      </c>
      <c r="B962" s="58">
        <f>16.4547 * CHOOSE(CONTROL!$C$27, $C$14, 100%, $E$14)</f>
        <v>16.454699999999999</v>
      </c>
      <c r="C962" s="58">
        <f>16.4547 * CHOOSE(CONTROL!$C$27, $C$14, 100%, $E$14)</f>
        <v>16.454699999999999</v>
      </c>
      <c r="D962" s="58">
        <f>16.4603 * CHOOSE(CONTROL!$C$27, $C$14, 100%, $E$14)</f>
        <v>16.4603</v>
      </c>
      <c r="E962" s="59">
        <f>18.4572 * CHOOSE(CONTROL!$C$27, $C$14, 100%, $E$14)</f>
        <v>18.4572</v>
      </c>
      <c r="F962" s="59">
        <f>18.4572 * CHOOSE(CONTROL!$C$27, $C$14, 100%, $E$14)</f>
        <v>18.4572</v>
      </c>
      <c r="G962" s="59">
        <f>18.4641 * CHOOSE(CONTROL!$C$27, $C$14, 100%, $E$14)</f>
        <v>18.464099999999998</v>
      </c>
      <c r="H962" s="59">
        <f>34.6122* CHOOSE(CONTROL!$C$27, $C$14, 100%, $E$14)</f>
        <v>34.612200000000001</v>
      </c>
      <c r="I962" s="59">
        <f>34.6191 * CHOOSE(CONTROL!$C$27, $C$14, 100%, $E$14)</f>
        <v>34.619100000000003</v>
      </c>
      <c r="J962" s="59">
        <f>34.6122 * CHOOSE(CONTROL!$C$27, $C$14, 100%, $E$14)</f>
        <v>34.612200000000001</v>
      </c>
      <c r="K962" s="59">
        <f>34.6191 * CHOOSE(CONTROL!$C$27, $C$14, 100%, $E$14)</f>
        <v>34.619100000000003</v>
      </c>
      <c r="L962" s="59">
        <f>18.4572 * CHOOSE(CONTROL!$C$27, $C$14, 100%, $E$14)</f>
        <v>18.4572</v>
      </c>
      <c r="M962" s="59">
        <f>18.4641 * CHOOSE(CONTROL!$C$27, $C$14, 100%, $E$14)</f>
        <v>18.464099999999998</v>
      </c>
      <c r="N962" s="59">
        <f>18.4572 * CHOOSE(CONTROL!$C$27, $C$14, 100%, $E$14)</f>
        <v>18.4572</v>
      </c>
      <c r="O962" s="59">
        <f>18.4641 * CHOOSE(CONTROL!$C$27, $C$14, 100%, $E$14)</f>
        <v>18.464099999999998</v>
      </c>
    </row>
    <row r="963" spans="1:15" ht="15">
      <c r="A963" s="11">
        <v>70403</v>
      </c>
      <c r="B963" s="58">
        <f>16.4898 * CHOOSE(CONTROL!$C$27, $C$14, 100%, $E$14)</f>
        <v>16.489799999999999</v>
      </c>
      <c r="C963" s="58">
        <f>16.4898 * CHOOSE(CONTROL!$C$27, $C$14, 100%, $E$14)</f>
        <v>16.489799999999999</v>
      </c>
      <c r="D963" s="58">
        <f>16.4938 * CHOOSE(CONTROL!$C$27, $C$14, 100%, $E$14)</f>
        <v>16.4938</v>
      </c>
      <c r="E963" s="59">
        <f>18.583 * CHOOSE(CONTROL!$C$27, $C$14, 100%, $E$14)</f>
        <v>18.582999999999998</v>
      </c>
      <c r="F963" s="59">
        <f>18.583 * CHOOSE(CONTROL!$C$27, $C$14, 100%, $E$14)</f>
        <v>18.582999999999998</v>
      </c>
      <c r="G963" s="59">
        <f>18.588 * CHOOSE(CONTROL!$C$27, $C$14, 100%, $E$14)</f>
        <v>18.588000000000001</v>
      </c>
      <c r="H963" s="59">
        <f>34.6843* CHOOSE(CONTROL!$C$27, $C$14, 100%, $E$14)</f>
        <v>34.6843</v>
      </c>
      <c r="I963" s="59">
        <f>34.6892 * CHOOSE(CONTROL!$C$27, $C$14, 100%, $E$14)</f>
        <v>34.6892</v>
      </c>
      <c r="J963" s="59">
        <f>34.6843 * CHOOSE(CONTROL!$C$27, $C$14, 100%, $E$14)</f>
        <v>34.6843</v>
      </c>
      <c r="K963" s="59">
        <f>34.6892 * CHOOSE(CONTROL!$C$27, $C$14, 100%, $E$14)</f>
        <v>34.6892</v>
      </c>
      <c r="L963" s="59">
        <f>18.583 * CHOOSE(CONTROL!$C$27, $C$14, 100%, $E$14)</f>
        <v>18.582999999999998</v>
      </c>
      <c r="M963" s="59">
        <f>18.588 * CHOOSE(CONTROL!$C$27, $C$14, 100%, $E$14)</f>
        <v>18.588000000000001</v>
      </c>
      <c r="N963" s="59">
        <f>18.583 * CHOOSE(CONTROL!$C$27, $C$14, 100%, $E$14)</f>
        <v>18.582999999999998</v>
      </c>
      <c r="O963" s="59">
        <f>18.588 * CHOOSE(CONTROL!$C$27, $C$14, 100%, $E$14)</f>
        <v>18.588000000000001</v>
      </c>
    </row>
    <row r="964" spans="1:15" ht="15">
      <c r="A964" s="11">
        <v>70434</v>
      </c>
      <c r="B964" s="58">
        <f>16.4928 * CHOOSE(CONTROL!$C$27, $C$14, 100%, $E$14)</f>
        <v>16.492799999999999</v>
      </c>
      <c r="C964" s="58">
        <f>16.4928 * CHOOSE(CONTROL!$C$27, $C$14, 100%, $E$14)</f>
        <v>16.492799999999999</v>
      </c>
      <c r="D964" s="58">
        <f>16.4968 * CHOOSE(CONTROL!$C$27, $C$14, 100%, $E$14)</f>
        <v>16.4968</v>
      </c>
      <c r="E964" s="59">
        <f>18.6548 * CHOOSE(CONTROL!$C$27, $C$14, 100%, $E$14)</f>
        <v>18.654800000000002</v>
      </c>
      <c r="F964" s="59">
        <f>18.6548 * CHOOSE(CONTROL!$C$27, $C$14, 100%, $E$14)</f>
        <v>18.654800000000002</v>
      </c>
      <c r="G964" s="59">
        <f>18.6597 * CHOOSE(CONTROL!$C$27, $C$14, 100%, $E$14)</f>
        <v>18.659700000000001</v>
      </c>
      <c r="H964" s="59">
        <f>34.7565* CHOOSE(CONTROL!$C$27, $C$14, 100%, $E$14)</f>
        <v>34.756500000000003</v>
      </c>
      <c r="I964" s="59">
        <f>34.7614 * CHOOSE(CONTROL!$C$27, $C$14, 100%, $E$14)</f>
        <v>34.761400000000002</v>
      </c>
      <c r="J964" s="59">
        <f>34.7565 * CHOOSE(CONTROL!$C$27, $C$14, 100%, $E$14)</f>
        <v>34.756500000000003</v>
      </c>
      <c r="K964" s="59">
        <f>34.7614 * CHOOSE(CONTROL!$C$27, $C$14, 100%, $E$14)</f>
        <v>34.761400000000002</v>
      </c>
      <c r="L964" s="59">
        <f>18.6548 * CHOOSE(CONTROL!$C$27, $C$14, 100%, $E$14)</f>
        <v>18.654800000000002</v>
      </c>
      <c r="M964" s="59">
        <f>18.6597 * CHOOSE(CONTROL!$C$27, $C$14, 100%, $E$14)</f>
        <v>18.659700000000001</v>
      </c>
      <c r="N964" s="59">
        <f>18.6548 * CHOOSE(CONTROL!$C$27, $C$14, 100%, $E$14)</f>
        <v>18.654800000000002</v>
      </c>
      <c r="O964" s="59">
        <f>18.6597 * CHOOSE(CONTROL!$C$27, $C$14, 100%, $E$14)</f>
        <v>18.659700000000001</v>
      </c>
    </row>
    <row r="965" spans="1:15" ht="15">
      <c r="A965" s="11">
        <v>70464</v>
      </c>
      <c r="B965" s="58">
        <f>16.4928 * CHOOSE(CONTROL!$C$27, $C$14, 100%, $E$14)</f>
        <v>16.492799999999999</v>
      </c>
      <c r="C965" s="58">
        <f>16.4928 * CHOOSE(CONTROL!$C$27, $C$14, 100%, $E$14)</f>
        <v>16.492799999999999</v>
      </c>
      <c r="D965" s="58">
        <f>16.4968 * CHOOSE(CONTROL!$C$27, $C$14, 100%, $E$14)</f>
        <v>16.4968</v>
      </c>
      <c r="E965" s="59">
        <f>18.4807 * CHOOSE(CONTROL!$C$27, $C$14, 100%, $E$14)</f>
        <v>18.480699999999999</v>
      </c>
      <c r="F965" s="59">
        <f>18.4807 * CHOOSE(CONTROL!$C$27, $C$14, 100%, $E$14)</f>
        <v>18.480699999999999</v>
      </c>
      <c r="G965" s="59">
        <f>18.4856 * CHOOSE(CONTROL!$C$27, $C$14, 100%, $E$14)</f>
        <v>18.485600000000002</v>
      </c>
      <c r="H965" s="59">
        <f>34.8289* CHOOSE(CONTROL!$C$27, $C$14, 100%, $E$14)</f>
        <v>34.828899999999997</v>
      </c>
      <c r="I965" s="59">
        <f>34.8339 * CHOOSE(CONTROL!$C$27, $C$14, 100%, $E$14)</f>
        <v>34.8339</v>
      </c>
      <c r="J965" s="59">
        <f>34.8289 * CHOOSE(CONTROL!$C$27, $C$14, 100%, $E$14)</f>
        <v>34.828899999999997</v>
      </c>
      <c r="K965" s="59">
        <f>34.8339 * CHOOSE(CONTROL!$C$27, $C$14, 100%, $E$14)</f>
        <v>34.8339</v>
      </c>
      <c r="L965" s="59">
        <f>18.4807 * CHOOSE(CONTROL!$C$27, $C$14, 100%, $E$14)</f>
        <v>18.480699999999999</v>
      </c>
      <c r="M965" s="59">
        <f>18.4856 * CHOOSE(CONTROL!$C$27, $C$14, 100%, $E$14)</f>
        <v>18.485600000000002</v>
      </c>
      <c r="N965" s="59">
        <f>18.4807 * CHOOSE(CONTROL!$C$27, $C$14, 100%, $E$14)</f>
        <v>18.480699999999999</v>
      </c>
      <c r="O965" s="59">
        <f>18.4856 * CHOOSE(CONTROL!$C$27, $C$14, 100%, $E$14)</f>
        <v>18.485600000000002</v>
      </c>
    </row>
    <row r="966" spans="1:15" ht="15">
      <c r="A966" s="11">
        <v>70495</v>
      </c>
      <c r="B966" s="58">
        <f>16.4344 * CHOOSE(CONTROL!$C$27, $C$14, 100%, $E$14)</f>
        <v>16.4344</v>
      </c>
      <c r="C966" s="58">
        <f>16.4344 * CHOOSE(CONTROL!$C$27, $C$14, 100%, $E$14)</f>
        <v>16.4344</v>
      </c>
      <c r="D966" s="58">
        <f>16.4384 * CHOOSE(CONTROL!$C$27, $C$14, 100%, $E$14)</f>
        <v>16.438400000000001</v>
      </c>
      <c r="E966" s="59">
        <f>18.5602 * CHOOSE(CONTROL!$C$27, $C$14, 100%, $E$14)</f>
        <v>18.560199999999998</v>
      </c>
      <c r="F966" s="59">
        <f>18.5602 * CHOOSE(CONTROL!$C$27, $C$14, 100%, $E$14)</f>
        <v>18.560199999999998</v>
      </c>
      <c r="G966" s="59">
        <f>18.5651 * CHOOSE(CONTROL!$C$27, $C$14, 100%, $E$14)</f>
        <v>18.565100000000001</v>
      </c>
      <c r="H966" s="59">
        <f>34.5232* CHOOSE(CONTROL!$C$27, $C$14, 100%, $E$14)</f>
        <v>34.523200000000003</v>
      </c>
      <c r="I966" s="59">
        <f>34.5281 * CHOOSE(CONTROL!$C$27, $C$14, 100%, $E$14)</f>
        <v>34.528100000000002</v>
      </c>
      <c r="J966" s="59">
        <f>34.5232 * CHOOSE(CONTROL!$C$27, $C$14, 100%, $E$14)</f>
        <v>34.523200000000003</v>
      </c>
      <c r="K966" s="59">
        <f>34.5281 * CHOOSE(CONTROL!$C$27, $C$14, 100%, $E$14)</f>
        <v>34.528100000000002</v>
      </c>
      <c r="L966" s="59">
        <f>18.5602 * CHOOSE(CONTROL!$C$27, $C$14, 100%, $E$14)</f>
        <v>18.560199999999998</v>
      </c>
      <c r="M966" s="59">
        <f>18.5651 * CHOOSE(CONTROL!$C$27, $C$14, 100%, $E$14)</f>
        <v>18.565100000000001</v>
      </c>
      <c r="N966" s="59">
        <f>18.5602 * CHOOSE(CONTROL!$C$27, $C$14, 100%, $E$14)</f>
        <v>18.560199999999998</v>
      </c>
      <c r="O966" s="59">
        <f>18.5651 * CHOOSE(CONTROL!$C$27, $C$14, 100%, $E$14)</f>
        <v>18.565100000000001</v>
      </c>
    </row>
    <row r="967" spans="1:15" ht="15">
      <c r="A967" s="11">
        <v>70526</v>
      </c>
      <c r="B967" s="58">
        <f>16.4314 * CHOOSE(CONTROL!$C$27, $C$14, 100%, $E$14)</f>
        <v>16.4314</v>
      </c>
      <c r="C967" s="58">
        <f>16.4314 * CHOOSE(CONTROL!$C$27, $C$14, 100%, $E$14)</f>
        <v>16.4314</v>
      </c>
      <c r="D967" s="58">
        <f>16.4354 * CHOOSE(CONTROL!$C$27, $C$14, 100%, $E$14)</f>
        <v>16.435400000000001</v>
      </c>
      <c r="E967" s="59">
        <f>18.2241 * CHOOSE(CONTROL!$C$27, $C$14, 100%, $E$14)</f>
        <v>18.2241</v>
      </c>
      <c r="F967" s="59">
        <f>18.2241 * CHOOSE(CONTROL!$C$27, $C$14, 100%, $E$14)</f>
        <v>18.2241</v>
      </c>
      <c r="G967" s="59">
        <f>18.229 * CHOOSE(CONTROL!$C$27, $C$14, 100%, $E$14)</f>
        <v>18.228999999999999</v>
      </c>
      <c r="H967" s="59">
        <f>34.5951* CHOOSE(CONTROL!$C$27, $C$14, 100%, $E$14)</f>
        <v>34.595100000000002</v>
      </c>
      <c r="I967" s="59">
        <f>34.6001 * CHOOSE(CONTROL!$C$27, $C$14, 100%, $E$14)</f>
        <v>34.600099999999998</v>
      </c>
      <c r="J967" s="59">
        <f>34.5951 * CHOOSE(CONTROL!$C$27, $C$14, 100%, $E$14)</f>
        <v>34.595100000000002</v>
      </c>
      <c r="K967" s="59">
        <f>34.6001 * CHOOSE(CONTROL!$C$27, $C$14, 100%, $E$14)</f>
        <v>34.600099999999998</v>
      </c>
      <c r="L967" s="59">
        <f>18.2241 * CHOOSE(CONTROL!$C$27, $C$14, 100%, $E$14)</f>
        <v>18.2241</v>
      </c>
      <c r="M967" s="59">
        <f>18.229 * CHOOSE(CONTROL!$C$27, $C$14, 100%, $E$14)</f>
        <v>18.228999999999999</v>
      </c>
      <c r="N967" s="59">
        <f>18.2241 * CHOOSE(CONTROL!$C$27, $C$14, 100%, $E$14)</f>
        <v>18.2241</v>
      </c>
      <c r="O967" s="59">
        <f>18.229 * CHOOSE(CONTROL!$C$27, $C$14, 100%, $E$14)</f>
        <v>18.228999999999999</v>
      </c>
    </row>
    <row r="968" spans="1:15" ht="15">
      <c r="A968" s="11">
        <v>70554</v>
      </c>
      <c r="B968" s="58">
        <f>16.4284 * CHOOSE(CONTROL!$C$27, $C$14, 100%, $E$14)</f>
        <v>16.4284</v>
      </c>
      <c r="C968" s="58">
        <f>16.4284 * CHOOSE(CONTROL!$C$27, $C$14, 100%, $E$14)</f>
        <v>16.4284</v>
      </c>
      <c r="D968" s="58">
        <f>16.4324 * CHOOSE(CONTROL!$C$27, $C$14, 100%, $E$14)</f>
        <v>16.432400000000001</v>
      </c>
      <c r="E968" s="59">
        <f>18.4853 * CHOOSE(CONTROL!$C$27, $C$14, 100%, $E$14)</f>
        <v>18.485299999999999</v>
      </c>
      <c r="F968" s="59">
        <f>18.4853 * CHOOSE(CONTROL!$C$27, $C$14, 100%, $E$14)</f>
        <v>18.485299999999999</v>
      </c>
      <c r="G968" s="59">
        <f>18.4902 * CHOOSE(CONTROL!$C$27, $C$14, 100%, $E$14)</f>
        <v>18.490200000000002</v>
      </c>
      <c r="H968" s="59">
        <f>34.6672* CHOOSE(CONTROL!$C$27, $C$14, 100%, $E$14)</f>
        <v>34.667200000000001</v>
      </c>
      <c r="I968" s="59">
        <f>34.6721 * CHOOSE(CONTROL!$C$27, $C$14, 100%, $E$14)</f>
        <v>34.6721</v>
      </c>
      <c r="J968" s="59">
        <f>34.6672 * CHOOSE(CONTROL!$C$27, $C$14, 100%, $E$14)</f>
        <v>34.667200000000001</v>
      </c>
      <c r="K968" s="59">
        <f>34.6721 * CHOOSE(CONTROL!$C$27, $C$14, 100%, $E$14)</f>
        <v>34.6721</v>
      </c>
      <c r="L968" s="59">
        <f>18.4853 * CHOOSE(CONTROL!$C$27, $C$14, 100%, $E$14)</f>
        <v>18.485299999999999</v>
      </c>
      <c r="M968" s="59">
        <f>18.4902 * CHOOSE(CONTROL!$C$27, $C$14, 100%, $E$14)</f>
        <v>18.490200000000002</v>
      </c>
      <c r="N968" s="59">
        <f>18.4853 * CHOOSE(CONTROL!$C$27, $C$14, 100%, $E$14)</f>
        <v>18.485299999999999</v>
      </c>
      <c r="O968" s="59">
        <f>18.4902 * CHOOSE(CONTROL!$C$27, $C$14, 100%, $E$14)</f>
        <v>18.490200000000002</v>
      </c>
    </row>
    <row r="969" spans="1:15" ht="15">
      <c r="A969" s="11">
        <v>70585</v>
      </c>
      <c r="B969" s="58">
        <f>16.4364 * CHOOSE(CONTROL!$C$27, $C$14, 100%, $E$14)</f>
        <v>16.436399999999999</v>
      </c>
      <c r="C969" s="58">
        <f>16.4364 * CHOOSE(CONTROL!$C$27, $C$14, 100%, $E$14)</f>
        <v>16.436399999999999</v>
      </c>
      <c r="D969" s="58">
        <f>16.4404 * CHOOSE(CONTROL!$C$27, $C$14, 100%, $E$14)</f>
        <v>16.4404</v>
      </c>
      <c r="E969" s="59">
        <f>18.7638 * CHOOSE(CONTROL!$C$27, $C$14, 100%, $E$14)</f>
        <v>18.7638</v>
      </c>
      <c r="F969" s="59">
        <f>18.7638 * CHOOSE(CONTROL!$C$27, $C$14, 100%, $E$14)</f>
        <v>18.7638</v>
      </c>
      <c r="G969" s="59">
        <f>18.7687 * CHOOSE(CONTROL!$C$27, $C$14, 100%, $E$14)</f>
        <v>18.768699999999999</v>
      </c>
      <c r="H969" s="59">
        <f>34.7394* CHOOSE(CONTROL!$C$27, $C$14, 100%, $E$14)</f>
        <v>34.739400000000003</v>
      </c>
      <c r="I969" s="59">
        <f>34.7443 * CHOOSE(CONTROL!$C$27, $C$14, 100%, $E$14)</f>
        <v>34.744300000000003</v>
      </c>
      <c r="J969" s="59">
        <f>34.7394 * CHOOSE(CONTROL!$C$27, $C$14, 100%, $E$14)</f>
        <v>34.739400000000003</v>
      </c>
      <c r="K969" s="59">
        <f>34.7443 * CHOOSE(CONTROL!$C$27, $C$14, 100%, $E$14)</f>
        <v>34.744300000000003</v>
      </c>
      <c r="L969" s="59">
        <f>18.7638 * CHOOSE(CONTROL!$C$27, $C$14, 100%, $E$14)</f>
        <v>18.7638</v>
      </c>
      <c r="M969" s="59">
        <f>18.7687 * CHOOSE(CONTROL!$C$27, $C$14, 100%, $E$14)</f>
        <v>18.768699999999999</v>
      </c>
      <c r="N969" s="59">
        <f>18.7638 * CHOOSE(CONTROL!$C$27, $C$14, 100%, $E$14)</f>
        <v>18.7638</v>
      </c>
      <c r="O969" s="59">
        <f>18.7687 * CHOOSE(CONTROL!$C$27, $C$14, 100%, $E$14)</f>
        <v>18.768699999999999</v>
      </c>
    </row>
    <row r="970" spans="1:15" ht="15">
      <c r="A970" s="11">
        <v>70615</v>
      </c>
      <c r="B970" s="58">
        <f>16.4364 * CHOOSE(CONTROL!$C$27, $C$14, 100%, $E$14)</f>
        <v>16.436399999999999</v>
      </c>
      <c r="C970" s="58">
        <f>16.4364 * CHOOSE(CONTROL!$C$27, $C$14, 100%, $E$14)</f>
        <v>16.436399999999999</v>
      </c>
      <c r="D970" s="58">
        <f>16.442 * CHOOSE(CONTROL!$C$27, $C$14, 100%, $E$14)</f>
        <v>16.442</v>
      </c>
      <c r="E970" s="59">
        <f>18.8698 * CHOOSE(CONTROL!$C$27, $C$14, 100%, $E$14)</f>
        <v>18.869800000000001</v>
      </c>
      <c r="F970" s="59">
        <f>18.8698 * CHOOSE(CONTROL!$C$27, $C$14, 100%, $E$14)</f>
        <v>18.869800000000001</v>
      </c>
      <c r="G970" s="59">
        <f>18.8767 * CHOOSE(CONTROL!$C$27, $C$14, 100%, $E$14)</f>
        <v>18.8767</v>
      </c>
      <c r="H970" s="59">
        <f>34.8118* CHOOSE(CONTROL!$C$27, $C$14, 100%, $E$14)</f>
        <v>34.811799999999998</v>
      </c>
      <c r="I970" s="59">
        <f>34.8187 * CHOOSE(CONTROL!$C$27, $C$14, 100%, $E$14)</f>
        <v>34.8187</v>
      </c>
      <c r="J970" s="59">
        <f>34.8118 * CHOOSE(CONTROL!$C$27, $C$14, 100%, $E$14)</f>
        <v>34.811799999999998</v>
      </c>
      <c r="K970" s="59">
        <f>34.8187 * CHOOSE(CONTROL!$C$27, $C$14, 100%, $E$14)</f>
        <v>34.8187</v>
      </c>
      <c r="L970" s="59">
        <f>18.8698 * CHOOSE(CONTROL!$C$27, $C$14, 100%, $E$14)</f>
        <v>18.869800000000001</v>
      </c>
      <c r="M970" s="59">
        <f>18.8767 * CHOOSE(CONTROL!$C$27, $C$14, 100%, $E$14)</f>
        <v>18.8767</v>
      </c>
      <c r="N970" s="59">
        <f>18.8698 * CHOOSE(CONTROL!$C$27, $C$14, 100%, $E$14)</f>
        <v>18.869800000000001</v>
      </c>
      <c r="O970" s="59">
        <f>18.8767 * CHOOSE(CONTROL!$C$27, $C$14, 100%, $E$14)</f>
        <v>18.8767</v>
      </c>
    </row>
    <row r="971" spans="1:15" ht="15">
      <c r="A971" s="11">
        <v>70646</v>
      </c>
      <c r="B971" s="58">
        <f>16.4425 * CHOOSE(CONTROL!$C$27, $C$14, 100%, $E$14)</f>
        <v>16.442499999999999</v>
      </c>
      <c r="C971" s="58">
        <f>16.4425 * CHOOSE(CONTROL!$C$27, $C$14, 100%, $E$14)</f>
        <v>16.442499999999999</v>
      </c>
      <c r="D971" s="58">
        <f>16.4481 * CHOOSE(CONTROL!$C$27, $C$14, 100%, $E$14)</f>
        <v>16.4481</v>
      </c>
      <c r="E971" s="59">
        <f>18.768 * CHOOSE(CONTROL!$C$27, $C$14, 100%, $E$14)</f>
        <v>18.768000000000001</v>
      </c>
      <c r="F971" s="59">
        <f>18.768 * CHOOSE(CONTROL!$C$27, $C$14, 100%, $E$14)</f>
        <v>18.768000000000001</v>
      </c>
      <c r="G971" s="59">
        <f>18.7749 * CHOOSE(CONTROL!$C$27, $C$14, 100%, $E$14)</f>
        <v>18.774899999999999</v>
      </c>
      <c r="H971" s="59">
        <f>34.8843* CHOOSE(CONTROL!$C$27, $C$14, 100%, $E$14)</f>
        <v>34.884300000000003</v>
      </c>
      <c r="I971" s="59">
        <f>34.8912 * CHOOSE(CONTROL!$C$27, $C$14, 100%, $E$14)</f>
        <v>34.891199999999998</v>
      </c>
      <c r="J971" s="59">
        <f>34.8843 * CHOOSE(CONTROL!$C$27, $C$14, 100%, $E$14)</f>
        <v>34.884300000000003</v>
      </c>
      <c r="K971" s="59">
        <f>34.8912 * CHOOSE(CONTROL!$C$27, $C$14, 100%, $E$14)</f>
        <v>34.891199999999998</v>
      </c>
      <c r="L971" s="59">
        <f>18.768 * CHOOSE(CONTROL!$C$27, $C$14, 100%, $E$14)</f>
        <v>18.768000000000001</v>
      </c>
      <c r="M971" s="59">
        <f>18.7749 * CHOOSE(CONTROL!$C$27, $C$14, 100%, $E$14)</f>
        <v>18.774899999999999</v>
      </c>
      <c r="N971" s="59">
        <f>18.768 * CHOOSE(CONTROL!$C$27, $C$14, 100%, $E$14)</f>
        <v>18.768000000000001</v>
      </c>
      <c r="O971" s="59">
        <f>18.7749 * CHOOSE(CONTROL!$C$27, $C$14, 100%, $E$14)</f>
        <v>18.774899999999999</v>
      </c>
    </row>
    <row r="972" spans="1:15" ht="15">
      <c r="A972" s="11">
        <v>70676</v>
      </c>
      <c r="B972" s="58">
        <f>16.6902 * CHOOSE(CONTROL!$C$27, $C$14, 100%, $E$14)</f>
        <v>16.690200000000001</v>
      </c>
      <c r="C972" s="58">
        <f>16.6902 * CHOOSE(CONTROL!$C$27, $C$14, 100%, $E$14)</f>
        <v>16.690200000000001</v>
      </c>
      <c r="D972" s="58">
        <f>16.6958 * CHOOSE(CONTROL!$C$27, $C$14, 100%, $E$14)</f>
        <v>16.695799999999998</v>
      </c>
      <c r="E972" s="59">
        <f>19.0646 * CHOOSE(CONTROL!$C$27, $C$14, 100%, $E$14)</f>
        <v>19.064599999999999</v>
      </c>
      <c r="F972" s="59">
        <f>19.0646 * CHOOSE(CONTROL!$C$27, $C$14, 100%, $E$14)</f>
        <v>19.064599999999999</v>
      </c>
      <c r="G972" s="59">
        <f>19.0715 * CHOOSE(CONTROL!$C$27, $C$14, 100%, $E$14)</f>
        <v>19.0715</v>
      </c>
      <c r="H972" s="59">
        <f>34.957* CHOOSE(CONTROL!$C$27, $C$14, 100%, $E$14)</f>
        <v>34.957000000000001</v>
      </c>
      <c r="I972" s="59">
        <f>34.9639 * CHOOSE(CONTROL!$C$27, $C$14, 100%, $E$14)</f>
        <v>34.963900000000002</v>
      </c>
      <c r="J972" s="59">
        <f>34.957 * CHOOSE(CONTROL!$C$27, $C$14, 100%, $E$14)</f>
        <v>34.957000000000001</v>
      </c>
      <c r="K972" s="59">
        <f>34.9639 * CHOOSE(CONTROL!$C$27, $C$14, 100%, $E$14)</f>
        <v>34.963900000000002</v>
      </c>
      <c r="L972" s="59">
        <f>19.0646 * CHOOSE(CONTROL!$C$27, $C$14, 100%, $E$14)</f>
        <v>19.064599999999999</v>
      </c>
      <c r="M972" s="59">
        <f>19.0715 * CHOOSE(CONTROL!$C$27, $C$14, 100%, $E$14)</f>
        <v>19.0715</v>
      </c>
      <c r="N972" s="59">
        <f>19.0646 * CHOOSE(CONTROL!$C$27, $C$14, 100%, $E$14)</f>
        <v>19.064599999999999</v>
      </c>
      <c r="O972" s="59">
        <f>19.0715 * CHOOSE(CONTROL!$C$27, $C$14, 100%, $E$14)</f>
        <v>19.0715</v>
      </c>
    </row>
    <row r="973" spans="1:15" ht="15">
      <c r="A973" s="11">
        <v>70707</v>
      </c>
      <c r="B973" s="58">
        <f>16.6969 * CHOOSE(CONTROL!$C$27, $C$14, 100%, $E$14)</f>
        <v>16.696899999999999</v>
      </c>
      <c r="C973" s="58">
        <f>16.6969 * CHOOSE(CONTROL!$C$27, $C$14, 100%, $E$14)</f>
        <v>16.696899999999999</v>
      </c>
      <c r="D973" s="58">
        <f>16.7025 * CHOOSE(CONTROL!$C$27, $C$14, 100%, $E$14)</f>
        <v>16.702500000000001</v>
      </c>
      <c r="E973" s="59">
        <f>18.7512 * CHOOSE(CONTROL!$C$27, $C$14, 100%, $E$14)</f>
        <v>18.751200000000001</v>
      </c>
      <c r="F973" s="59">
        <f>18.7512 * CHOOSE(CONTROL!$C$27, $C$14, 100%, $E$14)</f>
        <v>18.751200000000001</v>
      </c>
      <c r="G973" s="59">
        <f>18.7581 * CHOOSE(CONTROL!$C$27, $C$14, 100%, $E$14)</f>
        <v>18.758099999999999</v>
      </c>
      <c r="H973" s="59">
        <f>35.0298* CHOOSE(CONTROL!$C$27, $C$14, 100%, $E$14)</f>
        <v>35.029800000000002</v>
      </c>
      <c r="I973" s="59">
        <f>35.0367 * CHOOSE(CONTROL!$C$27, $C$14, 100%, $E$14)</f>
        <v>35.036700000000003</v>
      </c>
      <c r="J973" s="59">
        <f>35.0298 * CHOOSE(CONTROL!$C$27, $C$14, 100%, $E$14)</f>
        <v>35.029800000000002</v>
      </c>
      <c r="K973" s="59">
        <f>35.0367 * CHOOSE(CONTROL!$C$27, $C$14, 100%, $E$14)</f>
        <v>35.036700000000003</v>
      </c>
      <c r="L973" s="59">
        <f>18.7512 * CHOOSE(CONTROL!$C$27, $C$14, 100%, $E$14)</f>
        <v>18.751200000000001</v>
      </c>
      <c r="M973" s="59">
        <f>18.7581 * CHOOSE(CONTROL!$C$27, $C$14, 100%, $E$14)</f>
        <v>18.758099999999999</v>
      </c>
      <c r="N973" s="59">
        <f>18.7512 * CHOOSE(CONTROL!$C$27, $C$14, 100%, $E$14)</f>
        <v>18.751200000000001</v>
      </c>
      <c r="O973" s="59">
        <f>18.7581 * CHOOSE(CONTROL!$C$27, $C$14, 100%, $E$14)</f>
        <v>18.758099999999999</v>
      </c>
    </row>
    <row r="974" spans="1:15" ht="15">
      <c r="A974" s="11">
        <v>70738</v>
      </c>
      <c r="B974" s="58">
        <f>16.6939 * CHOOSE(CONTROL!$C$27, $C$14, 100%, $E$14)</f>
        <v>16.693899999999999</v>
      </c>
      <c r="C974" s="58">
        <f>16.6939 * CHOOSE(CONTROL!$C$27, $C$14, 100%, $E$14)</f>
        <v>16.693899999999999</v>
      </c>
      <c r="D974" s="58">
        <f>16.6995 * CHOOSE(CONTROL!$C$27, $C$14, 100%, $E$14)</f>
        <v>16.6995</v>
      </c>
      <c r="E974" s="59">
        <f>18.7137 * CHOOSE(CONTROL!$C$27, $C$14, 100%, $E$14)</f>
        <v>18.713699999999999</v>
      </c>
      <c r="F974" s="59">
        <f>18.7137 * CHOOSE(CONTROL!$C$27, $C$14, 100%, $E$14)</f>
        <v>18.713699999999999</v>
      </c>
      <c r="G974" s="59">
        <f>18.7206 * CHOOSE(CONTROL!$C$27, $C$14, 100%, $E$14)</f>
        <v>18.720600000000001</v>
      </c>
      <c r="H974" s="59">
        <f>35.1028* CHOOSE(CONTROL!$C$27, $C$14, 100%, $E$14)</f>
        <v>35.102800000000002</v>
      </c>
      <c r="I974" s="59">
        <f>35.1097 * CHOOSE(CONTROL!$C$27, $C$14, 100%, $E$14)</f>
        <v>35.109699999999997</v>
      </c>
      <c r="J974" s="59">
        <f>35.1028 * CHOOSE(CONTROL!$C$27, $C$14, 100%, $E$14)</f>
        <v>35.102800000000002</v>
      </c>
      <c r="K974" s="59">
        <f>35.1097 * CHOOSE(CONTROL!$C$27, $C$14, 100%, $E$14)</f>
        <v>35.109699999999997</v>
      </c>
      <c r="L974" s="59">
        <f>18.7137 * CHOOSE(CONTROL!$C$27, $C$14, 100%, $E$14)</f>
        <v>18.713699999999999</v>
      </c>
      <c r="M974" s="59">
        <f>18.7206 * CHOOSE(CONTROL!$C$27, $C$14, 100%, $E$14)</f>
        <v>18.720600000000001</v>
      </c>
      <c r="N974" s="59">
        <f>18.7137 * CHOOSE(CONTROL!$C$27, $C$14, 100%, $E$14)</f>
        <v>18.713699999999999</v>
      </c>
      <c r="O974" s="59">
        <f>18.7206 * CHOOSE(CONTROL!$C$27, $C$14, 100%, $E$14)</f>
        <v>18.720600000000001</v>
      </c>
    </row>
    <row r="975" spans="1:15" ht="15">
      <c r="A975" s="11">
        <v>70768</v>
      </c>
      <c r="B975" s="58">
        <f>16.7297 * CHOOSE(CONTROL!$C$27, $C$14, 100%, $E$14)</f>
        <v>16.729700000000001</v>
      </c>
      <c r="C975" s="58">
        <f>16.7297 * CHOOSE(CONTROL!$C$27, $C$14, 100%, $E$14)</f>
        <v>16.729700000000001</v>
      </c>
      <c r="D975" s="58">
        <f>16.7337 * CHOOSE(CONTROL!$C$27, $C$14, 100%, $E$14)</f>
        <v>16.733699999999999</v>
      </c>
      <c r="E975" s="59">
        <f>18.8417 * CHOOSE(CONTROL!$C$27, $C$14, 100%, $E$14)</f>
        <v>18.841699999999999</v>
      </c>
      <c r="F975" s="59">
        <f>18.8417 * CHOOSE(CONTROL!$C$27, $C$14, 100%, $E$14)</f>
        <v>18.841699999999999</v>
      </c>
      <c r="G975" s="59">
        <f>18.8466 * CHOOSE(CONTROL!$C$27, $C$14, 100%, $E$14)</f>
        <v>18.846599999999999</v>
      </c>
      <c r="H975" s="59">
        <f>35.1759* CHOOSE(CONTROL!$C$27, $C$14, 100%, $E$14)</f>
        <v>35.175899999999999</v>
      </c>
      <c r="I975" s="59">
        <f>35.1809 * CHOOSE(CONTROL!$C$27, $C$14, 100%, $E$14)</f>
        <v>35.180900000000001</v>
      </c>
      <c r="J975" s="59">
        <f>35.1759 * CHOOSE(CONTROL!$C$27, $C$14, 100%, $E$14)</f>
        <v>35.175899999999999</v>
      </c>
      <c r="K975" s="59">
        <f>35.1809 * CHOOSE(CONTROL!$C$27, $C$14, 100%, $E$14)</f>
        <v>35.180900000000001</v>
      </c>
      <c r="L975" s="59">
        <f>18.8417 * CHOOSE(CONTROL!$C$27, $C$14, 100%, $E$14)</f>
        <v>18.841699999999999</v>
      </c>
      <c r="M975" s="59">
        <f>18.8466 * CHOOSE(CONTROL!$C$27, $C$14, 100%, $E$14)</f>
        <v>18.846599999999999</v>
      </c>
      <c r="N975" s="59">
        <f>18.8417 * CHOOSE(CONTROL!$C$27, $C$14, 100%, $E$14)</f>
        <v>18.841699999999999</v>
      </c>
      <c r="O975" s="59">
        <f>18.8466 * CHOOSE(CONTROL!$C$27, $C$14, 100%, $E$14)</f>
        <v>18.846599999999999</v>
      </c>
    </row>
    <row r="976" spans="1:15" ht="15">
      <c r="A976" s="11">
        <v>70799</v>
      </c>
      <c r="B976" s="58">
        <f>16.7327 * CHOOSE(CONTROL!$C$27, $C$14, 100%, $E$14)</f>
        <v>16.732700000000001</v>
      </c>
      <c r="C976" s="58">
        <f>16.7327 * CHOOSE(CONTROL!$C$27, $C$14, 100%, $E$14)</f>
        <v>16.732700000000001</v>
      </c>
      <c r="D976" s="58">
        <f>16.7367 * CHOOSE(CONTROL!$C$27, $C$14, 100%, $E$14)</f>
        <v>16.736699999999999</v>
      </c>
      <c r="E976" s="59">
        <f>18.9145 * CHOOSE(CONTROL!$C$27, $C$14, 100%, $E$14)</f>
        <v>18.9145</v>
      </c>
      <c r="F976" s="59">
        <f>18.9145 * CHOOSE(CONTROL!$C$27, $C$14, 100%, $E$14)</f>
        <v>18.9145</v>
      </c>
      <c r="G976" s="59">
        <f>18.9194 * CHOOSE(CONTROL!$C$27, $C$14, 100%, $E$14)</f>
        <v>18.9194</v>
      </c>
      <c r="H976" s="59">
        <f>35.2492* CHOOSE(CONTROL!$C$27, $C$14, 100%, $E$14)</f>
        <v>35.249200000000002</v>
      </c>
      <c r="I976" s="59">
        <f>35.2541 * CHOOSE(CONTROL!$C$27, $C$14, 100%, $E$14)</f>
        <v>35.254100000000001</v>
      </c>
      <c r="J976" s="59">
        <f>35.2492 * CHOOSE(CONTROL!$C$27, $C$14, 100%, $E$14)</f>
        <v>35.249200000000002</v>
      </c>
      <c r="K976" s="59">
        <f>35.2541 * CHOOSE(CONTROL!$C$27, $C$14, 100%, $E$14)</f>
        <v>35.254100000000001</v>
      </c>
      <c r="L976" s="59">
        <f>18.9145 * CHOOSE(CONTROL!$C$27, $C$14, 100%, $E$14)</f>
        <v>18.9145</v>
      </c>
      <c r="M976" s="59">
        <f>18.9194 * CHOOSE(CONTROL!$C$27, $C$14, 100%, $E$14)</f>
        <v>18.9194</v>
      </c>
      <c r="N976" s="59">
        <f>18.9145 * CHOOSE(CONTROL!$C$27, $C$14, 100%, $E$14)</f>
        <v>18.9145</v>
      </c>
      <c r="O976" s="59">
        <f>18.9194 * CHOOSE(CONTROL!$C$27, $C$14, 100%, $E$14)</f>
        <v>18.9194</v>
      </c>
    </row>
    <row r="977" spans="1:15" ht="15">
      <c r="A977" s="11">
        <v>70829</v>
      </c>
      <c r="B977" s="58">
        <f>16.7327 * CHOOSE(CONTROL!$C$27, $C$14, 100%, $E$14)</f>
        <v>16.732700000000001</v>
      </c>
      <c r="C977" s="58">
        <f>16.7327 * CHOOSE(CONTROL!$C$27, $C$14, 100%, $E$14)</f>
        <v>16.732700000000001</v>
      </c>
      <c r="D977" s="58">
        <f>16.7367 * CHOOSE(CONTROL!$C$27, $C$14, 100%, $E$14)</f>
        <v>16.736699999999999</v>
      </c>
      <c r="E977" s="59">
        <f>18.7378 * CHOOSE(CONTROL!$C$27, $C$14, 100%, $E$14)</f>
        <v>18.7378</v>
      </c>
      <c r="F977" s="59">
        <f>18.7378 * CHOOSE(CONTROL!$C$27, $C$14, 100%, $E$14)</f>
        <v>18.7378</v>
      </c>
      <c r="G977" s="59">
        <f>18.7427 * CHOOSE(CONTROL!$C$27, $C$14, 100%, $E$14)</f>
        <v>18.742699999999999</v>
      </c>
      <c r="H977" s="59">
        <f>35.3227* CHOOSE(CONTROL!$C$27, $C$14, 100%, $E$14)</f>
        <v>35.322699999999998</v>
      </c>
      <c r="I977" s="59">
        <f>35.3276 * CHOOSE(CONTROL!$C$27, $C$14, 100%, $E$14)</f>
        <v>35.327599999999997</v>
      </c>
      <c r="J977" s="59">
        <f>35.3227 * CHOOSE(CONTROL!$C$27, $C$14, 100%, $E$14)</f>
        <v>35.322699999999998</v>
      </c>
      <c r="K977" s="59">
        <f>35.3276 * CHOOSE(CONTROL!$C$27, $C$14, 100%, $E$14)</f>
        <v>35.327599999999997</v>
      </c>
      <c r="L977" s="59">
        <f>18.7378 * CHOOSE(CONTROL!$C$27, $C$14, 100%, $E$14)</f>
        <v>18.7378</v>
      </c>
      <c r="M977" s="59">
        <f>18.7427 * CHOOSE(CONTROL!$C$27, $C$14, 100%, $E$14)</f>
        <v>18.742699999999999</v>
      </c>
      <c r="N977" s="59">
        <f>18.7378 * CHOOSE(CONTROL!$C$27, $C$14, 100%, $E$14)</f>
        <v>18.7378</v>
      </c>
      <c r="O977" s="59">
        <f>18.7427 * CHOOSE(CONTROL!$C$27, $C$14, 100%, $E$14)</f>
        <v>18.742699999999999</v>
      </c>
    </row>
    <row r="978" spans="1:15" ht="15">
      <c r="A978" s="11">
        <v>70860</v>
      </c>
      <c r="B978" s="58">
        <f>16.67 * CHOOSE(CONTROL!$C$27, $C$14, 100%, $E$14)</f>
        <v>16.670000000000002</v>
      </c>
      <c r="C978" s="58">
        <f>16.67 * CHOOSE(CONTROL!$C$27, $C$14, 100%, $E$14)</f>
        <v>16.670000000000002</v>
      </c>
      <c r="D978" s="58">
        <f>16.674 * CHOOSE(CONTROL!$C$27, $C$14, 100%, $E$14)</f>
        <v>16.673999999999999</v>
      </c>
      <c r="E978" s="59">
        <f>18.8149 * CHOOSE(CONTROL!$C$27, $C$14, 100%, $E$14)</f>
        <v>18.814900000000002</v>
      </c>
      <c r="F978" s="59">
        <f>18.8149 * CHOOSE(CONTROL!$C$27, $C$14, 100%, $E$14)</f>
        <v>18.814900000000002</v>
      </c>
      <c r="G978" s="59">
        <f>18.8199 * CHOOSE(CONTROL!$C$27, $C$14, 100%, $E$14)</f>
        <v>18.819900000000001</v>
      </c>
      <c r="H978" s="59">
        <f>35.0058* CHOOSE(CONTROL!$C$27, $C$14, 100%, $E$14)</f>
        <v>35.005800000000001</v>
      </c>
      <c r="I978" s="59">
        <f>35.0107 * CHOOSE(CONTROL!$C$27, $C$14, 100%, $E$14)</f>
        <v>35.0107</v>
      </c>
      <c r="J978" s="59">
        <f>35.0058 * CHOOSE(CONTROL!$C$27, $C$14, 100%, $E$14)</f>
        <v>35.005800000000001</v>
      </c>
      <c r="K978" s="59">
        <f>35.0107 * CHOOSE(CONTROL!$C$27, $C$14, 100%, $E$14)</f>
        <v>35.0107</v>
      </c>
      <c r="L978" s="59">
        <f>18.8149 * CHOOSE(CONTROL!$C$27, $C$14, 100%, $E$14)</f>
        <v>18.814900000000002</v>
      </c>
      <c r="M978" s="59">
        <f>18.8199 * CHOOSE(CONTROL!$C$27, $C$14, 100%, $E$14)</f>
        <v>18.819900000000001</v>
      </c>
      <c r="N978" s="59">
        <f>18.8149 * CHOOSE(CONTROL!$C$27, $C$14, 100%, $E$14)</f>
        <v>18.814900000000002</v>
      </c>
      <c r="O978" s="59">
        <f>18.8199 * CHOOSE(CONTROL!$C$27, $C$14, 100%, $E$14)</f>
        <v>18.819900000000001</v>
      </c>
    </row>
    <row r="979" spans="1:15" ht="15">
      <c r="A979" s="11">
        <v>70891</v>
      </c>
      <c r="B979" s="58">
        <f>16.667 * CHOOSE(CONTROL!$C$27, $C$14, 100%, $E$14)</f>
        <v>16.667000000000002</v>
      </c>
      <c r="C979" s="58">
        <f>16.667 * CHOOSE(CONTROL!$C$27, $C$14, 100%, $E$14)</f>
        <v>16.667000000000002</v>
      </c>
      <c r="D979" s="58">
        <f>16.671 * CHOOSE(CONTROL!$C$27, $C$14, 100%, $E$14)</f>
        <v>16.670999999999999</v>
      </c>
      <c r="E979" s="59">
        <f>18.4739 * CHOOSE(CONTROL!$C$27, $C$14, 100%, $E$14)</f>
        <v>18.4739</v>
      </c>
      <c r="F979" s="59">
        <f>18.4739 * CHOOSE(CONTROL!$C$27, $C$14, 100%, $E$14)</f>
        <v>18.4739</v>
      </c>
      <c r="G979" s="59">
        <f>18.4788 * CHOOSE(CONTROL!$C$27, $C$14, 100%, $E$14)</f>
        <v>18.4788</v>
      </c>
      <c r="H979" s="59">
        <f>35.0787* CHOOSE(CONTROL!$C$27, $C$14, 100%, $E$14)</f>
        <v>35.078699999999998</v>
      </c>
      <c r="I979" s="59">
        <f>35.0836 * CHOOSE(CONTROL!$C$27, $C$14, 100%, $E$14)</f>
        <v>35.083599999999997</v>
      </c>
      <c r="J979" s="59">
        <f>35.0787 * CHOOSE(CONTROL!$C$27, $C$14, 100%, $E$14)</f>
        <v>35.078699999999998</v>
      </c>
      <c r="K979" s="59">
        <f>35.0836 * CHOOSE(CONTROL!$C$27, $C$14, 100%, $E$14)</f>
        <v>35.083599999999997</v>
      </c>
      <c r="L979" s="59">
        <f>18.4739 * CHOOSE(CONTROL!$C$27, $C$14, 100%, $E$14)</f>
        <v>18.4739</v>
      </c>
      <c r="M979" s="59">
        <f>18.4788 * CHOOSE(CONTROL!$C$27, $C$14, 100%, $E$14)</f>
        <v>18.4788</v>
      </c>
      <c r="N979" s="59">
        <f>18.4739 * CHOOSE(CONTROL!$C$27, $C$14, 100%, $E$14)</f>
        <v>18.4739</v>
      </c>
      <c r="O979" s="59">
        <f>18.4788 * CHOOSE(CONTROL!$C$27, $C$14, 100%, $E$14)</f>
        <v>18.4788</v>
      </c>
    </row>
    <row r="980" spans="1:15" ht="15">
      <c r="A980" s="11">
        <v>70919</v>
      </c>
      <c r="B980" s="58">
        <f>16.6639 * CHOOSE(CONTROL!$C$27, $C$14, 100%, $E$14)</f>
        <v>16.663900000000002</v>
      </c>
      <c r="C980" s="58">
        <f>16.6639 * CHOOSE(CONTROL!$C$27, $C$14, 100%, $E$14)</f>
        <v>16.663900000000002</v>
      </c>
      <c r="D980" s="58">
        <f>16.6679 * CHOOSE(CONTROL!$C$27, $C$14, 100%, $E$14)</f>
        <v>16.667899999999999</v>
      </c>
      <c r="E980" s="59">
        <f>18.739 * CHOOSE(CONTROL!$C$27, $C$14, 100%, $E$14)</f>
        <v>18.739000000000001</v>
      </c>
      <c r="F980" s="59">
        <f>18.739 * CHOOSE(CONTROL!$C$27, $C$14, 100%, $E$14)</f>
        <v>18.739000000000001</v>
      </c>
      <c r="G980" s="59">
        <f>18.7439 * CHOOSE(CONTROL!$C$27, $C$14, 100%, $E$14)</f>
        <v>18.7439</v>
      </c>
      <c r="H980" s="59">
        <f>35.1518* CHOOSE(CONTROL!$C$27, $C$14, 100%, $E$14)</f>
        <v>35.151800000000001</v>
      </c>
      <c r="I980" s="59">
        <f>35.1567 * CHOOSE(CONTROL!$C$27, $C$14, 100%, $E$14)</f>
        <v>35.156700000000001</v>
      </c>
      <c r="J980" s="59">
        <f>35.1518 * CHOOSE(CONTROL!$C$27, $C$14, 100%, $E$14)</f>
        <v>35.151800000000001</v>
      </c>
      <c r="K980" s="59">
        <f>35.1567 * CHOOSE(CONTROL!$C$27, $C$14, 100%, $E$14)</f>
        <v>35.156700000000001</v>
      </c>
      <c r="L980" s="59">
        <f>18.739 * CHOOSE(CONTROL!$C$27, $C$14, 100%, $E$14)</f>
        <v>18.739000000000001</v>
      </c>
      <c r="M980" s="59">
        <f>18.7439 * CHOOSE(CONTROL!$C$27, $C$14, 100%, $E$14)</f>
        <v>18.7439</v>
      </c>
      <c r="N980" s="59">
        <f>18.739 * CHOOSE(CONTROL!$C$27, $C$14, 100%, $E$14)</f>
        <v>18.739000000000001</v>
      </c>
      <c r="O980" s="59">
        <f>18.7439 * CHOOSE(CONTROL!$C$27, $C$14, 100%, $E$14)</f>
        <v>18.7439</v>
      </c>
    </row>
    <row r="981" spans="1:15" ht="15">
      <c r="A981" s="11">
        <v>70950</v>
      </c>
      <c r="B981" s="58">
        <f>16.6722 * CHOOSE(CONTROL!$C$27, $C$14, 100%, $E$14)</f>
        <v>16.6722</v>
      </c>
      <c r="C981" s="58">
        <f>16.6722 * CHOOSE(CONTROL!$C$27, $C$14, 100%, $E$14)</f>
        <v>16.6722</v>
      </c>
      <c r="D981" s="58">
        <f>16.6762 * CHOOSE(CONTROL!$C$27, $C$14, 100%, $E$14)</f>
        <v>16.676200000000001</v>
      </c>
      <c r="E981" s="59">
        <f>19.0217 * CHOOSE(CONTROL!$C$27, $C$14, 100%, $E$14)</f>
        <v>19.021699999999999</v>
      </c>
      <c r="F981" s="59">
        <f>19.0217 * CHOOSE(CONTROL!$C$27, $C$14, 100%, $E$14)</f>
        <v>19.021699999999999</v>
      </c>
      <c r="G981" s="59">
        <f>19.0266 * CHOOSE(CONTROL!$C$27, $C$14, 100%, $E$14)</f>
        <v>19.026599999999998</v>
      </c>
      <c r="H981" s="59">
        <f>35.225* CHOOSE(CONTROL!$C$27, $C$14, 100%, $E$14)</f>
        <v>35.225000000000001</v>
      </c>
      <c r="I981" s="59">
        <f>35.2299 * CHOOSE(CONTROL!$C$27, $C$14, 100%, $E$14)</f>
        <v>35.229900000000001</v>
      </c>
      <c r="J981" s="59">
        <f>35.225 * CHOOSE(CONTROL!$C$27, $C$14, 100%, $E$14)</f>
        <v>35.225000000000001</v>
      </c>
      <c r="K981" s="59">
        <f>35.2299 * CHOOSE(CONTROL!$C$27, $C$14, 100%, $E$14)</f>
        <v>35.229900000000001</v>
      </c>
      <c r="L981" s="59">
        <f>19.0217 * CHOOSE(CONTROL!$C$27, $C$14, 100%, $E$14)</f>
        <v>19.021699999999999</v>
      </c>
      <c r="M981" s="59">
        <f>19.0266 * CHOOSE(CONTROL!$C$27, $C$14, 100%, $E$14)</f>
        <v>19.026599999999998</v>
      </c>
      <c r="N981" s="59">
        <f>19.0217 * CHOOSE(CONTROL!$C$27, $C$14, 100%, $E$14)</f>
        <v>19.021699999999999</v>
      </c>
      <c r="O981" s="59">
        <f>19.0266 * CHOOSE(CONTROL!$C$27, $C$14, 100%, $E$14)</f>
        <v>19.026599999999998</v>
      </c>
    </row>
    <row r="982" spans="1:15" ht="15">
      <c r="A982" s="11">
        <v>70980</v>
      </c>
      <c r="B982" s="58">
        <f>16.6722 * CHOOSE(CONTROL!$C$27, $C$14, 100%, $E$14)</f>
        <v>16.6722</v>
      </c>
      <c r="C982" s="58">
        <f>16.6722 * CHOOSE(CONTROL!$C$27, $C$14, 100%, $E$14)</f>
        <v>16.6722</v>
      </c>
      <c r="D982" s="58">
        <f>16.6778 * CHOOSE(CONTROL!$C$27, $C$14, 100%, $E$14)</f>
        <v>16.677800000000001</v>
      </c>
      <c r="E982" s="59">
        <f>19.1293 * CHOOSE(CONTROL!$C$27, $C$14, 100%, $E$14)</f>
        <v>19.129300000000001</v>
      </c>
      <c r="F982" s="59">
        <f>19.1293 * CHOOSE(CONTROL!$C$27, $C$14, 100%, $E$14)</f>
        <v>19.129300000000001</v>
      </c>
      <c r="G982" s="59">
        <f>19.1362 * CHOOSE(CONTROL!$C$27, $C$14, 100%, $E$14)</f>
        <v>19.136199999999999</v>
      </c>
      <c r="H982" s="59">
        <f>35.2984* CHOOSE(CONTROL!$C$27, $C$14, 100%, $E$14)</f>
        <v>35.298400000000001</v>
      </c>
      <c r="I982" s="59">
        <f>35.3053 * CHOOSE(CONTROL!$C$27, $C$14, 100%, $E$14)</f>
        <v>35.305300000000003</v>
      </c>
      <c r="J982" s="59">
        <f>35.2984 * CHOOSE(CONTROL!$C$27, $C$14, 100%, $E$14)</f>
        <v>35.298400000000001</v>
      </c>
      <c r="K982" s="59">
        <f>35.3053 * CHOOSE(CONTROL!$C$27, $C$14, 100%, $E$14)</f>
        <v>35.305300000000003</v>
      </c>
      <c r="L982" s="59">
        <f>19.1293 * CHOOSE(CONTROL!$C$27, $C$14, 100%, $E$14)</f>
        <v>19.129300000000001</v>
      </c>
      <c r="M982" s="59">
        <f>19.1362 * CHOOSE(CONTROL!$C$27, $C$14, 100%, $E$14)</f>
        <v>19.136199999999999</v>
      </c>
      <c r="N982" s="59">
        <f>19.1293 * CHOOSE(CONTROL!$C$27, $C$14, 100%, $E$14)</f>
        <v>19.129300000000001</v>
      </c>
      <c r="O982" s="59">
        <f>19.1362 * CHOOSE(CONTROL!$C$27, $C$14, 100%, $E$14)</f>
        <v>19.136199999999999</v>
      </c>
    </row>
    <row r="983" spans="1:15" ht="15">
      <c r="A983" s="11">
        <v>71011</v>
      </c>
      <c r="B983" s="58">
        <f>16.6782 * CHOOSE(CONTROL!$C$27, $C$14, 100%, $E$14)</f>
        <v>16.6782</v>
      </c>
      <c r="C983" s="58">
        <f>16.6782 * CHOOSE(CONTROL!$C$27, $C$14, 100%, $E$14)</f>
        <v>16.6782</v>
      </c>
      <c r="D983" s="58">
        <f>16.6839 * CHOOSE(CONTROL!$C$27, $C$14, 100%, $E$14)</f>
        <v>16.683900000000001</v>
      </c>
      <c r="E983" s="59">
        <f>19.0259 * CHOOSE(CONTROL!$C$27, $C$14, 100%, $E$14)</f>
        <v>19.0259</v>
      </c>
      <c r="F983" s="59">
        <f>19.0259 * CHOOSE(CONTROL!$C$27, $C$14, 100%, $E$14)</f>
        <v>19.0259</v>
      </c>
      <c r="G983" s="59">
        <f>19.0328 * CHOOSE(CONTROL!$C$27, $C$14, 100%, $E$14)</f>
        <v>19.032800000000002</v>
      </c>
      <c r="H983" s="59">
        <f>35.3719* CHOOSE(CONTROL!$C$27, $C$14, 100%, $E$14)</f>
        <v>35.371899999999997</v>
      </c>
      <c r="I983" s="59">
        <f>35.3788 * CHOOSE(CONTROL!$C$27, $C$14, 100%, $E$14)</f>
        <v>35.378799999999998</v>
      </c>
      <c r="J983" s="59">
        <f>35.3719 * CHOOSE(CONTROL!$C$27, $C$14, 100%, $E$14)</f>
        <v>35.371899999999997</v>
      </c>
      <c r="K983" s="59">
        <f>35.3788 * CHOOSE(CONTROL!$C$27, $C$14, 100%, $E$14)</f>
        <v>35.378799999999998</v>
      </c>
      <c r="L983" s="59">
        <f>19.0259 * CHOOSE(CONTROL!$C$27, $C$14, 100%, $E$14)</f>
        <v>19.0259</v>
      </c>
      <c r="M983" s="59">
        <f>19.0328 * CHOOSE(CONTROL!$C$27, $C$14, 100%, $E$14)</f>
        <v>19.032800000000002</v>
      </c>
      <c r="N983" s="59">
        <f>19.0259 * CHOOSE(CONTROL!$C$27, $C$14, 100%, $E$14)</f>
        <v>19.0259</v>
      </c>
      <c r="O983" s="59">
        <f>19.0328 * CHOOSE(CONTROL!$C$27, $C$14, 100%, $E$14)</f>
        <v>19.032800000000002</v>
      </c>
    </row>
    <row r="984" spans="1:15" ht="15">
      <c r="A984" s="11">
        <v>71041</v>
      </c>
      <c r="B984" s="58">
        <f>16.9294 * CHOOSE(CONTROL!$C$27, $C$14, 100%, $E$14)</f>
        <v>16.929400000000001</v>
      </c>
      <c r="C984" s="58">
        <f>16.9294 * CHOOSE(CONTROL!$C$27, $C$14, 100%, $E$14)</f>
        <v>16.929400000000001</v>
      </c>
      <c r="D984" s="58">
        <f>16.935 * CHOOSE(CONTROL!$C$27, $C$14, 100%, $E$14)</f>
        <v>16.934999999999999</v>
      </c>
      <c r="E984" s="59">
        <f>19.3264 * CHOOSE(CONTROL!$C$27, $C$14, 100%, $E$14)</f>
        <v>19.3264</v>
      </c>
      <c r="F984" s="59">
        <f>19.3264 * CHOOSE(CONTROL!$C$27, $C$14, 100%, $E$14)</f>
        <v>19.3264</v>
      </c>
      <c r="G984" s="59">
        <f>19.3333 * CHOOSE(CONTROL!$C$27, $C$14, 100%, $E$14)</f>
        <v>19.333300000000001</v>
      </c>
      <c r="H984" s="59">
        <f>35.4456* CHOOSE(CONTROL!$C$27, $C$14, 100%, $E$14)</f>
        <v>35.445599999999999</v>
      </c>
      <c r="I984" s="59">
        <f>35.4525 * CHOOSE(CONTROL!$C$27, $C$14, 100%, $E$14)</f>
        <v>35.452500000000001</v>
      </c>
      <c r="J984" s="59">
        <f>35.4456 * CHOOSE(CONTROL!$C$27, $C$14, 100%, $E$14)</f>
        <v>35.445599999999999</v>
      </c>
      <c r="K984" s="59">
        <f>35.4525 * CHOOSE(CONTROL!$C$27, $C$14, 100%, $E$14)</f>
        <v>35.452500000000001</v>
      </c>
      <c r="L984" s="59">
        <f>19.3264 * CHOOSE(CONTROL!$C$27, $C$14, 100%, $E$14)</f>
        <v>19.3264</v>
      </c>
      <c r="M984" s="59">
        <f>19.3333 * CHOOSE(CONTROL!$C$27, $C$14, 100%, $E$14)</f>
        <v>19.333300000000001</v>
      </c>
      <c r="N984" s="59">
        <f>19.3264 * CHOOSE(CONTROL!$C$27, $C$14, 100%, $E$14)</f>
        <v>19.3264</v>
      </c>
      <c r="O984" s="59">
        <f>19.3333 * CHOOSE(CONTROL!$C$27, $C$14, 100%, $E$14)</f>
        <v>19.333300000000001</v>
      </c>
    </row>
    <row r="985" spans="1:15" ht="15">
      <c r="A985" s="11">
        <v>71072</v>
      </c>
      <c r="B985" s="58">
        <f>16.9361 * CHOOSE(CONTROL!$C$27, $C$14, 100%, $E$14)</f>
        <v>16.9361</v>
      </c>
      <c r="C985" s="58">
        <f>16.9361 * CHOOSE(CONTROL!$C$27, $C$14, 100%, $E$14)</f>
        <v>16.9361</v>
      </c>
      <c r="D985" s="58">
        <f>16.9417 * CHOOSE(CONTROL!$C$27, $C$14, 100%, $E$14)</f>
        <v>16.941700000000001</v>
      </c>
      <c r="E985" s="59">
        <f>19.0083 * CHOOSE(CONTROL!$C$27, $C$14, 100%, $E$14)</f>
        <v>19.008299999999998</v>
      </c>
      <c r="F985" s="59">
        <f>19.0083 * CHOOSE(CONTROL!$C$27, $C$14, 100%, $E$14)</f>
        <v>19.008299999999998</v>
      </c>
      <c r="G985" s="59">
        <f>19.0151 * CHOOSE(CONTROL!$C$27, $C$14, 100%, $E$14)</f>
        <v>19.0151</v>
      </c>
      <c r="H985" s="59">
        <f>35.5195* CHOOSE(CONTROL!$C$27, $C$14, 100%, $E$14)</f>
        <v>35.519500000000001</v>
      </c>
      <c r="I985" s="59">
        <f>35.5263 * CHOOSE(CONTROL!$C$27, $C$14, 100%, $E$14)</f>
        <v>35.526299999999999</v>
      </c>
      <c r="J985" s="59">
        <f>35.5195 * CHOOSE(CONTROL!$C$27, $C$14, 100%, $E$14)</f>
        <v>35.519500000000001</v>
      </c>
      <c r="K985" s="59">
        <f>35.5263 * CHOOSE(CONTROL!$C$27, $C$14, 100%, $E$14)</f>
        <v>35.526299999999999</v>
      </c>
      <c r="L985" s="59">
        <f>19.0083 * CHOOSE(CONTROL!$C$27, $C$14, 100%, $E$14)</f>
        <v>19.008299999999998</v>
      </c>
      <c r="M985" s="59">
        <f>19.0151 * CHOOSE(CONTROL!$C$27, $C$14, 100%, $E$14)</f>
        <v>19.0151</v>
      </c>
      <c r="N985" s="59">
        <f>19.0083 * CHOOSE(CONTROL!$C$27, $C$14, 100%, $E$14)</f>
        <v>19.008299999999998</v>
      </c>
      <c r="O985" s="59">
        <f>19.0151 * CHOOSE(CONTROL!$C$27, $C$14, 100%, $E$14)</f>
        <v>19.0151</v>
      </c>
    </row>
    <row r="986" spans="1:15" ht="15">
      <c r="A986" s="11">
        <v>71103</v>
      </c>
      <c r="B986" s="58">
        <f>16.933 * CHOOSE(CONTROL!$C$27, $C$14, 100%, $E$14)</f>
        <v>16.933</v>
      </c>
      <c r="C986" s="58">
        <f>16.933 * CHOOSE(CONTROL!$C$27, $C$14, 100%, $E$14)</f>
        <v>16.933</v>
      </c>
      <c r="D986" s="58">
        <f>16.9387 * CHOOSE(CONTROL!$C$27, $C$14, 100%, $E$14)</f>
        <v>16.938700000000001</v>
      </c>
      <c r="E986" s="59">
        <f>18.9703 * CHOOSE(CONTROL!$C$27, $C$14, 100%, $E$14)</f>
        <v>18.970300000000002</v>
      </c>
      <c r="F986" s="59">
        <f>18.9703 * CHOOSE(CONTROL!$C$27, $C$14, 100%, $E$14)</f>
        <v>18.970300000000002</v>
      </c>
      <c r="G986" s="59">
        <f>18.9772 * CHOOSE(CONTROL!$C$27, $C$14, 100%, $E$14)</f>
        <v>18.9772</v>
      </c>
      <c r="H986" s="59">
        <f>35.5935* CHOOSE(CONTROL!$C$27, $C$14, 100%, $E$14)</f>
        <v>35.593499999999999</v>
      </c>
      <c r="I986" s="59">
        <f>35.6003 * CHOOSE(CONTROL!$C$27, $C$14, 100%, $E$14)</f>
        <v>35.600299999999997</v>
      </c>
      <c r="J986" s="59">
        <f>35.5935 * CHOOSE(CONTROL!$C$27, $C$14, 100%, $E$14)</f>
        <v>35.593499999999999</v>
      </c>
      <c r="K986" s="59">
        <f>35.6003 * CHOOSE(CONTROL!$C$27, $C$14, 100%, $E$14)</f>
        <v>35.600299999999997</v>
      </c>
      <c r="L986" s="59">
        <f>18.9703 * CHOOSE(CONTROL!$C$27, $C$14, 100%, $E$14)</f>
        <v>18.970300000000002</v>
      </c>
      <c r="M986" s="59">
        <f>18.9772 * CHOOSE(CONTROL!$C$27, $C$14, 100%, $E$14)</f>
        <v>18.9772</v>
      </c>
      <c r="N986" s="59">
        <f>18.9703 * CHOOSE(CONTROL!$C$27, $C$14, 100%, $E$14)</f>
        <v>18.970300000000002</v>
      </c>
      <c r="O986" s="59">
        <f>18.9772 * CHOOSE(CONTROL!$C$27, $C$14, 100%, $E$14)</f>
        <v>18.9772</v>
      </c>
    </row>
    <row r="987" spans="1:15" ht="15">
      <c r="A987" s="11">
        <v>71133</v>
      </c>
      <c r="B987" s="58">
        <f>16.9696 * CHOOSE(CONTROL!$C$27, $C$14, 100%, $E$14)</f>
        <v>16.9696</v>
      </c>
      <c r="C987" s="58">
        <f>16.9696 * CHOOSE(CONTROL!$C$27, $C$14, 100%, $E$14)</f>
        <v>16.9696</v>
      </c>
      <c r="D987" s="58">
        <f>16.9736 * CHOOSE(CONTROL!$C$27, $C$14, 100%, $E$14)</f>
        <v>16.973600000000001</v>
      </c>
      <c r="E987" s="59">
        <f>19.1003 * CHOOSE(CONTROL!$C$27, $C$14, 100%, $E$14)</f>
        <v>19.100300000000001</v>
      </c>
      <c r="F987" s="59">
        <f>19.1003 * CHOOSE(CONTROL!$C$27, $C$14, 100%, $E$14)</f>
        <v>19.100300000000001</v>
      </c>
      <c r="G987" s="59">
        <f>19.1052 * CHOOSE(CONTROL!$C$27, $C$14, 100%, $E$14)</f>
        <v>19.1052</v>
      </c>
      <c r="H987" s="59">
        <f>35.6676* CHOOSE(CONTROL!$C$27, $C$14, 100%, $E$14)</f>
        <v>35.6676</v>
      </c>
      <c r="I987" s="59">
        <f>35.6725 * CHOOSE(CONTROL!$C$27, $C$14, 100%, $E$14)</f>
        <v>35.672499999999999</v>
      </c>
      <c r="J987" s="59">
        <f>35.6676 * CHOOSE(CONTROL!$C$27, $C$14, 100%, $E$14)</f>
        <v>35.6676</v>
      </c>
      <c r="K987" s="59">
        <f>35.6725 * CHOOSE(CONTROL!$C$27, $C$14, 100%, $E$14)</f>
        <v>35.672499999999999</v>
      </c>
      <c r="L987" s="59">
        <f>19.1003 * CHOOSE(CONTROL!$C$27, $C$14, 100%, $E$14)</f>
        <v>19.100300000000001</v>
      </c>
      <c r="M987" s="59">
        <f>19.1052 * CHOOSE(CONTROL!$C$27, $C$14, 100%, $E$14)</f>
        <v>19.1052</v>
      </c>
      <c r="N987" s="59">
        <f>19.1003 * CHOOSE(CONTROL!$C$27, $C$14, 100%, $E$14)</f>
        <v>19.100300000000001</v>
      </c>
      <c r="O987" s="59">
        <f>19.1052 * CHOOSE(CONTROL!$C$27, $C$14, 100%, $E$14)</f>
        <v>19.1052</v>
      </c>
    </row>
    <row r="988" spans="1:15" ht="15">
      <c r="A988" s="11">
        <v>71164</v>
      </c>
      <c r="B988" s="58">
        <f>16.9727 * CHOOSE(CONTROL!$C$27, $C$14, 100%, $E$14)</f>
        <v>16.9727</v>
      </c>
      <c r="C988" s="58">
        <f>16.9727 * CHOOSE(CONTROL!$C$27, $C$14, 100%, $E$14)</f>
        <v>16.9727</v>
      </c>
      <c r="D988" s="58">
        <f>16.9767 * CHOOSE(CONTROL!$C$27, $C$14, 100%, $E$14)</f>
        <v>16.976700000000001</v>
      </c>
      <c r="E988" s="59">
        <f>19.1742 * CHOOSE(CONTROL!$C$27, $C$14, 100%, $E$14)</f>
        <v>19.174199999999999</v>
      </c>
      <c r="F988" s="59">
        <f>19.1742 * CHOOSE(CONTROL!$C$27, $C$14, 100%, $E$14)</f>
        <v>19.174199999999999</v>
      </c>
      <c r="G988" s="59">
        <f>19.1791 * CHOOSE(CONTROL!$C$27, $C$14, 100%, $E$14)</f>
        <v>19.179099999999998</v>
      </c>
      <c r="H988" s="59">
        <f>35.7419* CHOOSE(CONTROL!$C$27, $C$14, 100%, $E$14)</f>
        <v>35.741900000000001</v>
      </c>
      <c r="I988" s="59">
        <f>35.7468 * CHOOSE(CONTROL!$C$27, $C$14, 100%, $E$14)</f>
        <v>35.7468</v>
      </c>
      <c r="J988" s="59">
        <f>35.7419 * CHOOSE(CONTROL!$C$27, $C$14, 100%, $E$14)</f>
        <v>35.741900000000001</v>
      </c>
      <c r="K988" s="59">
        <f>35.7468 * CHOOSE(CONTROL!$C$27, $C$14, 100%, $E$14)</f>
        <v>35.7468</v>
      </c>
      <c r="L988" s="59">
        <f>19.1742 * CHOOSE(CONTROL!$C$27, $C$14, 100%, $E$14)</f>
        <v>19.174199999999999</v>
      </c>
      <c r="M988" s="59">
        <f>19.1791 * CHOOSE(CONTROL!$C$27, $C$14, 100%, $E$14)</f>
        <v>19.179099999999998</v>
      </c>
      <c r="N988" s="59">
        <f>19.1742 * CHOOSE(CONTROL!$C$27, $C$14, 100%, $E$14)</f>
        <v>19.174199999999999</v>
      </c>
      <c r="O988" s="59">
        <f>19.1791 * CHOOSE(CONTROL!$C$27, $C$14, 100%, $E$14)</f>
        <v>19.179099999999998</v>
      </c>
    </row>
    <row r="989" spans="1:15" ht="15">
      <c r="A989" s="11">
        <v>71194</v>
      </c>
      <c r="B989" s="58">
        <f>16.9727 * CHOOSE(CONTROL!$C$27, $C$14, 100%, $E$14)</f>
        <v>16.9727</v>
      </c>
      <c r="C989" s="58">
        <f>16.9727 * CHOOSE(CONTROL!$C$27, $C$14, 100%, $E$14)</f>
        <v>16.9727</v>
      </c>
      <c r="D989" s="58">
        <f>16.9767 * CHOOSE(CONTROL!$C$27, $C$14, 100%, $E$14)</f>
        <v>16.976700000000001</v>
      </c>
      <c r="E989" s="59">
        <f>18.9948 * CHOOSE(CONTROL!$C$27, $C$14, 100%, $E$14)</f>
        <v>18.994800000000001</v>
      </c>
      <c r="F989" s="59">
        <f>18.9948 * CHOOSE(CONTROL!$C$27, $C$14, 100%, $E$14)</f>
        <v>18.994800000000001</v>
      </c>
      <c r="G989" s="59">
        <f>18.9998 * CHOOSE(CONTROL!$C$27, $C$14, 100%, $E$14)</f>
        <v>18.9998</v>
      </c>
      <c r="H989" s="59">
        <f>35.8164* CHOOSE(CONTROL!$C$27, $C$14, 100%, $E$14)</f>
        <v>35.816400000000002</v>
      </c>
      <c r="I989" s="59">
        <f>35.8213 * CHOOSE(CONTROL!$C$27, $C$14, 100%, $E$14)</f>
        <v>35.821300000000001</v>
      </c>
      <c r="J989" s="59">
        <f>35.8164 * CHOOSE(CONTROL!$C$27, $C$14, 100%, $E$14)</f>
        <v>35.816400000000002</v>
      </c>
      <c r="K989" s="59">
        <f>35.8213 * CHOOSE(CONTROL!$C$27, $C$14, 100%, $E$14)</f>
        <v>35.821300000000001</v>
      </c>
      <c r="L989" s="59">
        <f>18.9948 * CHOOSE(CONTROL!$C$27, $C$14, 100%, $E$14)</f>
        <v>18.994800000000001</v>
      </c>
      <c r="M989" s="59">
        <f>18.9998 * CHOOSE(CONTROL!$C$27, $C$14, 100%, $E$14)</f>
        <v>18.9998</v>
      </c>
      <c r="N989" s="59">
        <f>18.9948 * CHOOSE(CONTROL!$C$27, $C$14, 100%, $E$14)</f>
        <v>18.994800000000001</v>
      </c>
      <c r="O989" s="59">
        <f>18.9998 * CHOOSE(CONTROL!$C$27, $C$14, 100%, $E$14)</f>
        <v>18.9998</v>
      </c>
    </row>
    <row r="990" spans="1:15" ht="15">
      <c r="A990" s="11">
        <v>71225</v>
      </c>
      <c r="B990" s="58">
        <f>16.9056 * CHOOSE(CONTROL!$C$27, $C$14, 100%, $E$14)</f>
        <v>16.9056</v>
      </c>
      <c r="C990" s="58">
        <f>16.9056 * CHOOSE(CONTROL!$C$27, $C$14, 100%, $E$14)</f>
        <v>16.9056</v>
      </c>
      <c r="D990" s="58">
        <f>16.9096 * CHOOSE(CONTROL!$C$27, $C$14, 100%, $E$14)</f>
        <v>16.909600000000001</v>
      </c>
      <c r="E990" s="59">
        <f>19.0697 * CHOOSE(CONTROL!$C$27, $C$14, 100%, $E$14)</f>
        <v>19.069700000000001</v>
      </c>
      <c r="F990" s="59">
        <f>19.0697 * CHOOSE(CONTROL!$C$27, $C$14, 100%, $E$14)</f>
        <v>19.069700000000001</v>
      </c>
      <c r="G990" s="59">
        <f>19.0746 * CHOOSE(CONTROL!$C$27, $C$14, 100%, $E$14)</f>
        <v>19.0746</v>
      </c>
      <c r="H990" s="59">
        <f>35.4883* CHOOSE(CONTROL!$C$27, $C$14, 100%, $E$14)</f>
        <v>35.488300000000002</v>
      </c>
      <c r="I990" s="59">
        <f>35.4932 * CHOOSE(CONTROL!$C$27, $C$14, 100%, $E$14)</f>
        <v>35.493200000000002</v>
      </c>
      <c r="J990" s="59">
        <f>35.4883 * CHOOSE(CONTROL!$C$27, $C$14, 100%, $E$14)</f>
        <v>35.488300000000002</v>
      </c>
      <c r="K990" s="59">
        <f>35.4932 * CHOOSE(CONTROL!$C$27, $C$14, 100%, $E$14)</f>
        <v>35.493200000000002</v>
      </c>
      <c r="L990" s="59">
        <f>19.0697 * CHOOSE(CONTROL!$C$27, $C$14, 100%, $E$14)</f>
        <v>19.069700000000001</v>
      </c>
      <c r="M990" s="59">
        <f>19.0746 * CHOOSE(CONTROL!$C$27, $C$14, 100%, $E$14)</f>
        <v>19.0746</v>
      </c>
      <c r="N990" s="59">
        <f>19.0697 * CHOOSE(CONTROL!$C$27, $C$14, 100%, $E$14)</f>
        <v>19.069700000000001</v>
      </c>
      <c r="O990" s="59">
        <f>19.0746 * CHOOSE(CONTROL!$C$27, $C$14, 100%, $E$14)</f>
        <v>19.0746</v>
      </c>
    </row>
    <row r="991" spans="1:15" ht="15">
      <c r="A991" s="11">
        <v>71256</v>
      </c>
      <c r="B991" s="58">
        <f>16.9025 * CHOOSE(CONTROL!$C$27, $C$14, 100%, $E$14)</f>
        <v>16.9025</v>
      </c>
      <c r="C991" s="58">
        <f>16.9025 * CHOOSE(CONTROL!$C$27, $C$14, 100%, $E$14)</f>
        <v>16.9025</v>
      </c>
      <c r="D991" s="58">
        <f>16.9065 * CHOOSE(CONTROL!$C$27, $C$14, 100%, $E$14)</f>
        <v>16.906500000000001</v>
      </c>
      <c r="E991" s="59">
        <f>18.7237 * CHOOSE(CONTROL!$C$27, $C$14, 100%, $E$14)</f>
        <v>18.723700000000001</v>
      </c>
      <c r="F991" s="59">
        <f>18.7237 * CHOOSE(CONTROL!$C$27, $C$14, 100%, $E$14)</f>
        <v>18.723700000000001</v>
      </c>
      <c r="G991" s="59">
        <f>18.7286 * CHOOSE(CONTROL!$C$27, $C$14, 100%, $E$14)</f>
        <v>18.7286</v>
      </c>
      <c r="H991" s="59">
        <f>35.5622* CHOOSE(CONTROL!$C$27, $C$14, 100%, $E$14)</f>
        <v>35.562199999999997</v>
      </c>
      <c r="I991" s="59">
        <f>35.5672 * CHOOSE(CONTROL!$C$27, $C$14, 100%, $E$14)</f>
        <v>35.5672</v>
      </c>
      <c r="J991" s="59">
        <f>35.5622 * CHOOSE(CONTROL!$C$27, $C$14, 100%, $E$14)</f>
        <v>35.562199999999997</v>
      </c>
      <c r="K991" s="59">
        <f>35.5672 * CHOOSE(CONTROL!$C$27, $C$14, 100%, $E$14)</f>
        <v>35.5672</v>
      </c>
      <c r="L991" s="59">
        <f>18.7237 * CHOOSE(CONTROL!$C$27, $C$14, 100%, $E$14)</f>
        <v>18.723700000000001</v>
      </c>
      <c r="M991" s="59">
        <f>18.7286 * CHOOSE(CONTROL!$C$27, $C$14, 100%, $E$14)</f>
        <v>18.7286</v>
      </c>
      <c r="N991" s="59">
        <f>18.7237 * CHOOSE(CONTROL!$C$27, $C$14, 100%, $E$14)</f>
        <v>18.723700000000001</v>
      </c>
      <c r="O991" s="59">
        <f>18.7286 * CHOOSE(CONTROL!$C$27, $C$14, 100%, $E$14)</f>
        <v>18.7286</v>
      </c>
    </row>
    <row r="992" spans="1:15" ht="15">
      <c r="A992" s="11">
        <v>71284</v>
      </c>
      <c r="B992" s="58">
        <f>16.8995 * CHOOSE(CONTROL!$C$27, $C$14, 100%, $E$14)</f>
        <v>16.8995</v>
      </c>
      <c r="C992" s="58">
        <f>16.8995 * CHOOSE(CONTROL!$C$27, $C$14, 100%, $E$14)</f>
        <v>16.8995</v>
      </c>
      <c r="D992" s="58">
        <f>16.9035 * CHOOSE(CONTROL!$C$27, $C$14, 100%, $E$14)</f>
        <v>16.903500000000001</v>
      </c>
      <c r="E992" s="59">
        <f>18.9926 * CHOOSE(CONTROL!$C$27, $C$14, 100%, $E$14)</f>
        <v>18.992599999999999</v>
      </c>
      <c r="F992" s="59">
        <f>18.9926 * CHOOSE(CONTROL!$C$27, $C$14, 100%, $E$14)</f>
        <v>18.992599999999999</v>
      </c>
      <c r="G992" s="59">
        <f>18.9976 * CHOOSE(CONTROL!$C$27, $C$14, 100%, $E$14)</f>
        <v>18.997599999999998</v>
      </c>
      <c r="H992" s="59">
        <f>35.6363* CHOOSE(CONTROL!$C$27, $C$14, 100%, $E$14)</f>
        <v>35.636299999999999</v>
      </c>
      <c r="I992" s="59">
        <f>35.6412 * CHOOSE(CONTROL!$C$27, $C$14, 100%, $E$14)</f>
        <v>35.641199999999998</v>
      </c>
      <c r="J992" s="59">
        <f>35.6363 * CHOOSE(CONTROL!$C$27, $C$14, 100%, $E$14)</f>
        <v>35.636299999999999</v>
      </c>
      <c r="K992" s="59">
        <f>35.6412 * CHOOSE(CONTROL!$C$27, $C$14, 100%, $E$14)</f>
        <v>35.641199999999998</v>
      </c>
      <c r="L992" s="59">
        <f>18.9926 * CHOOSE(CONTROL!$C$27, $C$14, 100%, $E$14)</f>
        <v>18.992599999999999</v>
      </c>
      <c r="M992" s="59">
        <f>18.9976 * CHOOSE(CONTROL!$C$27, $C$14, 100%, $E$14)</f>
        <v>18.997599999999998</v>
      </c>
      <c r="N992" s="59">
        <f>18.9926 * CHOOSE(CONTROL!$C$27, $C$14, 100%, $E$14)</f>
        <v>18.992599999999999</v>
      </c>
      <c r="O992" s="59">
        <f>18.9976 * CHOOSE(CONTROL!$C$27, $C$14, 100%, $E$14)</f>
        <v>18.997599999999998</v>
      </c>
    </row>
    <row r="993" spans="1:15" ht="15">
      <c r="A993" s="11">
        <v>71315</v>
      </c>
      <c r="B993" s="58">
        <f>16.9079 * CHOOSE(CONTROL!$C$27, $C$14, 100%, $E$14)</f>
        <v>16.907900000000001</v>
      </c>
      <c r="C993" s="58">
        <f>16.9079 * CHOOSE(CONTROL!$C$27, $C$14, 100%, $E$14)</f>
        <v>16.907900000000001</v>
      </c>
      <c r="D993" s="58">
        <f>16.9119 * CHOOSE(CONTROL!$C$27, $C$14, 100%, $E$14)</f>
        <v>16.911899999999999</v>
      </c>
      <c r="E993" s="59">
        <f>19.2795 * CHOOSE(CONTROL!$C$27, $C$14, 100%, $E$14)</f>
        <v>19.279499999999999</v>
      </c>
      <c r="F993" s="59">
        <f>19.2795 * CHOOSE(CONTROL!$C$27, $C$14, 100%, $E$14)</f>
        <v>19.279499999999999</v>
      </c>
      <c r="G993" s="59">
        <f>19.2844 * CHOOSE(CONTROL!$C$27, $C$14, 100%, $E$14)</f>
        <v>19.284400000000002</v>
      </c>
      <c r="H993" s="59">
        <f>35.7106* CHOOSE(CONTROL!$C$27, $C$14, 100%, $E$14)</f>
        <v>35.710599999999999</v>
      </c>
      <c r="I993" s="59">
        <f>35.7155 * CHOOSE(CONTROL!$C$27, $C$14, 100%, $E$14)</f>
        <v>35.715499999999999</v>
      </c>
      <c r="J993" s="59">
        <f>35.7106 * CHOOSE(CONTROL!$C$27, $C$14, 100%, $E$14)</f>
        <v>35.710599999999999</v>
      </c>
      <c r="K993" s="59">
        <f>35.7155 * CHOOSE(CONTROL!$C$27, $C$14, 100%, $E$14)</f>
        <v>35.715499999999999</v>
      </c>
      <c r="L993" s="59">
        <f>19.2795 * CHOOSE(CONTROL!$C$27, $C$14, 100%, $E$14)</f>
        <v>19.279499999999999</v>
      </c>
      <c r="M993" s="59">
        <f>19.2844 * CHOOSE(CONTROL!$C$27, $C$14, 100%, $E$14)</f>
        <v>19.284400000000002</v>
      </c>
      <c r="N993" s="59">
        <f>19.2795 * CHOOSE(CONTROL!$C$27, $C$14, 100%, $E$14)</f>
        <v>19.279499999999999</v>
      </c>
      <c r="O993" s="59">
        <f>19.2844 * CHOOSE(CONTROL!$C$27, $C$14, 100%, $E$14)</f>
        <v>19.284400000000002</v>
      </c>
    </row>
    <row r="994" spans="1:15" ht="15">
      <c r="A994" s="11">
        <v>71345</v>
      </c>
      <c r="B994" s="58">
        <f>16.9079 * CHOOSE(CONTROL!$C$27, $C$14, 100%, $E$14)</f>
        <v>16.907900000000001</v>
      </c>
      <c r="C994" s="58">
        <f>16.9079 * CHOOSE(CONTROL!$C$27, $C$14, 100%, $E$14)</f>
        <v>16.907900000000001</v>
      </c>
      <c r="D994" s="58">
        <f>16.9136 * CHOOSE(CONTROL!$C$27, $C$14, 100%, $E$14)</f>
        <v>16.913599999999999</v>
      </c>
      <c r="E994" s="59">
        <f>19.3887 * CHOOSE(CONTROL!$C$27, $C$14, 100%, $E$14)</f>
        <v>19.3887</v>
      </c>
      <c r="F994" s="59">
        <f>19.3887 * CHOOSE(CONTROL!$C$27, $C$14, 100%, $E$14)</f>
        <v>19.3887</v>
      </c>
      <c r="G994" s="59">
        <f>19.3956 * CHOOSE(CONTROL!$C$27, $C$14, 100%, $E$14)</f>
        <v>19.395600000000002</v>
      </c>
      <c r="H994" s="59">
        <f>35.785* CHOOSE(CONTROL!$C$27, $C$14, 100%, $E$14)</f>
        <v>35.784999999999997</v>
      </c>
      <c r="I994" s="59">
        <f>35.7919 * CHOOSE(CONTROL!$C$27, $C$14, 100%, $E$14)</f>
        <v>35.791899999999998</v>
      </c>
      <c r="J994" s="59">
        <f>35.785 * CHOOSE(CONTROL!$C$27, $C$14, 100%, $E$14)</f>
        <v>35.784999999999997</v>
      </c>
      <c r="K994" s="59">
        <f>35.7919 * CHOOSE(CONTROL!$C$27, $C$14, 100%, $E$14)</f>
        <v>35.791899999999998</v>
      </c>
      <c r="L994" s="59">
        <f>19.3887 * CHOOSE(CONTROL!$C$27, $C$14, 100%, $E$14)</f>
        <v>19.3887</v>
      </c>
      <c r="M994" s="59">
        <f>19.3956 * CHOOSE(CONTROL!$C$27, $C$14, 100%, $E$14)</f>
        <v>19.395600000000002</v>
      </c>
      <c r="N994" s="59">
        <f>19.3887 * CHOOSE(CONTROL!$C$27, $C$14, 100%, $E$14)</f>
        <v>19.3887</v>
      </c>
      <c r="O994" s="59">
        <f>19.3956 * CHOOSE(CONTROL!$C$27, $C$14, 100%, $E$14)</f>
        <v>19.395600000000002</v>
      </c>
    </row>
    <row r="995" spans="1:15" ht="15">
      <c r="A995" s="11">
        <v>71376</v>
      </c>
      <c r="B995" s="58">
        <f>16.914 * CHOOSE(CONTROL!$C$27, $C$14, 100%, $E$14)</f>
        <v>16.914000000000001</v>
      </c>
      <c r="C995" s="58">
        <f>16.914 * CHOOSE(CONTROL!$C$27, $C$14, 100%, $E$14)</f>
        <v>16.914000000000001</v>
      </c>
      <c r="D995" s="58">
        <f>16.9196 * CHOOSE(CONTROL!$C$27, $C$14, 100%, $E$14)</f>
        <v>16.919599999999999</v>
      </c>
      <c r="E995" s="59">
        <f>19.2838 * CHOOSE(CONTROL!$C$27, $C$14, 100%, $E$14)</f>
        <v>19.283799999999999</v>
      </c>
      <c r="F995" s="59">
        <f>19.2838 * CHOOSE(CONTROL!$C$27, $C$14, 100%, $E$14)</f>
        <v>19.283799999999999</v>
      </c>
      <c r="G995" s="59">
        <f>19.2907 * CHOOSE(CONTROL!$C$27, $C$14, 100%, $E$14)</f>
        <v>19.290700000000001</v>
      </c>
      <c r="H995" s="59">
        <f>35.8595* CHOOSE(CONTROL!$C$27, $C$14, 100%, $E$14)</f>
        <v>35.859499999999997</v>
      </c>
      <c r="I995" s="59">
        <f>35.8664 * CHOOSE(CONTROL!$C$27, $C$14, 100%, $E$14)</f>
        <v>35.866399999999999</v>
      </c>
      <c r="J995" s="59">
        <f>35.8595 * CHOOSE(CONTROL!$C$27, $C$14, 100%, $E$14)</f>
        <v>35.859499999999997</v>
      </c>
      <c r="K995" s="59">
        <f>35.8664 * CHOOSE(CONTROL!$C$27, $C$14, 100%, $E$14)</f>
        <v>35.866399999999999</v>
      </c>
      <c r="L995" s="59">
        <f>19.2838 * CHOOSE(CONTROL!$C$27, $C$14, 100%, $E$14)</f>
        <v>19.283799999999999</v>
      </c>
      <c r="M995" s="59">
        <f>19.2907 * CHOOSE(CONTROL!$C$27, $C$14, 100%, $E$14)</f>
        <v>19.290700000000001</v>
      </c>
      <c r="N995" s="59">
        <f>19.2838 * CHOOSE(CONTROL!$C$27, $C$14, 100%, $E$14)</f>
        <v>19.283799999999999</v>
      </c>
      <c r="O995" s="59">
        <f>19.2907 * CHOOSE(CONTROL!$C$27, $C$14, 100%, $E$14)</f>
        <v>19.290700000000001</v>
      </c>
    </row>
    <row r="996" spans="1:15" ht="15">
      <c r="A996" s="11">
        <v>71406</v>
      </c>
      <c r="B996" s="58">
        <f>17.1686 * CHOOSE(CONTROL!$C$27, $C$14, 100%, $E$14)</f>
        <v>17.168600000000001</v>
      </c>
      <c r="C996" s="58">
        <f>17.1686 * CHOOSE(CONTROL!$C$27, $C$14, 100%, $E$14)</f>
        <v>17.168600000000001</v>
      </c>
      <c r="D996" s="58">
        <f>17.1742 * CHOOSE(CONTROL!$C$27, $C$14, 100%, $E$14)</f>
        <v>17.174199999999999</v>
      </c>
      <c r="E996" s="59">
        <f>19.5882 * CHOOSE(CONTROL!$C$27, $C$14, 100%, $E$14)</f>
        <v>19.588200000000001</v>
      </c>
      <c r="F996" s="59">
        <f>19.5882 * CHOOSE(CONTROL!$C$27, $C$14, 100%, $E$14)</f>
        <v>19.588200000000001</v>
      </c>
      <c r="G996" s="59">
        <f>19.5951 * CHOOSE(CONTROL!$C$27, $C$14, 100%, $E$14)</f>
        <v>19.595099999999999</v>
      </c>
      <c r="H996" s="59">
        <f>35.9342* CHOOSE(CONTROL!$C$27, $C$14, 100%, $E$14)</f>
        <v>35.934199999999997</v>
      </c>
      <c r="I996" s="59">
        <f>35.9411 * CHOOSE(CONTROL!$C$27, $C$14, 100%, $E$14)</f>
        <v>35.941099999999999</v>
      </c>
      <c r="J996" s="59">
        <f>35.9342 * CHOOSE(CONTROL!$C$27, $C$14, 100%, $E$14)</f>
        <v>35.934199999999997</v>
      </c>
      <c r="K996" s="59">
        <f>35.9411 * CHOOSE(CONTROL!$C$27, $C$14, 100%, $E$14)</f>
        <v>35.941099999999999</v>
      </c>
      <c r="L996" s="59">
        <f>19.5882 * CHOOSE(CONTROL!$C$27, $C$14, 100%, $E$14)</f>
        <v>19.588200000000001</v>
      </c>
      <c r="M996" s="59">
        <f>19.5951 * CHOOSE(CONTROL!$C$27, $C$14, 100%, $E$14)</f>
        <v>19.595099999999999</v>
      </c>
      <c r="N996" s="59">
        <f>19.5882 * CHOOSE(CONTROL!$C$27, $C$14, 100%, $E$14)</f>
        <v>19.588200000000001</v>
      </c>
      <c r="O996" s="59">
        <f>19.5951 * CHOOSE(CONTROL!$C$27, $C$14, 100%, $E$14)</f>
        <v>19.595099999999999</v>
      </c>
    </row>
    <row r="997" spans="1:15" ht="15">
      <c r="A997" s="11">
        <v>71437</v>
      </c>
      <c r="B997" s="58">
        <f>17.1753 * CHOOSE(CONTROL!$C$27, $C$14, 100%, $E$14)</f>
        <v>17.1753</v>
      </c>
      <c r="C997" s="58">
        <f>17.1753 * CHOOSE(CONTROL!$C$27, $C$14, 100%, $E$14)</f>
        <v>17.1753</v>
      </c>
      <c r="D997" s="58">
        <f>17.1809 * CHOOSE(CONTROL!$C$27, $C$14, 100%, $E$14)</f>
        <v>17.180900000000001</v>
      </c>
      <c r="E997" s="59">
        <f>19.2653 * CHOOSE(CONTROL!$C$27, $C$14, 100%, $E$14)</f>
        <v>19.2653</v>
      </c>
      <c r="F997" s="59">
        <f>19.2653 * CHOOSE(CONTROL!$C$27, $C$14, 100%, $E$14)</f>
        <v>19.2653</v>
      </c>
      <c r="G997" s="59">
        <f>19.2722 * CHOOSE(CONTROL!$C$27, $C$14, 100%, $E$14)</f>
        <v>19.272200000000002</v>
      </c>
      <c r="H997" s="59">
        <f>36.0091* CHOOSE(CONTROL!$C$27, $C$14, 100%, $E$14)</f>
        <v>36.009099999999997</v>
      </c>
      <c r="I997" s="59">
        <f>36.016 * CHOOSE(CONTROL!$C$27, $C$14, 100%, $E$14)</f>
        <v>36.015999999999998</v>
      </c>
      <c r="J997" s="59">
        <f>36.0091 * CHOOSE(CONTROL!$C$27, $C$14, 100%, $E$14)</f>
        <v>36.009099999999997</v>
      </c>
      <c r="K997" s="59">
        <f>36.016 * CHOOSE(CONTROL!$C$27, $C$14, 100%, $E$14)</f>
        <v>36.015999999999998</v>
      </c>
      <c r="L997" s="59">
        <f>19.2653 * CHOOSE(CONTROL!$C$27, $C$14, 100%, $E$14)</f>
        <v>19.2653</v>
      </c>
      <c r="M997" s="59">
        <f>19.2722 * CHOOSE(CONTROL!$C$27, $C$14, 100%, $E$14)</f>
        <v>19.272200000000002</v>
      </c>
      <c r="N997" s="59">
        <f>19.2653 * CHOOSE(CONTROL!$C$27, $C$14, 100%, $E$14)</f>
        <v>19.2653</v>
      </c>
      <c r="O997" s="59">
        <f>19.2722 * CHOOSE(CONTROL!$C$27, $C$14, 100%, $E$14)</f>
        <v>19.272200000000002</v>
      </c>
    </row>
    <row r="998" spans="1:15" ht="15">
      <c r="A998" s="11">
        <v>71468</v>
      </c>
      <c r="B998" s="58">
        <f>17.1722 * CHOOSE(CONTROL!$C$27, $C$14, 100%, $E$14)</f>
        <v>17.1722</v>
      </c>
      <c r="C998" s="58">
        <f>17.1722 * CHOOSE(CONTROL!$C$27, $C$14, 100%, $E$14)</f>
        <v>17.1722</v>
      </c>
      <c r="D998" s="58">
        <f>17.1779 * CHOOSE(CONTROL!$C$27, $C$14, 100%, $E$14)</f>
        <v>17.177900000000001</v>
      </c>
      <c r="E998" s="59">
        <f>19.2268 * CHOOSE(CONTROL!$C$27, $C$14, 100%, $E$14)</f>
        <v>19.226800000000001</v>
      </c>
      <c r="F998" s="59">
        <f>19.2268 * CHOOSE(CONTROL!$C$27, $C$14, 100%, $E$14)</f>
        <v>19.226800000000001</v>
      </c>
      <c r="G998" s="59">
        <f>19.2337 * CHOOSE(CONTROL!$C$27, $C$14, 100%, $E$14)</f>
        <v>19.233699999999999</v>
      </c>
      <c r="H998" s="59">
        <f>36.0841* CHOOSE(CONTROL!$C$27, $C$14, 100%, $E$14)</f>
        <v>36.084099999999999</v>
      </c>
      <c r="I998" s="59">
        <f>36.091 * CHOOSE(CONTROL!$C$27, $C$14, 100%, $E$14)</f>
        <v>36.091000000000001</v>
      </c>
      <c r="J998" s="59">
        <f>36.0841 * CHOOSE(CONTROL!$C$27, $C$14, 100%, $E$14)</f>
        <v>36.084099999999999</v>
      </c>
      <c r="K998" s="59">
        <f>36.091 * CHOOSE(CONTROL!$C$27, $C$14, 100%, $E$14)</f>
        <v>36.091000000000001</v>
      </c>
      <c r="L998" s="59">
        <f>19.2268 * CHOOSE(CONTROL!$C$27, $C$14, 100%, $E$14)</f>
        <v>19.226800000000001</v>
      </c>
      <c r="M998" s="59">
        <f>19.2337 * CHOOSE(CONTROL!$C$27, $C$14, 100%, $E$14)</f>
        <v>19.233699999999999</v>
      </c>
      <c r="N998" s="59">
        <f>19.2268 * CHOOSE(CONTROL!$C$27, $C$14, 100%, $E$14)</f>
        <v>19.226800000000001</v>
      </c>
      <c r="O998" s="59">
        <f>19.2337 * CHOOSE(CONTROL!$C$27, $C$14, 100%, $E$14)</f>
        <v>19.233699999999999</v>
      </c>
    </row>
    <row r="999" spans="1:15" ht="15">
      <c r="A999" s="11">
        <v>71498</v>
      </c>
      <c r="B999" s="58">
        <f>17.2096 * CHOOSE(CONTROL!$C$27, $C$14, 100%, $E$14)</f>
        <v>17.209599999999998</v>
      </c>
      <c r="C999" s="58">
        <f>17.2096 * CHOOSE(CONTROL!$C$27, $C$14, 100%, $E$14)</f>
        <v>17.209599999999998</v>
      </c>
      <c r="D999" s="58">
        <f>17.2136 * CHOOSE(CONTROL!$C$27, $C$14, 100%, $E$14)</f>
        <v>17.2136</v>
      </c>
      <c r="E999" s="59">
        <f>19.359 * CHOOSE(CONTROL!$C$27, $C$14, 100%, $E$14)</f>
        <v>19.359000000000002</v>
      </c>
      <c r="F999" s="59">
        <f>19.359 * CHOOSE(CONTROL!$C$27, $C$14, 100%, $E$14)</f>
        <v>19.359000000000002</v>
      </c>
      <c r="G999" s="59">
        <f>19.3639 * CHOOSE(CONTROL!$C$27, $C$14, 100%, $E$14)</f>
        <v>19.363900000000001</v>
      </c>
      <c r="H999" s="59">
        <f>36.1593* CHOOSE(CONTROL!$C$27, $C$14, 100%, $E$14)</f>
        <v>36.159300000000002</v>
      </c>
      <c r="I999" s="59">
        <f>36.1642 * CHOOSE(CONTROL!$C$27, $C$14, 100%, $E$14)</f>
        <v>36.164200000000001</v>
      </c>
      <c r="J999" s="59">
        <f>36.1593 * CHOOSE(CONTROL!$C$27, $C$14, 100%, $E$14)</f>
        <v>36.159300000000002</v>
      </c>
      <c r="K999" s="59">
        <f>36.1642 * CHOOSE(CONTROL!$C$27, $C$14, 100%, $E$14)</f>
        <v>36.164200000000001</v>
      </c>
      <c r="L999" s="59">
        <f>19.359 * CHOOSE(CONTROL!$C$27, $C$14, 100%, $E$14)</f>
        <v>19.359000000000002</v>
      </c>
      <c r="M999" s="59">
        <f>19.3639 * CHOOSE(CONTROL!$C$27, $C$14, 100%, $E$14)</f>
        <v>19.363900000000001</v>
      </c>
      <c r="N999" s="59">
        <f>19.359 * CHOOSE(CONTROL!$C$27, $C$14, 100%, $E$14)</f>
        <v>19.359000000000002</v>
      </c>
      <c r="O999" s="59">
        <f>19.3639 * CHOOSE(CONTROL!$C$27, $C$14, 100%, $E$14)</f>
        <v>19.363900000000001</v>
      </c>
    </row>
    <row r="1000" spans="1:15" ht="15">
      <c r="A1000" s="11">
        <v>71529</v>
      </c>
      <c r="B1000" s="58">
        <f>17.2126 * CHOOSE(CONTROL!$C$27, $C$14, 100%, $E$14)</f>
        <v>17.212599999999998</v>
      </c>
      <c r="C1000" s="58">
        <f>17.2126 * CHOOSE(CONTROL!$C$27, $C$14, 100%, $E$14)</f>
        <v>17.212599999999998</v>
      </c>
      <c r="D1000" s="58">
        <f>17.2166 * CHOOSE(CONTROL!$C$27, $C$14, 100%, $E$14)</f>
        <v>17.2166</v>
      </c>
      <c r="E1000" s="59">
        <f>19.4339 * CHOOSE(CONTROL!$C$27, $C$14, 100%, $E$14)</f>
        <v>19.433900000000001</v>
      </c>
      <c r="F1000" s="59">
        <f>19.4339 * CHOOSE(CONTROL!$C$27, $C$14, 100%, $E$14)</f>
        <v>19.433900000000001</v>
      </c>
      <c r="G1000" s="59">
        <f>19.4388 * CHOOSE(CONTROL!$C$27, $C$14, 100%, $E$14)</f>
        <v>19.438800000000001</v>
      </c>
      <c r="H1000" s="59">
        <f>36.2346* CHOOSE(CONTROL!$C$27, $C$14, 100%, $E$14)</f>
        <v>36.2346</v>
      </c>
      <c r="I1000" s="59">
        <f>36.2395 * CHOOSE(CONTROL!$C$27, $C$14, 100%, $E$14)</f>
        <v>36.2395</v>
      </c>
      <c r="J1000" s="59">
        <f>36.2346 * CHOOSE(CONTROL!$C$27, $C$14, 100%, $E$14)</f>
        <v>36.2346</v>
      </c>
      <c r="K1000" s="59">
        <f>36.2395 * CHOOSE(CONTROL!$C$27, $C$14, 100%, $E$14)</f>
        <v>36.2395</v>
      </c>
      <c r="L1000" s="59">
        <f>19.4339 * CHOOSE(CONTROL!$C$27, $C$14, 100%, $E$14)</f>
        <v>19.433900000000001</v>
      </c>
      <c r="M1000" s="59">
        <f>19.4388 * CHOOSE(CONTROL!$C$27, $C$14, 100%, $E$14)</f>
        <v>19.438800000000001</v>
      </c>
      <c r="N1000" s="59">
        <f>19.4339 * CHOOSE(CONTROL!$C$27, $C$14, 100%, $E$14)</f>
        <v>19.433900000000001</v>
      </c>
      <c r="O1000" s="59">
        <f>19.4388 * CHOOSE(CONTROL!$C$27, $C$14, 100%, $E$14)</f>
        <v>19.438800000000001</v>
      </c>
    </row>
    <row r="1001" spans="1:15" ht="15">
      <c r="A1001" s="11">
        <v>71559</v>
      </c>
      <c r="B1001" s="58">
        <f>17.2126 * CHOOSE(CONTROL!$C$27, $C$14, 100%, $E$14)</f>
        <v>17.212599999999998</v>
      </c>
      <c r="C1001" s="58">
        <f>17.2126 * CHOOSE(CONTROL!$C$27, $C$14, 100%, $E$14)</f>
        <v>17.212599999999998</v>
      </c>
      <c r="D1001" s="58">
        <f>17.2166 * CHOOSE(CONTROL!$C$27, $C$14, 100%, $E$14)</f>
        <v>17.2166</v>
      </c>
      <c r="E1001" s="59">
        <f>19.2519 * CHOOSE(CONTROL!$C$27, $C$14, 100%, $E$14)</f>
        <v>19.251899999999999</v>
      </c>
      <c r="F1001" s="59">
        <f>19.2519 * CHOOSE(CONTROL!$C$27, $C$14, 100%, $E$14)</f>
        <v>19.251899999999999</v>
      </c>
      <c r="G1001" s="59">
        <f>19.2568 * CHOOSE(CONTROL!$C$27, $C$14, 100%, $E$14)</f>
        <v>19.256799999999998</v>
      </c>
      <c r="H1001" s="59">
        <f>36.3101* CHOOSE(CONTROL!$C$27, $C$14, 100%, $E$14)</f>
        <v>36.310099999999998</v>
      </c>
      <c r="I1001" s="59">
        <f>36.315 * CHOOSE(CONTROL!$C$27, $C$14, 100%, $E$14)</f>
        <v>36.314999999999998</v>
      </c>
      <c r="J1001" s="59">
        <f>36.3101 * CHOOSE(CONTROL!$C$27, $C$14, 100%, $E$14)</f>
        <v>36.310099999999998</v>
      </c>
      <c r="K1001" s="59">
        <f>36.315 * CHOOSE(CONTROL!$C$27, $C$14, 100%, $E$14)</f>
        <v>36.314999999999998</v>
      </c>
      <c r="L1001" s="59">
        <f>19.2519 * CHOOSE(CONTROL!$C$27, $C$14, 100%, $E$14)</f>
        <v>19.251899999999999</v>
      </c>
      <c r="M1001" s="59">
        <f>19.2568 * CHOOSE(CONTROL!$C$27, $C$14, 100%, $E$14)</f>
        <v>19.256799999999998</v>
      </c>
      <c r="N1001" s="59">
        <f>19.2519 * CHOOSE(CONTROL!$C$27, $C$14, 100%, $E$14)</f>
        <v>19.251899999999999</v>
      </c>
      <c r="O1001" s="59">
        <f>19.2568 * CHOOSE(CONTROL!$C$27, $C$14, 100%, $E$14)</f>
        <v>19.256799999999998</v>
      </c>
    </row>
    <row r="1002" spans="1:15" ht="15">
      <c r="A1002" s="11">
        <v>71590</v>
      </c>
      <c r="B1002" s="58">
        <f>17.1412 * CHOOSE(CONTROL!$C$27, $C$14, 100%, $E$14)</f>
        <v>17.141200000000001</v>
      </c>
      <c r="C1002" s="58">
        <f>17.1412 * CHOOSE(CONTROL!$C$27, $C$14, 100%, $E$14)</f>
        <v>17.141200000000001</v>
      </c>
      <c r="D1002" s="58">
        <f>17.1452 * CHOOSE(CONTROL!$C$27, $C$14, 100%, $E$14)</f>
        <v>17.145199999999999</v>
      </c>
      <c r="E1002" s="59">
        <f>19.3244 * CHOOSE(CONTROL!$C$27, $C$14, 100%, $E$14)</f>
        <v>19.324400000000001</v>
      </c>
      <c r="F1002" s="59">
        <f>19.3244 * CHOOSE(CONTROL!$C$27, $C$14, 100%, $E$14)</f>
        <v>19.324400000000001</v>
      </c>
      <c r="G1002" s="59">
        <f>19.3293 * CHOOSE(CONTROL!$C$27, $C$14, 100%, $E$14)</f>
        <v>19.3293</v>
      </c>
      <c r="H1002" s="59">
        <f>35.9708* CHOOSE(CONTROL!$C$27, $C$14, 100%, $E$14)</f>
        <v>35.970799999999997</v>
      </c>
      <c r="I1002" s="59">
        <f>35.9758 * CHOOSE(CONTROL!$C$27, $C$14, 100%, $E$14)</f>
        <v>35.9758</v>
      </c>
      <c r="J1002" s="59">
        <f>35.9708 * CHOOSE(CONTROL!$C$27, $C$14, 100%, $E$14)</f>
        <v>35.970799999999997</v>
      </c>
      <c r="K1002" s="59">
        <f>35.9758 * CHOOSE(CONTROL!$C$27, $C$14, 100%, $E$14)</f>
        <v>35.9758</v>
      </c>
      <c r="L1002" s="59">
        <f>19.3244 * CHOOSE(CONTROL!$C$27, $C$14, 100%, $E$14)</f>
        <v>19.324400000000001</v>
      </c>
      <c r="M1002" s="59">
        <f>19.3293 * CHOOSE(CONTROL!$C$27, $C$14, 100%, $E$14)</f>
        <v>19.3293</v>
      </c>
      <c r="N1002" s="59">
        <f>19.3244 * CHOOSE(CONTROL!$C$27, $C$14, 100%, $E$14)</f>
        <v>19.324400000000001</v>
      </c>
      <c r="O1002" s="59">
        <f>19.3293 * CHOOSE(CONTROL!$C$27, $C$14, 100%, $E$14)</f>
        <v>19.3293</v>
      </c>
    </row>
    <row r="1003" spans="1:15" ht="15">
      <c r="A1003" s="11">
        <v>71621</v>
      </c>
      <c r="B1003" s="58">
        <f>17.1381 * CHOOSE(CONTROL!$C$27, $C$14, 100%, $E$14)</f>
        <v>17.138100000000001</v>
      </c>
      <c r="C1003" s="58">
        <f>17.1381 * CHOOSE(CONTROL!$C$27, $C$14, 100%, $E$14)</f>
        <v>17.138100000000001</v>
      </c>
      <c r="D1003" s="58">
        <f>17.1421 * CHOOSE(CONTROL!$C$27, $C$14, 100%, $E$14)</f>
        <v>17.142099999999999</v>
      </c>
      <c r="E1003" s="59">
        <f>18.9735 * CHOOSE(CONTROL!$C$27, $C$14, 100%, $E$14)</f>
        <v>18.973500000000001</v>
      </c>
      <c r="F1003" s="59">
        <f>18.9735 * CHOOSE(CONTROL!$C$27, $C$14, 100%, $E$14)</f>
        <v>18.973500000000001</v>
      </c>
      <c r="G1003" s="59">
        <f>18.9784 * CHOOSE(CONTROL!$C$27, $C$14, 100%, $E$14)</f>
        <v>18.978400000000001</v>
      </c>
      <c r="H1003" s="59">
        <f>36.0458* CHOOSE(CONTROL!$C$27, $C$14, 100%, $E$14)</f>
        <v>36.0458</v>
      </c>
      <c r="I1003" s="59">
        <f>36.0507 * CHOOSE(CONTROL!$C$27, $C$14, 100%, $E$14)</f>
        <v>36.050699999999999</v>
      </c>
      <c r="J1003" s="59">
        <f>36.0458 * CHOOSE(CONTROL!$C$27, $C$14, 100%, $E$14)</f>
        <v>36.0458</v>
      </c>
      <c r="K1003" s="59">
        <f>36.0507 * CHOOSE(CONTROL!$C$27, $C$14, 100%, $E$14)</f>
        <v>36.050699999999999</v>
      </c>
      <c r="L1003" s="59">
        <f>18.9735 * CHOOSE(CONTROL!$C$27, $C$14, 100%, $E$14)</f>
        <v>18.973500000000001</v>
      </c>
      <c r="M1003" s="59">
        <f>18.9784 * CHOOSE(CONTROL!$C$27, $C$14, 100%, $E$14)</f>
        <v>18.978400000000001</v>
      </c>
      <c r="N1003" s="59">
        <f>18.9735 * CHOOSE(CONTROL!$C$27, $C$14, 100%, $E$14)</f>
        <v>18.973500000000001</v>
      </c>
      <c r="O1003" s="59">
        <f>18.9784 * CHOOSE(CONTROL!$C$27, $C$14, 100%, $E$14)</f>
        <v>18.978400000000001</v>
      </c>
    </row>
    <row r="1004" spans="1:15" ht="15">
      <c r="A1004" s="11">
        <v>71650</v>
      </c>
      <c r="B1004" s="58">
        <f>17.1351 * CHOOSE(CONTROL!$C$27, $C$14, 100%, $E$14)</f>
        <v>17.135100000000001</v>
      </c>
      <c r="C1004" s="58">
        <f>17.1351 * CHOOSE(CONTROL!$C$27, $C$14, 100%, $E$14)</f>
        <v>17.135100000000001</v>
      </c>
      <c r="D1004" s="58">
        <f>17.1391 * CHOOSE(CONTROL!$C$27, $C$14, 100%, $E$14)</f>
        <v>17.139099999999999</v>
      </c>
      <c r="E1004" s="59">
        <f>19.2463 * CHOOSE(CONTROL!$C$27, $C$14, 100%, $E$14)</f>
        <v>19.246300000000002</v>
      </c>
      <c r="F1004" s="59">
        <f>19.2463 * CHOOSE(CONTROL!$C$27, $C$14, 100%, $E$14)</f>
        <v>19.246300000000002</v>
      </c>
      <c r="G1004" s="59">
        <f>19.2512 * CHOOSE(CONTROL!$C$27, $C$14, 100%, $E$14)</f>
        <v>19.251200000000001</v>
      </c>
      <c r="H1004" s="59">
        <f>36.1209* CHOOSE(CONTROL!$C$27, $C$14, 100%, $E$14)</f>
        <v>36.120899999999999</v>
      </c>
      <c r="I1004" s="59">
        <f>36.1258 * CHOOSE(CONTROL!$C$27, $C$14, 100%, $E$14)</f>
        <v>36.125799999999998</v>
      </c>
      <c r="J1004" s="59">
        <f>36.1209 * CHOOSE(CONTROL!$C$27, $C$14, 100%, $E$14)</f>
        <v>36.120899999999999</v>
      </c>
      <c r="K1004" s="59">
        <f>36.1258 * CHOOSE(CONTROL!$C$27, $C$14, 100%, $E$14)</f>
        <v>36.125799999999998</v>
      </c>
      <c r="L1004" s="59">
        <f>19.2463 * CHOOSE(CONTROL!$C$27, $C$14, 100%, $E$14)</f>
        <v>19.246300000000002</v>
      </c>
      <c r="M1004" s="59">
        <f>19.2512 * CHOOSE(CONTROL!$C$27, $C$14, 100%, $E$14)</f>
        <v>19.251200000000001</v>
      </c>
      <c r="N1004" s="59">
        <f>19.2463 * CHOOSE(CONTROL!$C$27, $C$14, 100%, $E$14)</f>
        <v>19.246300000000002</v>
      </c>
      <c r="O1004" s="59">
        <f>19.2512 * CHOOSE(CONTROL!$C$27, $C$14, 100%, $E$14)</f>
        <v>19.251200000000001</v>
      </c>
    </row>
    <row r="1005" spans="1:15" ht="15">
      <c r="A1005" s="11">
        <v>71681</v>
      </c>
      <c r="B1005" s="58">
        <f>17.1437 * CHOOSE(CONTROL!$C$27, $C$14, 100%, $E$14)</f>
        <v>17.143699999999999</v>
      </c>
      <c r="C1005" s="58">
        <f>17.1437 * CHOOSE(CONTROL!$C$27, $C$14, 100%, $E$14)</f>
        <v>17.143699999999999</v>
      </c>
      <c r="D1005" s="58">
        <f>17.1477 * CHOOSE(CONTROL!$C$27, $C$14, 100%, $E$14)</f>
        <v>17.1477</v>
      </c>
      <c r="E1005" s="59">
        <f>19.5374 * CHOOSE(CONTROL!$C$27, $C$14, 100%, $E$14)</f>
        <v>19.537400000000002</v>
      </c>
      <c r="F1005" s="59">
        <f>19.5374 * CHOOSE(CONTROL!$C$27, $C$14, 100%, $E$14)</f>
        <v>19.537400000000002</v>
      </c>
      <c r="G1005" s="59">
        <f>19.5423 * CHOOSE(CONTROL!$C$27, $C$14, 100%, $E$14)</f>
        <v>19.542300000000001</v>
      </c>
      <c r="H1005" s="59">
        <f>36.1961* CHOOSE(CONTROL!$C$27, $C$14, 100%, $E$14)</f>
        <v>36.196100000000001</v>
      </c>
      <c r="I1005" s="59">
        <f>36.2011 * CHOOSE(CONTROL!$C$27, $C$14, 100%, $E$14)</f>
        <v>36.201099999999997</v>
      </c>
      <c r="J1005" s="59">
        <f>36.1961 * CHOOSE(CONTROL!$C$27, $C$14, 100%, $E$14)</f>
        <v>36.196100000000001</v>
      </c>
      <c r="K1005" s="59">
        <f>36.2011 * CHOOSE(CONTROL!$C$27, $C$14, 100%, $E$14)</f>
        <v>36.201099999999997</v>
      </c>
      <c r="L1005" s="59">
        <f>19.5374 * CHOOSE(CONTROL!$C$27, $C$14, 100%, $E$14)</f>
        <v>19.537400000000002</v>
      </c>
      <c r="M1005" s="59">
        <f>19.5423 * CHOOSE(CONTROL!$C$27, $C$14, 100%, $E$14)</f>
        <v>19.542300000000001</v>
      </c>
      <c r="N1005" s="59">
        <f>19.5374 * CHOOSE(CONTROL!$C$27, $C$14, 100%, $E$14)</f>
        <v>19.537400000000002</v>
      </c>
      <c r="O1005" s="59">
        <f>19.5423 * CHOOSE(CONTROL!$C$27, $C$14, 100%, $E$14)</f>
        <v>19.542300000000001</v>
      </c>
    </row>
    <row r="1006" spans="1:15" ht="15">
      <c r="A1006" s="11">
        <v>71711</v>
      </c>
      <c r="B1006" s="58">
        <f>17.1437 * CHOOSE(CONTROL!$C$27, $C$14, 100%, $E$14)</f>
        <v>17.143699999999999</v>
      </c>
      <c r="C1006" s="58">
        <f>17.1437 * CHOOSE(CONTROL!$C$27, $C$14, 100%, $E$14)</f>
        <v>17.143699999999999</v>
      </c>
      <c r="D1006" s="58">
        <f>17.1493 * CHOOSE(CONTROL!$C$27, $C$14, 100%, $E$14)</f>
        <v>17.1493</v>
      </c>
      <c r="E1006" s="59">
        <f>19.6481 * CHOOSE(CONTROL!$C$27, $C$14, 100%, $E$14)</f>
        <v>19.648099999999999</v>
      </c>
      <c r="F1006" s="59">
        <f>19.6481 * CHOOSE(CONTROL!$C$27, $C$14, 100%, $E$14)</f>
        <v>19.648099999999999</v>
      </c>
      <c r="G1006" s="59">
        <f>19.655 * CHOOSE(CONTROL!$C$27, $C$14, 100%, $E$14)</f>
        <v>19.655000000000001</v>
      </c>
      <c r="H1006" s="59">
        <f>36.2715* CHOOSE(CONTROL!$C$27, $C$14, 100%, $E$14)</f>
        <v>36.271500000000003</v>
      </c>
      <c r="I1006" s="59">
        <f>36.2784 * CHOOSE(CONTROL!$C$27, $C$14, 100%, $E$14)</f>
        <v>36.278399999999998</v>
      </c>
      <c r="J1006" s="59">
        <f>36.2715 * CHOOSE(CONTROL!$C$27, $C$14, 100%, $E$14)</f>
        <v>36.271500000000003</v>
      </c>
      <c r="K1006" s="59">
        <f>36.2784 * CHOOSE(CONTROL!$C$27, $C$14, 100%, $E$14)</f>
        <v>36.278399999999998</v>
      </c>
      <c r="L1006" s="59">
        <f>19.6481 * CHOOSE(CONTROL!$C$27, $C$14, 100%, $E$14)</f>
        <v>19.648099999999999</v>
      </c>
      <c r="M1006" s="59">
        <f>19.655 * CHOOSE(CONTROL!$C$27, $C$14, 100%, $E$14)</f>
        <v>19.655000000000001</v>
      </c>
      <c r="N1006" s="59">
        <f>19.6481 * CHOOSE(CONTROL!$C$27, $C$14, 100%, $E$14)</f>
        <v>19.648099999999999</v>
      </c>
      <c r="O1006" s="59">
        <f>19.655 * CHOOSE(CONTROL!$C$27, $C$14, 100%, $E$14)</f>
        <v>19.655000000000001</v>
      </c>
    </row>
    <row r="1007" spans="1:15" ht="15">
      <c r="A1007" s="11">
        <v>71742</v>
      </c>
      <c r="B1007" s="58">
        <f>17.1498 * CHOOSE(CONTROL!$C$27, $C$14, 100%, $E$14)</f>
        <v>17.149799999999999</v>
      </c>
      <c r="C1007" s="58">
        <f>17.1498 * CHOOSE(CONTROL!$C$27, $C$14, 100%, $E$14)</f>
        <v>17.149799999999999</v>
      </c>
      <c r="D1007" s="58">
        <f>17.1554 * CHOOSE(CONTROL!$C$27, $C$14, 100%, $E$14)</f>
        <v>17.1554</v>
      </c>
      <c r="E1007" s="59">
        <f>19.5416 * CHOOSE(CONTROL!$C$27, $C$14, 100%, $E$14)</f>
        <v>19.541599999999999</v>
      </c>
      <c r="F1007" s="59">
        <f>19.5416 * CHOOSE(CONTROL!$C$27, $C$14, 100%, $E$14)</f>
        <v>19.541599999999999</v>
      </c>
      <c r="G1007" s="59">
        <f>19.5485 * CHOOSE(CONTROL!$C$27, $C$14, 100%, $E$14)</f>
        <v>19.548500000000001</v>
      </c>
      <c r="H1007" s="59">
        <f>36.3471* CHOOSE(CONTROL!$C$27, $C$14, 100%, $E$14)</f>
        <v>36.347099999999998</v>
      </c>
      <c r="I1007" s="59">
        <f>36.354 * CHOOSE(CONTROL!$C$27, $C$14, 100%, $E$14)</f>
        <v>36.353999999999999</v>
      </c>
      <c r="J1007" s="59">
        <f>36.3471 * CHOOSE(CONTROL!$C$27, $C$14, 100%, $E$14)</f>
        <v>36.347099999999998</v>
      </c>
      <c r="K1007" s="59">
        <f>36.354 * CHOOSE(CONTROL!$C$27, $C$14, 100%, $E$14)</f>
        <v>36.353999999999999</v>
      </c>
      <c r="L1007" s="59">
        <f>19.5416 * CHOOSE(CONTROL!$C$27, $C$14, 100%, $E$14)</f>
        <v>19.541599999999999</v>
      </c>
      <c r="M1007" s="59">
        <f>19.5485 * CHOOSE(CONTROL!$C$27, $C$14, 100%, $E$14)</f>
        <v>19.548500000000001</v>
      </c>
      <c r="N1007" s="59">
        <f>19.5416 * CHOOSE(CONTROL!$C$27, $C$14, 100%, $E$14)</f>
        <v>19.541599999999999</v>
      </c>
      <c r="O1007" s="59">
        <f>19.5485 * CHOOSE(CONTROL!$C$27, $C$14, 100%, $E$14)</f>
        <v>19.548500000000001</v>
      </c>
    </row>
    <row r="1008" spans="1:15" ht="15">
      <c r="A1008" s="11">
        <v>71772</v>
      </c>
      <c r="B1008" s="58">
        <f>17.4078 * CHOOSE(CONTROL!$C$27, $C$14, 100%, $E$14)</f>
        <v>17.407800000000002</v>
      </c>
      <c r="C1008" s="58">
        <f>17.4078 * CHOOSE(CONTROL!$C$27, $C$14, 100%, $E$14)</f>
        <v>17.407800000000002</v>
      </c>
      <c r="D1008" s="58">
        <f>17.4134 * CHOOSE(CONTROL!$C$27, $C$14, 100%, $E$14)</f>
        <v>17.413399999999999</v>
      </c>
      <c r="E1008" s="59">
        <f>19.8499 * CHOOSE(CONTROL!$C$27, $C$14, 100%, $E$14)</f>
        <v>19.849900000000002</v>
      </c>
      <c r="F1008" s="59">
        <f>19.8499 * CHOOSE(CONTROL!$C$27, $C$14, 100%, $E$14)</f>
        <v>19.849900000000002</v>
      </c>
      <c r="G1008" s="59">
        <f>19.8568 * CHOOSE(CONTROL!$C$27, $C$14, 100%, $E$14)</f>
        <v>19.8568</v>
      </c>
      <c r="H1008" s="59">
        <f>36.4228* CHOOSE(CONTROL!$C$27, $C$14, 100%, $E$14)</f>
        <v>36.422800000000002</v>
      </c>
      <c r="I1008" s="59">
        <f>36.4297 * CHOOSE(CONTROL!$C$27, $C$14, 100%, $E$14)</f>
        <v>36.429699999999997</v>
      </c>
      <c r="J1008" s="59">
        <f>36.4228 * CHOOSE(CONTROL!$C$27, $C$14, 100%, $E$14)</f>
        <v>36.422800000000002</v>
      </c>
      <c r="K1008" s="59">
        <f>36.4297 * CHOOSE(CONTROL!$C$27, $C$14, 100%, $E$14)</f>
        <v>36.429699999999997</v>
      </c>
      <c r="L1008" s="59">
        <f>19.8499 * CHOOSE(CONTROL!$C$27, $C$14, 100%, $E$14)</f>
        <v>19.849900000000002</v>
      </c>
      <c r="M1008" s="59">
        <f>19.8568 * CHOOSE(CONTROL!$C$27, $C$14, 100%, $E$14)</f>
        <v>19.8568</v>
      </c>
      <c r="N1008" s="59">
        <f>19.8499 * CHOOSE(CONTROL!$C$27, $C$14, 100%, $E$14)</f>
        <v>19.849900000000002</v>
      </c>
      <c r="O1008" s="59">
        <f>19.8568 * CHOOSE(CONTROL!$C$27, $C$14, 100%, $E$14)</f>
        <v>19.8568</v>
      </c>
    </row>
    <row r="1009" spans="1:15" ht="15">
      <c r="A1009" s="11">
        <v>71803</v>
      </c>
      <c r="B1009" s="58">
        <f>17.4144 * CHOOSE(CONTROL!$C$27, $C$14, 100%, $E$14)</f>
        <v>17.414400000000001</v>
      </c>
      <c r="C1009" s="58">
        <f>17.4144 * CHOOSE(CONTROL!$C$27, $C$14, 100%, $E$14)</f>
        <v>17.414400000000001</v>
      </c>
      <c r="D1009" s="58">
        <f>17.4201 * CHOOSE(CONTROL!$C$27, $C$14, 100%, $E$14)</f>
        <v>17.420100000000001</v>
      </c>
      <c r="E1009" s="59">
        <f>19.5224 * CHOOSE(CONTROL!$C$27, $C$14, 100%, $E$14)</f>
        <v>19.522400000000001</v>
      </c>
      <c r="F1009" s="59">
        <f>19.5224 * CHOOSE(CONTROL!$C$27, $C$14, 100%, $E$14)</f>
        <v>19.522400000000001</v>
      </c>
      <c r="G1009" s="59">
        <f>19.5293 * CHOOSE(CONTROL!$C$27, $C$14, 100%, $E$14)</f>
        <v>19.529299999999999</v>
      </c>
      <c r="H1009" s="59">
        <f>36.4987* CHOOSE(CONTROL!$C$27, $C$14, 100%, $E$14)</f>
        <v>36.498699999999999</v>
      </c>
      <c r="I1009" s="59">
        <f>36.5056 * CHOOSE(CONTROL!$C$27, $C$14, 100%, $E$14)</f>
        <v>36.505600000000001</v>
      </c>
      <c r="J1009" s="59">
        <f>36.4987 * CHOOSE(CONTROL!$C$27, $C$14, 100%, $E$14)</f>
        <v>36.498699999999999</v>
      </c>
      <c r="K1009" s="59">
        <f>36.5056 * CHOOSE(CONTROL!$C$27, $C$14, 100%, $E$14)</f>
        <v>36.505600000000001</v>
      </c>
      <c r="L1009" s="59">
        <f>19.5224 * CHOOSE(CONTROL!$C$27, $C$14, 100%, $E$14)</f>
        <v>19.522400000000001</v>
      </c>
      <c r="M1009" s="59">
        <f>19.5293 * CHOOSE(CONTROL!$C$27, $C$14, 100%, $E$14)</f>
        <v>19.529299999999999</v>
      </c>
      <c r="N1009" s="59">
        <f>19.5224 * CHOOSE(CONTROL!$C$27, $C$14, 100%, $E$14)</f>
        <v>19.522400000000001</v>
      </c>
      <c r="O1009" s="59">
        <f>19.5293 * CHOOSE(CONTROL!$C$27, $C$14, 100%, $E$14)</f>
        <v>19.529299999999999</v>
      </c>
    </row>
    <row r="1010" spans="1:15" ht="15">
      <c r="A1010" s="11">
        <v>71834</v>
      </c>
      <c r="B1010" s="58">
        <f>17.4114 * CHOOSE(CONTROL!$C$27, $C$14, 100%, $E$14)</f>
        <v>17.4114</v>
      </c>
      <c r="C1010" s="58">
        <f>17.4114 * CHOOSE(CONTROL!$C$27, $C$14, 100%, $E$14)</f>
        <v>17.4114</v>
      </c>
      <c r="D1010" s="58">
        <f>17.417 * CHOOSE(CONTROL!$C$27, $C$14, 100%, $E$14)</f>
        <v>17.417000000000002</v>
      </c>
      <c r="E1010" s="59">
        <f>19.4834 * CHOOSE(CONTROL!$C$27, $C$14, 100%, $E$14)</f>
        <v>19.4834</v>
      </c>
      <c r="F1010" s="59">
        <f>19.4834 * CHOOSE(CONTROL!$C$27, $C$14, 100%, $E$14)</f>
        <v>19.4834</v>
      </c>
      <c r="G1010" s="59">
        <f>19.4902 * CHOOSE(CONTROL!$C$27, $C$14, 100%, $E$14)</f>
        <v>19.490200000000002</v>
      </c>
      <c r="H1010" s="59">
        <f>36.5748* CHOOSE(CONTROL!$C$27, $C$14, 100%, $E$14)</f>
        <v>36.574800000000003</v>
      </c>
      <c r="I1010" s="59">
        <f>36.5816 * CHOOSE(CONTROL!$C$27, $C$14, 100%, $E$14)</f>
        <v>36.581600000000002</v>
      </c>
      <c r="J1010" s="59">
        <f>36.5748 * CHOOSE(CONTROL!$C$27, $C$14, 100%, $E$14)</f>
        <v>36.574800000000003</v>
      </c>
      <c r="K1010" s="59">
        <f>36.5816 * CHOOSE(CONTROL!$C$27, $C$14, 100%, $E$14)</f>
        <v>36.581600000000002</v>
      </c>
      <c r="L1010" s="59">
        <f>19.4834 * CHOOSE(CONTROL!$C$27, $C$14, 100%, $E$14)</f>
        <v>19.4834</v>
      </c>
      <c r="M1010" s="59">
        <f>19.4902 * CHOOSE(CONTROL!$C$27, $C$14, 100%, $E$14)</f>
        <v>19.490200000000002</v>
      </c>
      <c r="N1010" s="59">
        <f>19.4834 * CHOOSE(CONTROL!$C$27, $C$14, 100%, $E$14)</f>
        <v>19.4834</v>
      </c>
      <c r="O1010" s="59">
        <f>19.4902 * CHOOSE(CONTROL!$C$27, $C$14, 100%, $E$14)</f>
        <v>19.490200000000002</v>
      </c>
    </row>
    <row r="1011" spans="1:15" ht="15">
      <c r="A1011" s="11">
        <v>71864</v>
      </c>
      <c r="B1011" s="58">
        <f>17.4495 * CHOOSE(CONTROL!$C$27, $C$14, 100%, $E$14)</f>
        <v>17.4495</v>
      </c>
      <c r="C1011" s="58">
        <f>17.4495 * CHOOSE(CONTROL!$C$27, $C$14, 100%, $E$14)</f>
        <v>17.4495</v>
      </c>
      <c r="D1011" s="58">
        <f>17.4535 * CHOOSE(CONTROL!$C$27, $C$14, 100%, $E$14)</f>
        <v>17.453499999999998</v>
      </c>
      <c r="E1011" s="59">
        <f>19.6176 * CHOOSE(CONTROL!$C$27, $C$14, 100%, $E$14)</f>
        <v>19.617599999999999</v>
      </c>
      <c r="F1011" s="59">
        <f>19.6176 * CHOOSE(CONTROL!$C$27, $C$14, 100%, $E$14)</f>
        <v>19.617599999999999</v>
      </c>
      <c r="G1011" s="59">
        <f>19.6225 * CHOOSE(CONTROL!$C$27, $C$14, 100%, $E$14)</f>
        <v>19.622499999999999</v>
      </c>
      <c r="H1011" s="59">
        <f>36.6509* CHOOSE(CONTROL!$C$27, $C$14, 100%, $E$14)</f>
        <v>36.6509</v>
      </c>
      <c r="I1011" s="59">
        <f>36.6559 * CHOOSE(CONTROL!$C$27, $C$14, 100%, $E$14)</f>
        <v>36.655900000000003</v>
      </c>
      <c r="J1011" s="59">
        <f>36.6509 * CHOOSE(CONTROL!$C$27, $C$14, 100%, $E$14)</f>
        <v>36.6509</v>
      </c>
      <c r="K1011" s="59">
        <f>36.6559 * CHOOSE(CONTROL!$C$27, $C$14, 100%, $E$14)</f>
        <v>36.655900000000003</v>
      </c>
      <c r="L1011" s="59">
        <f>19.6176 * CHOOSE(CONTROL!$C$27, $C$14, 100%, $E$14)</f>
        <v>19.617599999999999</v>
      </c>
      <c r="M1011" s="59">
        <f>19.6225 * CHOOSE(CONTROL!$C$27, $C$14, 100%, $E$14)</f>
        <v>19.622499999999999</v>
      </c>
      <c r="N1011" s="59">
        <f>19.6176 * CHOOSE(CONTROL!$C$27, $C$14, 100%, $E$14)</f>
        <v>19.617599999999999</v>
      </c>
      <c r="O1011" s="59">
        <f>19.6225 * CHOOSE(CONTROL!$C$27, $C$14, 100%, $E$14)</f>
        <v>19.622499999999999</v>
      </c>
    </row>
    <row r="1012" spans="1:15" ht="15">
      <c r="A1012" s="11">
        <v>71895</v>
      </c>
      <c r="B1012" s="58">
        <f>17.4526 * CHOOSE(CONTROL!$C$27, $C$14, 100%, $E$14)</f>
        <v>17.4526</v>
      </c>
      <c r="C1012" s="58">
        <f>17.4526 * CHOOSE(CONTROL!$C$27, $C$14, 100%, $E$14)</f>
        <v>17.4526</v>
      </c>
      <c r="D1012" s="58">
        <f>17.4566 * CHOOSE(CONTROL!$C$27, $C$14, 100%, $E$14)</f>
        <v>17.456600000000002</v>
      </c>
      <c r="E1012" s="59">
        <f>19.6935 * CHOOSE(CONTROL!$C$27, $C$14, 100%, $E$14)</f>
        <v>19.6935</v>
      </c>
      <c r="F1012" s="59">
        <f>19.6935 * CHOOSE(CONTROL!$C$27, $C$14, 100%, $E$14)</f>
        <v>19.6935</v>
      </c>
      <c r="G1012" s="59">
        <f>19.6985 * CHOOSE(CONTROL!$C$27, $C$14, 100%, $E$14)</f>
        <v>19.698499999999999</v>
      </c>
      <c r="H1012" s="59">
        <f>36.7273* CHOOSE(CONTROL!$C$27, $C$14, 100%, $E$14)</f>
        <v>36.7273</v>
      </c>
      <c r="I1012" s="59">
        <f>36.7322 * CHOOSE(CONTROL!$C$27, $C$14, 100%, $E$14)</f>
        <v>36.732199999999999</v>
      </c>
      <c r="J1012" s="59">
        <f>36.7273 * CHOOSE(CONTROL!$C$27, $C$14, 100%, $E$14)</f>
        <v>36.7273</v>
      </c>
      <c r="K1012" s="59">
        <f>36.7322 * CHOOSE(CONTROL!$C$27, $C$14, 100%, $E$14)</f>
        <v>36.732199999999999</v>
      </c>
      <c r="L1012" s="59">
        <f>19.6935 * CHOOSE(CONTROL!$C$27, $C$14, 100%, $E$14)</f>
        <v>19.6935</v>
      </c>
      <c r="M1012" s="59">
        <f>19.6985 * CHOOSE(CONTROL!$C$27, $C$14, 100%, $E$14)</f>
        <v>19.698499999999999</v>
      </c>
      <c r="N1012" s="59">
        <f>19.6935 * CHOOSE(CONTROL!$C$27, $C$14, 100%, $E$14)</f>
        <v>19.6935</v>
      </c>
      <c r="O1012" s="59">
        <f>19.6985 * CHOOSE(CONTROL!$C$27, $C$14, 100%, $E$14)</f>
        <v>19.698499999999999</v>
      </c>
    </row>
    <row r="1013" spans="1:15" ht="15">
      <c r="A1013" s="11">
        <v>71925</v>
      </c>
      <c r="B1013" s="58">
        <f>17.4526 * CHOOSE(CONTROL!$C$27, $C$14, 100%, $E$14)</f>
        <v>17.4526</v>
      </c>
      <c r="C1013" s="58">
        <f>17.4526 * CHOOSE(CONTROL!$C$27, $C$14, 100%, $E$14)</f>
        <v>17.4526</v>
      </c>
      <c r="D1013" s="58">
        <f>17.4566 * CHOOSE(CONTROL!$C$27, $C$14, 100%, $E$14)</f>
        <v>17.456600000000002</v>
      </c>
      <c r="E1013" s="59">
        <f>19.509 * CHOOSE(CONTROL!$C$27, $C$14, 100%, $E$14)</f>
        <v>19.509</v>
      </c>
      <c r="F1013" s="59">
        <f>19.509 * CHOOSE(CONTROL!$C$27, $C$14, 100%, $E$14)</f>
        <v>19.509</v>
      </c>
      <c r="G1013" s="59">
        <f>19.5139 * CHOOSE(CONTROL!$C$27, $C$14, 100%, $E$14)</f>
        <v>19.5139</v>
      </c>
      <c r="H1013" s="59">
        <f>36.8038* CHOOSE(CONTROL!$C$27, $C$14, 100%, $E$14)</f>
        <v>36.803800000000003</v>
      </c>
      <c r="I1013" s="59">
        <f>36.8087 * CHOOSE(CONTROL!$C$27, $C$14, 100%, $E$14)</f>
        <v>36.808700000000002</v>
      </c>
      <c r="J1013" s="59">
        <f>36.8038 * CHOOSE(CONTROL!$C$27, $C$14, 100%, $E$14)</f>
        <v>36.803800000000003</v>
      </c>
      <c r="K1013" s="59">
        <f>36.8087 * CHOOSE(CONTROL!$C$27, $C$14, 100%, $E$14)</f>
        <v>36.808700000000002</v>
      </c>
      <c r="L1013" s="59">
        <f>19.509 * CHOOSE(CONTROL!$C$27, $C$14, 100%, $E$14)</f>
        <v>19.509</v>
      </c>
      <c r="M1013" s="59">
        <f>19.5139 * CHOOSE(CONTROL!$C$27, $C$14, 100%, $E$14)</f>
        <v>19.5139</v>
      </c>
      <c r="N1013" s="59">
        <f>19.509 * CHOOSE(CONTROL!$C$27, $C$14, 100%, $E$14)</f>
        <v>19.509</v>
      </c>
      <c r="O1013" s="59">
        <f>19.5139 * CHOOSE(CONTROL!$C$27, $C$14, 100%, $E$14)</f>
        <v>19.5139</v>
      </c>
    </row>
    <row r="1014" spans="1:15" ht="15">
      <c r="A1014" s="11">
        <v>71956</v>
      </c>
      <c r="B1014" s="58">
        <f>17.3767 * CHOOSE(CONTROL!$C$27, $C$14, 100%, $E$14)</f>
        <v>17.3767</v>
      </c>
      <c r="C1014" s="58">
        <f>17.3767 * CHOOSE(CONTROL!$C$27, $C$14, 100%, $E$14)</f>
        <v>17.3767</v>
      </c>
      <c r="D1014" s="58">
        <f>17.3807 * CHOOSE(CONTROL!$C$27, $C$14, 100%, $E$14)</f>
        <v>17.380700000000001</v>
      </c>
      <c r="E1014" s="59">
        <f>19.5791 * CHOOSE(CONTROL!$C$27, $C$14, 100%, $E$14)</f>
        <v>19.5791</v>
      </c>
      <c r="F1014" s="59">
        <f>19.5791 * CHOOSE(CONTROL!$C$27, $C$14, 100%, $E$14)</f>
        <v>19.5791</v>
      </c>
      <c r="G1014" s="59">
        <f>19.584 * CHOOSE(CONTROL!$C$27, $C$14, 100%, $E$14)</f>
        <v>19.584</v>
      </c>
      <c r="H1014" s="59">
        <f>36.4534* CHOOSE(CONTROL!$C$27, $C$14, 100%, $E$14)</f>
        <v>36.453400000000002</v>
      </c>
      <c r="I1014" s="59">
        <f>36.4583 * CHOOSE(CONTROL!$C$27, $C$14, 100%, $E$14)</f>
        <v>36.458300000000001</v>
      </c>
      <c r="J1014" s="59">
        <f>36.4534 * CHOOSE(CONTROL!$C$27, $C$14, 100%, $E$14)</f>
        <v>36.453400000000002</v>
      </c>
      <c r="K1014" s="59">
        <f>36.4583 * CHOOSE(CONTROL!$C$27, $C$14, 100%, $E$14)</f>
        <v>36.458300000000001</v>
      </c>
      <c r="L1014" s="59">
        <f>19.5791 * CHOOSE(CONTROL!$C$27, $C$14, 100%, $E$14)</f>
        <v>19.5791</v>
      </c>
      <c r="M1014" s="59">
        <f>19.584 * CHOOSE(CONTROL!$C$27, $C$14, 100%, $E$14)</f>
        <v>19.584</v>
      </c>
      <c r="N1014" s="59">
        <f>19.5791 * CHOOSE(CONTROL!$C$27, $C$14, 100%, $E$14)</f>
        <v>19.5791</v>
      </c>
      <c r="O1014" s="59">
        <f>19.584 * CHOOSE(CONTROL!$C$27, $C$14, 100%, $E$14)</f>
        <v>19.584</v>
      </c>
    </row>
    <row r="1015" spans="1:15" ht="15">
      <c r="A1015" s="11">
        <v>71987</v>
      </c>
      <c r="B1015" s="58">
        <f>17.3737 * CHOOSE(CONTROL!$C$27, $C$14, 100%, $E$14)</f>
        <v>17.373699999999999</v>
      </c>
      <c r="C1015" s="58">
        <f>17.3737 * CHOOSE(CONTROL!$C$27, $C$14, 100%, $E$14)</f>
        <v>17.373699999999999</v>
      </c>
      <c r="D1015" s="58">
        <f>17.3777 * CHOOSE(CONTROL!$C$27, $C$14, 100%, $E$14)</f>
        <v>17.377700000000001</v>
      </c>
      <c r="E1015" s="59">
        <f>19.2233 * CHOOSE(CONTROL!$C$27, $C$14, 100%, $E$14)</f>
        <v>19.223299999999998</v>
      </c>
      <c r="F1015" s="59">
        <f>19.2233 * CHOOSE(CONTROL!$C$27, $C$14, 100%, $E$14)</f>
        <v>19.223299999999998</v>
      </c>
      <c r="G1015" s="59">
        <f>19.2282 * CHOOSE(CONTROL!$C$27, $C$14, 100%, $E$14)</f>
        <v>19.228200000000001</v>
      </c>
      <c r="H1015" s="59">
        <f>36.5293* CHOOSE(CONTROL!$C$27, $C$14, 100%, $E$14)</f>
        <v>36.529299999999999</v>
      </c>
      <c r="I1015" s="59">
        <f>36.5343 * CHOOSE(CONTROL!$C$27, $C$14, 100%, $E$14)</f>
        <v>36.534300000000002</v>
      </c>
      <c r="J1015" s="59">
        <f>36.5293 * CHOOSE(CONTROL!$C$27, $C$14, 100%, $E$14)</f>
        <v>36.529299999999999</v>
      </c>
      <c r="K1015" s="59">
        <f>36.5343 * CHOOSE(CONTROL!$C$27, $C$14, 100%, $E$14)</f>
        <v>36.534300000000002</v>
      </c>
      <c r="L1015" s="59">
        <f>19.2233 * CHOOSE(CONTROL!$C$27, $C$14, 100%, $E$14)</f>
        <v>19.223299999999998</v>
      </c>
      <c r="M1015" s="59">
        <f>19.2282 * CHOOSE(CONTROL!$C$27, $C$14, 100%, $E$14)</f>
        <v>19.228200000000001</v>
      </c>
      <c r="N1015" s="59">
        <f>19.2233 * CHOOSE(CONTROL!$C$27, $C$14, 100%, $E$14)</f>
        <v>19.223299999999998</v>
      </c>
      <c r="O1015" s="59">
        <f>19.2282 * CHOOSE(CONTROL!$C$27, $C$14, 100%, $E$14)</f>
        <v>19.228200000000001</v>
      </c>
    </row>
    <row r="1016" spans="1:15" ht="15">
      <c r="A1016" s="11">
        <v>72015</v>
      </c>
      <c r="B1016" s="58">
        <f>17.3706 * CHOOSE(CONTROL!$C$27, $C$14, 100%, $E$14)</f>
        <v>17.3706</v>
      </c>
      <c r="C1016" s="58">
        <f>17.3706 * CHOOSE(CONTROL!$C$27, $C$14, 100%, $E$14)</f>
        <v>17.3706</v>
      </c>
      <c r="D1016" s="58">
        <f>17.3746 * CHOOSE(CONTROL!$C$27, $C$14, 100%, $E$14)</f>
        <v>17.374600000000001</v>
      </c>
      <c r="E1016" s="59">
        <f>19.5 * CHOOSE(CONTROL!$C$27, $C$14, 100%, $E$14)</f>
        <v>19.5</v>
      </c>
      <c r="F1016" s="59">
        <f>19.5 * CHOOSE(CONTROL!$C$27, $C$14, 100%, $E$14)</f>
        <v>19.5</v>
      </c>
      <c r="G1016" s="59">
        <f>19.5049 * CHOOSE(CONTROL!$C$27, $C$14, 100%, $E$14)</f>
        <v>19.504899999999999</v>
      </c>
      <c r="H1016" s="59">
        <f>36.6054* CHOOSE(CONTROL!$C$27, $C$14, 100%, $E$14)</f>
        <v>36.605400000000003</v>
      </c>
      <c r="I1016" s="59">
        <f>36.6104 * CHOOSE(CONTROL!$C$27, $C$14, 100%, $E$14)</f>
        <v>36.610399999999998</v>
      </c>
      <c r="J1016" s="59">
        <f>36.6054 * CHOOSE(CONTROL!$C$27, $C$14, 100%, $E$14)</f>
        <v>36.605400000000003</v>
      </c>
      <c r="K1016" s="59">
        <f>36.6104 * CHOOSE(CONTROL!$C$27, $C$14, 100%, $E$14)</f>
        <v>36.610399999999998</v>
      </c>
      <c r="L1016" s="59">
        <f>19.5 * CHOOSE(CONTROL!$C$27, $C$14, 100%, $E$14)</f>
        <v>19.5</v>
      </c>
      <c r="M1016" s="59">
        <f>19.5049 * CHOOSE(CONTROL!$C$27, $C$14, 100%, $E$14)</f>
        <v>19.504899999999999</v>
      </c>
      <c r="N1016" s="59">
        <f>19.5 * CHOOSE(CONTROL!$C$27, $C$14, 100%, $E$14)</f>
        <v>19.5</v>
      </c>
      <c r="O1016" s="59">
        <f>19.5049 * CHOOSE(CONTROL!$C$27, $C$14, 100%, $E$14)</f>
        <v>19.504899999999999</v>
      </c>
    </row>
    <row r="1017" spans="1:15" ht="15">
      <c r="A1017" s="11">
        <v>72046</v>
      </c>
      <c r="B1017" s="58">
        <f>17.3795 * CHOOSE(CONTROL!$C$27, $C$14, 100%, $E$14)</f>
        <v>17.3795</v>
      </c>
      <c r="C1017" s="58">
        <f>17.3795 * CHOOSE(CONTROL!$C$27, $C$14, 100%, $E$14)</f>
        <v>17.3795</v>
      </c>
      <c r="D1017" s="58">
        <f>17.3835 * CHOOSE(CONTROL!$C$27, $C$14, 100%, $E$14)</f>
        <v>17.383500000000002</v>
      </c>
      <c r="E1017" s="59">
        <f>19.7952 * CHOOSE(CONTROL!$C$27, $C$14, 100%, $E$14)</f>
        <v>19.795200000000001</v>
      </c>
      <c r="F1017" s="59">
        <f>19.7952 * CHOOSE(CONTROL!$C$27, $C$14, 100%, $E$14)</f>
        <v>19.795200000000001</v>
      </c>
      <c r="G1017" s="59">
        <f>19.8002 * CHOOSE(CONTROL!$C$27, $C$14, 100%, $E$14)</f>
        <v>19.8002</v>
      </c>
      <c r="H1017" s="59">
        <f>36.6817* CHOOSE(CONTROL!$C$27, $C$14, 100%, $E$14)</f>
        <v>36.681699999999999</v>
      </c>
      <c r="I1017" s="59">
        <f>36.6866 * CHOOSE(CONTROL!$C$27, $C$14, 100%, $E$14)</f>
        <v>36.686599999999999</v>
      </c>
      <c r="J1017" s="59">
        <f>36.6817 * CHOOSE(CONTROL!$C$27, $C$14, 100%, $E$14)</f>
        <v>36.681699999999999</v>
      </c>
      <c r="K1017" s="59">
        <f>36.6866 * CHOOSE(CONTROL!$C$27, $C$14, 100%, $E$14)</f>
        <v>36.686599999999999</v>
      </c>
      <c r="L1017" s="59">
        <f>19.7952 * CHOOSE(CONTROL!$C$27, $C$14, 100%, $E$14)</f>
        <v>19.795200000000001</v>
      </c>
      <c r="M1017" s="59">
        <f>19.8002 * CHOOSE(CONTROL!$C$27, $C$14, 100%, $E$14)</f>
        <v>19.8002</v>
      </c>
      <c r="N1017" s="59">
        <f>19.7952 * CHOOSE(CONTROL!$C$27, $C$14, 100%, $E$14)</f>
        <v>19.795200000000001</v>
      </c>
      <c r="O1017" s="59">
        <f>19.8002 * CHOOSE(CONTROL!$C$27, $C$14, 100%, $E$14)</f>
        <v>19.8002</v>
      </c>
    </row>
    <row r="1018" spans="1:15" ht="15">
      <c r="A1018" s="11">
        <v>72076</v>
      </c>
      <c r="B1018" s="58">
        <f>17.3795 * CHOOSE(CONTROL!$C$27, $C$14, 100%, $E$14)</f>
        <v>17.3795</v>
      </c>
      <c r="C1018" s="58">
        <f>17.3795 * CHOOSE(CONTROL!$C$27, $C$14, 100%, $E$14)</f>
        <v>17.3795</v>
      </c>
      <c r="D1018" s="58">
        <f>17.3851 * CHOOSE(CONTROL!$C$27, $C$14, 100%, $E$14)</f>
        <v>17.385100000000001</v>
      </c>
      <c r="E1018" s="59">
        <f>19.9075 * CHOOSE(CONTROL!$C$27, $C$14, 100%, $E$14)</f>
        <v>19.907499999999999</v>
      </c>
      <c r="F1018" s="59">
        <f>19.9075 * CHOOSE(CONTROL!$C$27, $C$14, 100%, $E$14)</f>
        <v>19.907499999999999</v>
      </c>
      <c r="G1018" s="59">
        <f>19.9144 * CHOOSE(CONTROL!$C$27, $C$14, 100%, $E$14)</f>
        <v>19.914400000000001</v>
      </c>
      <c r="H1018" s="59">
        <f>36.7581* CHOOSE(CONTROL!$C$27, $C$14, 100%, $E$14)</f>
        <v>36.758099999999999</v>
      </c>
      <c r="I1018" s="59">
        <f>36.765 * CHOOSE(CONTROL!$C$27, $C$14, 100%, $E$14)</f>
        <v>36.765000000000001</v>
      </c>
      <c r="J1018" s="59">
        <f>36.7581 * CHOOSE(CONTROL!$C$27, $C$14, 100%, $E$14)</f>
        <v>36.758099999999999</v>
      </c>
      <c r="K1018" s="59">
        <f>36.765 * CHOOSE(CONTROL!$C$27, $C$14, 100%, $E$14)</f>
        <v>36.765000000000001</v>
      </c>
      <c r="L1018" s="59">
        <f>19.9075 * CHOOSE(CONTROL!$C$27, $C$14, 100%, $E$14)</f>
        <v>19.907499999999999</v>
      </c>
      <c r="M1018" s="59">
        <f>19.9144 * CHOOSE(CONTROL!$C$27, $C$14, 100%, $E$14)</f>
        <v>19.914400000000001</v>
      </c>
      <c r="N1018" s="59">
        <f>19.9075 * CHOOSE(CONTROL!$C$27, $C$14, 100%, $E$14)</f>
        <v>19.907499999999999</v>
      </c>
      <c r="O1018" s="59">
        <f>19.9144 * CHOOSE(CONTROL!$C$27, $C$14, 100%, $E$14)</f>
        <v>19.914400000000001</v>
      </c>
    </row>
    <row r="1019" spans="1:15" ht="15">
      <c r="A1019" s="11">
        <v>72107</v>
      </c>
      <c r="B1019" s="58">
        <f>17.3855 * CHOOSE(CONTROL!$C$27, $C$14, 100%, $E$14)</f>
        <v>17.3855</v>
      </c>
      <c r="C1019" s="58">
        <f>17.3855 * CHOOSE(CONTROL!$C$27, $C$14, 100%, $E$14)</f>
        <v>17.3855</v>
      </c>
      <c r="D1019" s="58">
        <f>17.3912 * CHOOSE(CONTROL!$C$27, $C$14, 100%, $E$14)</f>
        <v>17.391200000000001</v>
      </c>
      <c r="E1019" s="59">
        <f>19.7995 * CHOOSE(CONTROL!$C$27, $C$14, 100%, $E$14)</f>
        <v>19.799499999999998</v>
      </c>
      <c r="F1019" s="59">
        <f>19.7995 * CHOOSE(CONTROL!$C$27, $C$14, 100%, $E$14)</f>
        <v>19.799499999999998</v>
      </c>
      <c r="G1019" s="59">
        <f>19.8064 * CHOOSE(CONTROL!$C$27, $C$14, 100%, $E$14)</f>
        <v>19.8064</v>
      </c>
      <c r="H1019" s="59">
        <f>36.8347* CHOOSE(CONTROL!$C$27, $C$14, 100%, $E$14)</f>
        <v>36.834699999999998</v>
      </c>
      <c r="I1019" s="59">
        <f>36.8416 * CHOOSE(CONTROL!$C$27, $C$14, 100%, $E$14)</f>
        <v>36.8416</v>
      </c>
      <c r="J1019" s="59">
        <f>36.8347 * CHOOSE(CONTROL!$C$27, $C$14, 100%, $E$14)</f>
        <v>36.834699999999998</v>
      </c>
      <c r="K1019" s="59">
        <f>36.8416 * CHOOSE(CONTROL!$C$27, $C$14, 100%, $E$14)</f>
        <v>36.8416</v>
      </c>
      <c r="L1019" s="59">
        <f>19.7995 * CHOOSE(CONTROL!$C$27, $C$14, 100%, $E$14)</f>
        <v>19.799499999999998</v>
      </c>
      <c r="M1019" s="59">
        <f>19.8064 * CHOOSE(CONTROL!$C$27, $C$14, 100%, $E$14)</f>
        <v>19.8064</v>
      </c>
      <c r="N1019" s="59">
        <f>19.7995 * CHOOSE(CONTROL!$C$27, $C$14, 100%, $E$14)</f>
        <v>19.799499999999998</v>
      </c>
      <c r="O1019" s="59">
        <f>19.8064 * CHOOSE(CONTROL!$C$27, $C$14, 100%, $E$14)</f>
        <v>19.8064</v>
      </c>
    </row>
    <row r="1020" spans="1:15" ht="15">
      <c r="A1020" s="11">
        <v>72137</v>
      </c>
      <c r="B1020" s="58">
        <f>17.6469 * CHOOSE(CONTROL!$C$27, $C$14, 100%, $E$14)</f>
        <v>17.646899999999999</v>
      </c>
      <c r="C1020" s="58">
        <f>17.6469 * CHOOSE(CONTROL!$C$27, $C$14, 100%, $E$14)</f>
        <v>17.646899999999999</v>
      </c>
      <c r="D1020" s="58">
        <f>17.6526 * CHOOSE(CONTROL!$C$27, $C$14, 100%, $E$14)</f>
        <v>17.6526</v>
      </c>
      <c r="E1020" s="59">
        <f>20.1117 * CHOOSE(CONTROL!$C$27, $C$14, 100%, $E$14)</f>
        <v>20.111699999999999</v>
      </c>
      <c r="F1020" s="59">
        <f>20.1117 * CHOOSE(CONTROL!$C$27, $C$14, 100%, $E$14)</f>
        <v>20.111699999999999</v>
      </c>
      <c r="G1020" s="59">
        <f>20.1186 * CHOOSE(CONTROL!$C$27, $C$14, 100%, $E$14)</f>
        <v>20.118600000000001</v>
      </c>
      <c r="H1020" s="59">
        <f>36.9114* CHOOSE(CONTROL!$C$27, $C$14, 100%, $E$14)</f>
        <v>36.9114</v>
      </c>
      <c r="I1020" s="59">
        <f>36.9183 * CHOOSE(CONTROL!$C$27, $C$14, 100%, $E$14)</f>
        <v>36.918300000000002</v>
      </c>
      <c r="J1020" s="59">
        <f>36.9114 * CHOOSE(CONTROL!$C$27, $C$14, 100%, $E$14)</f>
        <v>36.9114</v>
      </c>
      <c r="K1020" s="59">
        <f>36.9183 * CHOOSE(CONTROL!$C$27, $C$14, 100%, $E$14)</f>
        <v>36.918300000000002</v>
      </c>
      <c r="L1020" s="59">
        <f>20.1117 * CHOOSE(CONTROL!$C$27, $C$14, 100%, $E$14)</f>
        <v>20.111699999999999</v>
      </c>
      <c r="M1020" s="59">
        <f>20.1186 * CHOOSE(CONTROL!$C$27, $C$14, 100%, $E$14)</f>
        <v>20.118600000000001</v>
      </c>
      <c r="N1020" s="59">
        <f>20.1117 * CHOOSE(CONTROL!$C$27, $C$14, 100%, $E$14)</f>
        <v>20.111699999999999</v>
      </c>
      <c r="O1020" s="59">
        <f>20.1186 * CHOOSE(CONTROL!$C$27, $C$14, 100%, $E$14)</f>
        <v>20.118600000000001</v>
      </c>
    </row>
    <row r="1021" spans="1:15" ht="15">
      <c r="A1021" s="11">
        <v>72168</v>
      </c>
      <c r="B1021" s="58">
        <f>17.6536 * CHOOSE(CONTROL!$C$27, $C$14, 100%, $E$14)</f>
        <v>17.653600000000001</v>
      </c>
      <c r="C1021" s="58">
        <f>17.6536 * CHOOSE(CONTROL!$C$27, $C$14, 100%, $E$14)</f>
        <v>17.653600000000001</v>
      </c>
      <c r="D1021" s="58">
        <f>17.6593 * CHOOSE(CONTROL!$C$27, $C$14, 100%, $E$14)</f>
        <v>17.659300000000002</v>
      </c>
      <c r="E1021" s="59">
        <f>19.7795 * CHOOSE(CONTROL!$C$27, $C$14, 100%, $E$14)</f>
        <v>19.779499999999999</v>
      </c>
      <c r="F1021" s="59">
        <f>19.7795 * CHOOSE(CONTROL!$C$27, $C$14, 100%, $E$14)</f>
        <v>19.779499999999999</v>
      </c>
      <c r="G1021" s="59">
        <f>19.7864 * CHOOSE(CONTROL!$C$27, $C$14, 100%, $E$14)</f>
        <v>19.7864</v>
      </c>
      <c r="H1021" s="59">
        <f>36.9883* CHOOSE(CONTROL!$C$27, $C$14, 100%, $E$14)</f>
        <v>36.988300000000002</v>
      </c>
      <c r="I1021" s="59">
        <f>36.9952 * CHOOSE(CONTROL!$C$27, $C$14, 100%, $E$14)</f>
        <v>36.995199999999997</v>
      </c>
      <c r="J1021" s="59">
        <f>36.9883 * CHOOSE(CONTROL!$C$27, $C$14, 100%, $E$14)</f>
        <v>36.988300000000002</v>
      </c>
      <c r="K1021" s="59">
        <f>36.9952 * CHOOSE(CONTROL!$C$27, $C$14, 100%, $E$14)</f>
        <v>36.995199999999997</v>
      </c>
      <c r="L1021" s="59">
        <f>19.7795 * CHOOSE(CONTROL!$C$27, $C$14, 100%, $E$14)</f>
        <v>19.779499999999999</v>
      </c>
      <c r="M1021" s="59">
        <f>19.7864 * CHOOSE(CONTROL!$C$27, $C$14, 100%, $E$14)</f>
        <v>19.7864</v>
      </c>
      <c r="N1021" s="59">
        <f>19.7795 * CHOOSE(CONTROL!$C$27, $C$14, 100%, $E$14)</f>
        <v>19.779499999999999</v>
      </c>
      <c r="O1021" s="59">
        <f>19.7864 * CHOOSE(CONTROL!$C$27, $C$14, 100%, $E$14)</f>
        <v>19.7864</v>
      </c>
    </row>
    <row r="1022" spans="1:15" ht="15">
      <c r="A1022" s="11">
        <v>72199</v>
      </c>
      <c r="B1022" s="58">
        <f>17.6506 * CHOOSE(CONTROL!$C$27, $C$14, 100%, $E$14)</f>
        <v>17.650600000000001</v>
      </c>
      <c r="C1022" s="58">
        <f>17.6506 * CHOOSE(CONTROL!$C$27, $C$14, 100%, $E$14)</f>
        <v>17.650600000000001</v>
      </c>
      <c r="D1022" s="58">
        <f>17.6562 * CHOOSE(CONTROL!$C$27, $C$14, 100%, $E$14)</f>
        <v>17.656199999999998</v>
      </c>
      <c r="E1022" s="59">
        <f>19.7399 * CHOOSE(CONTROL!$C$27, $C$14, 100%, $E$14)</f>
        <v>19.739899999999999</v>
      </c>
      <c r="F1022" s="59">
        <f>19.7399 * CHOOSE(CONTROL!$C$27, $C$14, 100%, $E$14)</f>
        <v>19.739899999999999</v>
      </c>
      <c r="G1022" s="59">
        <f>19.7468 * CHOOSE(CONTROL!$C$27, $C$14, 100%, $E$14)</f>
        <v>19.7468</v>
      </c>
      <c r="H1022" s="59">
        <f>37.0654* CHOOSE(CONTROL!$C$27, $C$14, 100%, $E$14)</f>
        <v>37.065399999999997</v>
      </c>
      <c r="I1022" s="59">
        <f>37.0723 * CHOOSE(CONTROL!$C$27, $C$14, 100%, $E$14)</f>
        <v>37.072299999999998</v>
      </c>
      <c r="J1022" s="59">
        <f>37.0654 * CHOOSE(CONTROL!$C$27, $C$14, 100%, $E$14)</f>
        <v>37.065399999999997</v>
      </c>
      <c r="K1022" s="59">
        <f>37.0723 * CHOOSE(CONTROL!$C$27, $C$14, 100%, $E$14)</f>
        <v>37.072299999999998</v>
      </c>
      <c r="L1022" s="59">
        <f>19.7399 * CHOOSE(CONTROL!$C$27, $C$14, 100%, $E$14)</f>
        <v>19.739899999999999</v>
      </c>
      <c r="M1022" s="59">
        <f>19.7468 * CHOOSE(CONTROL!$C$27, $C$14, 100%, $E$14)</f>
        <v>19.7468</v>
      </c>
      <c r="N1022" s="59">
        <f>19.7399 * CHOOSE(CONTROL!$C$27, $C$14, 100%, $E$14)</f>
        <v>19.739899999999999</v>
      </c>
      <c r="O1022" s="59">
        <f>19.7468 * CHOOSE(CONTROL!$C$27, $C$14, 100%, $E$14)</f>
        <v>19.7468</v>
      </c>
    </row>
    <row r="1023" spans="1:15" ht="15">
      <c r="A1023" s="11">
        <v>72229</v>
      </c>
      <c r="B1023" s="58">
        <f>17.6895 * CHOOSE(CONTROL!$C$27, $C$14, 100%, $E$14)</f>
        <v>17.689499999999999</v>
      </c>
      <c r="C1023" s="58">
        <f>17.6895 * CHOOSE(CONTROL!$C$27, $C$14, 100%, $E$14)</f>
        <v>17.689499999999999</v>
      </c>
      <c r="D1023" s="58">
        <f>17.6935 * CHOOSE(CONTROL!$C$27, $C$14, 100%, $E$14)</f>
        <v>17.6935</v>
      </c>
      <c r="E1023" s="59">
        <f>19.8762 * CHOOSE(CONTROL!$C$27, $C$14, 100%, $E$14)</f>
        <v>19.876200000000001</v>
      </c>
      <c r="F1023" s="59">
        <f>19.8762 * CHOOSE(CONTROL!$C$27, $C$14, 100%, $E$14)</f>
        <v>19.876200000000001</v>
      </c>
      <c r="G1023" s="59">
        <f>19.8812 * CHOOSE(CONTROL!$C$27, $C$14, 100%, $E$14)</f>
        <v>19.8812</v>
      </c>
      <c r="H1023" s="59">
        <f>37.1426* CHOOSE(CONTROL!$C$27, $C$14, 100%, $E$14)</f>
        <v>37.142600000000002</v>
      </c>
      <c r="I1023" s="59">
        <f>37.1475 * CHOOSE(CONTROL!$C$27, $C$14, 100%, $E$14)</f>
        <v>37.147500000000001</v>
      </c>
      <c r="J1023" s="59">
        <f>37.1426 * CHOOSE(CONTROL!$C$27, $C$14, 100%, $E$14)</f>
        <v>37.142600000000002</v>
      </c>
      <c r="K1023" s="59">
        <f>37.1475 * CHOOSE(CONTROL!$C$27, $C$14, 100%, $E$14)</f>
        <v>37.147500000000001</v>
      </c>
      <c r="L1023" s="59">
        <f>19.8762 * CHOOSE(CONTROL!$C$27, $C$14, 100%, $E$14)</f>
        <v>19.876200000000001</v>
      </c>
      <c r="M1023" s="59">
        <f>19.8812 * CHOOSE(CONTROL!$C$27, $C$14, 100%, $E$14)</f>
        <v>19.8812</v>
      </c>
      <c r="N1023" s="59">
        <f>19.8762 * CHOOSE(CONTROL!$C$27, $C$14, 100%, $E$14)</f>
        <v>19.876200000000001</v>
      </c>
      <c r="O1023" s="59">
        <f>19.8812 * CHOOSE(CONTROL!$C$27, $C$14, 100%, $E$14)</f>
        <v>19.8812</v>
      </c>
    </row>
    <row r="1024" spans="1:15" ht="15">
      <c r="A1024" s="11">
        <v>72260</v>
      </c>
      <c r="B1024" s="58">
        <f>17.6925 * CHOOSE(CONTROL!$C$27, $C$14, 100%, $E$14)</f>
        <v>17.692499999999999</v>
      </c>
      <c r="C1024" s="58">
        <f>17.6925 * CHOOSE(CONTROL!$C$27, $C$14, 100%, $E$14)</f>
        <v>17.692499999999999</v>
      </c>
      <c r="D1024" s="58">
        <f>17.6965 * CHOOSE(CONTROL!$C$27, $C$14, 100%, $E$14)</f>
        <v>17.6965</v>
      </c>
      <c r="E1024" s="59">
        <f>19.9532 * CHOOSE(CONTROL!$C$27, $C$14, 100%, $E$14)</f>
        <v>19.953199999999999</v>
      </c>
      <c r="F1024" s="59">
        <f>19.9532 * CHOOSE(CONTROL!$C$27, $C$14, 100%, $E$14)</f>
        <v>19.953199999999999</v>
      </c>
      <c r="G1024" s="59">
        <f>19.9581 * CHOOSE(CONTROL!$C$27, $C$14, 100%, $E$14)</f>
        <v>19.958100000000002</v>
      </c>
      <c r="H1024" s="59">
        <f>37.22* CHOOSE(CONTROL!$C$27, $C$14, 100%, $E$14)</f>
        <v>37.22</v>
      </c>
      <c r="I1024" s="59">
        <f>37.2249 * CHOOSE(CONTROL!$C$27, $C$14, 100%, $E$14)</f>
        <v>37.224899999999998</v>
      </c>
      <c r="J1024" s="59">
        <f>37.22 * CHOOSE(CONTROL!$C$27, $C$14, 100%, $E$14)</f>
        <v>37.22</v>
      </c>
      <c r="K1024" s="59">
        <f>37.2249 * CHOOSE(CONTROL!$C$27, $C$14, 100%, $E$14)</f>
        <v>37.224899999999998</v>
      </c>
      <c r="L1024" s="59">
        <f>19.9532 * CHOOSE(CONTROL!$C$27, $C$14, 100%, $E$14)</f>
        <v>19.953199999999999</v>
      </c>
      <c r="M1024" s="59">
        <f>19.9581 * CHOOSE(CONTROL!$C$27, $C$14, 100%, $E$14)</f>
        <v>19.958100000000002</v>
      </c>
      <c r="N1024" s="59">
        <f>19.9532 * CHOOSE(CONTROL!$C$27, $C$14, 100%, $E$14)</f>
        <v>19.953199999999999</v>
      </c>
      <c r="O1024" s="59">
        <f>19.9581 * CHOOSE(CONTROL!$C$27, $C$14, 100%, $E$14)</f>
        <v>19.958100000000002</v>
      </c>
    </row>
    <row r="1025" spans="1:15" ht="15">
      <c r="A1025" s="11">
        <v>72290</v>
      </c>
      <c r="B1025" s="58">
        <f>17.6925 * CHOOSE(CONTROL!$C$27, $C$14, 100%, $E$14)</f>
        <v>17.692499999999999</v>
      </c>
      <c r="C1025" s="58">
        <f>17.6925 * CHOOSE(CONTROL!$C$27, $C$14, 100%, $E$14)</f>
        <v>17.692499999999999</v>
      </c>
      <c r="D1025" s="58">
        <f>17.6965 * CHOOSE(CONTROL!$C$27, $C$14, 100%, $E$14)</f>
        <v>17.6965</v>
      </c>
      <c r="E1025" s="59">
        <f>19.766 * CHOOSE(CONTROL!$C$27, $C$14, 100%, $E$14)</f>
        <v>19.765999999999998</v>
      </c>
      <c r="F1025" s="59">
        <f>19.766 * CHOOSE(CONTROL!$C$27, $C$14, 100%, $E$14)</f>
        <v>19.765999999999998</v>
      </c>
      <c r="G1025" s="59">
        <f>19.771 * CHOOSE(CONTROL!$C$27, $C$14, 100%, $E$14)</f>
        <v>19.771000000000001</v>
      </c>
      <c r="H1025" s="59">
        <f>37.2975* CHOOSE(CONTROL!$C$27, $C$14, 100%, $E$14)</f>
        <v>37.297499999999999</v>
      </c>
      <c r="I1025" s="59">
        <f>37.3025 * CHOOSE(CONTROL!$C$27, $C$14, 100%, $E$14)</f>
        <v>37.302500000000002</v>
      </c>
      <c r="J1025" s="59">
        <f>37.2975 * CHOOSE(CONTROL!$C$27, $C$14, 100%, $E$14)</f>
        <v>37.297499999999999</v>
      </c>
      <c r="K1025" s="59">
        <f>37.3025 * CHOOSE(CONTROL!$C$27, $C$14, 100%, $E$14)</f>
        <v>37.302500000000002</v>
      </c>
      <c r="L1025" s="59">
        <f>19.766 * CHOOSE(CONTROL!$C$27, $C$14, 100%, $E$14)</f>
        <v>19.765999999999998</v>
      </c>
      <c r="M1025" s="59">
        <f>19.771 * CHOOSE(CONTROL!$C$27, $C$14, 100%, $E$14)</f>
        <v>19.771000000000001</v>
      </c>
      <c r="N1025" s="59">
        <f>19.766 * CHOOSE(CONTROL!$C$27, $C$14, 100%, $E$14)</f>
        <v>19.765999999999998</v>
      </c>
      <c r="O1025" s="59">
        <f>19.771 * CHOOSE(CONTROL!$C$27, $C$14, 100%, $E$14)</f>
        <v>19.771000000000001</v>
      </c>
    </row>
    <row r="1026" spans="1:15" ht="15">
      <c r="A1026" s="11">
        <v>72321</v>
      </c>
      <c r="B1026" s="58">
        <f>17.6123 * CHOOSE(CONTROL!$C$27, $C$14, 100%, $E$14)</f>
        <v>17.612300000000001</v>
      </c>
      <c r="C1026" s="58">
        <f>17.6123 * CHOOSE(CONTROL!$C$27, $C$14, 100%, $E$14)</f>
        <v>17.612300000000001</v>
      </c>
      <c r="D1026" s="58">
        <f>17.6163 * CHOOSE(CONTROL!$C$27, $C$14, 100%, $E$14)</f>
        <v>17.616299999999999</v>
      </c>
      <c r="E1026" s="59">
        <f>19.8338 * CHOOSE(CONTROL!$C$27, $C$14, 100%, $E$14)</f>
        <v>19.8338</v>
      </c>
      <c r="F1026" s="59">
        <f>19.8338 * CHOOSE(CONTROL!$C$27, $C$14, 100%, $E$14)</f>
        <v>19.8338</v>
      </c>
      <c r="G1026" s="59">
        <f>19.8387 * CHOOSE(CONTROL!$C$27, $C$14, 100%, $E$14)</f>
        <v>19.838699999999999</v>
      </c>
      <c r="H1026" s="59">
        <f>36.9359* CHOOSE(CONTROL!$C$27, $C$14, 100%, $E$14)</f>
        <v>36.935899999999997</v>
      </c>
      <c r="I1026" s="59">
        <f>36.9409 * CHOOSE(CONTROL!$C$27, $C$14, 100%, $E$14)</f>
        <v>36.940899999999999</v>
      </c>
      <c r="J1026" s="59">
        <f>36.9359 * CHOOSE(CONTROL!$C$27, $C$14, 100%, $E$14)</f>
        <v>36.935899999999997</v>
      </c>
      <c r="K1026" s="59">
        <f>36.9409 * CHOOSE(CONTROL!$C$27, $C$14, 100%, $E$14)</f>
        <v>36.940899999999999</v>
      </c>
      <c r="L1026" s="59">
        <f>19.8338 * CHOOSE(CONTROL!$C$27, $C$14, 100%, $E$14)</f>
        <v>19.8338</v>
      </c>
      <c r="M1026" s="59">
        <f>19.8387 * CHOOSE(CONTROL!$C$27, $C$14, 100%, $E$14)</f>
        <v>19.838699999999999</v>
      </c>
      <c r="N1026" s="59">
        <f>19.8338 * CHOOSE(CONTROL!$C$27, $C$14, 100%, $E$14)</f>
        <v>19.8338</v>
      </c>
      <c r="O1026" s="59">
        <f>19.8387 * CHOOSE(CONTROL!$C$27, $C$14, 100%, $E$14)</f>
        <v>19.838699999999999</v>
      </c>
    </row>
    <row r="1027" spans="1:15" ht="15">
      <c r="A1027" s="11">
        <v>72352</v>
      </c>
      <c r="B1027" s="58">
        <f>17.6093 * CHOOSE(CONTROL!$C$27, $C$14, 100%, $E$14)</f>
        <v>17.609300000000001</v>
      </c>
      <c r="C1027" s="58">
        <f>17.6093 * CHOOSE(CONTROL!$C$27, $C$14, 100%, $E$14)</f>
        <v>17.609300000000001</v>
      </c>
      <c r="D1027" s="58">
        <f>17.6133 * CHOOSE(CONTROL!$C$27, $C$14, 100%, $E$14)</f>
        <v>17.613299999999999</v>
      </c>
      <c r="E1027" s="59">
        <f>19.473 * CHOOSE(CONTROL!$C$27, $C$14, 100%, $E$14)</f>
        <v>19.472999999999999</v>
      </c>
      <c r="F1027" s="59">
        <f>19.473 * CHOOSE(CONTROL!$C$27, $C$14, 100%, $E$14)</f>
        <v>19.472999999999999</v>
      </c>
      <c r="G1027" s="59">
        <f>19.478 * CHOOSE(CONTROL!$C$27, $C$14, 100%, $E$14)</f>
        <v>19.478000000000002</v>
      </c>
      <c r="H1027" s="59">
        <f>37.0129* CHOOSE(CONTROL!$C$27, $C$14, 100%, $E$14)</f>
        <v>37.012900000000002</v>
      </c>
      <c r="I1027" s="59">
        <f>37.0178 * CHOOSE(CONTROL!$C$27, $C$14, 100%, $E$14)</f>
        <v>37.017800000000001</v>
      </c>
      <c r="J1027" s="59">
        <f>37.0129 * CHOOSE(CONTROL!$C$27, $C$14, 100%, $E$14)</f>
        <v>37.012900000000002</v>
      </c>
      <c r="K1027" s="59">
        <f>37.0178 * CHOOSE(CONTROL!$C$27, $C$14, 100%, $E$14)</f>
        <v>37.017800000000001</v>
      </c>
      <c r="L1027" s="59">
        <f>19.473 * CHOOSE(CONTROL!$C$27, $C$14, 100%, $E$14)</f>
        <v>19.472999999999999</v>
      </c>
      <c r="M1027" s="59">
        <f>19.478 * CHOOSE(CONTROL!$C$27, $C$14, 100%, $E$14)</f>
        <v>19.478000000000002</v>
      </c>
      <c r="N1027" s="59">
        <f>19.473 * CHOOSE(CONTROL!$C$27, $C$14, 100%, $E$14)</f>
        <v>19.472999999999999</v>
      </c>
      <c r="O1027" s="59">
        <f>19.478 * CHOOSE(CONTROL!$C$27, $C$14, 100%, $E$14)</f>
        <v>19.478000000000002</v>
      </c>
    </row>
    <row r="1028" spans="1:15" ht="15">
      <c r="A1028" s="11">
        <v>72380</v>
      </c>
      <c r="B1028" s="58">
        <f>17.6062 * CHOOSE(CONTROL!$C$27, $C$14, 100%, $E$14)</f>
        <v>17.606200000000001</v>
      </c>
      <c r="C1028" s="58">
        <f>17.6062 * CHOOSE(CONTROL!$C$27, $C$14, 100%, $E$14)</f>
        <v>17.606200000000001</v>
      </c>
      <c r="D1028" s="58">
        <f>17.6102 * CHOOSE(CONTROL!$C$27, $C$14, 100%, $E$14)</f>
        <v>17.610199999999999</v>
      </c>
      <c r="E1028" s="59">
        <f>19.7537 * CHOOSE(CONTROL!$C$27, $C$14, 100%, $E$14)</f>
        <v>19.753699999999998</v>
      </c>
      <c r="F1028" s="59">
        <f>19.7537 * CHOOSE(CONTROL!$C$27, $C$14, 100%, $E$14)</f>
        <v>19.753699999999998</v>
      </c>
      <c r="G1028" s="59">
        <f>19.7586 * CHOOSE(CONTROL!$C$27, $C$14, 100%, $E$14)</f>
        <v>19.758600000000001</v>
      </c>
      <c r="H1028" s="59">
        <f>37.09* CHOOSE(CONTROL!$C$27, $C$14, 100%, $E$14)</f>
        <v>37.090000000000003</v>
      </c>
      <c r="I1028" s="59">
        <f>37.0949 * CHOOSE(CONTROL!$C$27, $C$14, 100%, $E$14)</f>
        <v>37.094900000000003</v>
      </c>
      <c r="J1028" s="59">
        <f>37.09 * CHOOSE(CONTROL!$C$27, $C$14, 100%, $E$14)</f>
        <v>37.090000000000003</v>
      </c>
      <c r="K1028" s="59">
        <f>37.0949 * CHOOSE(CONTROL!$C$27, $C$14, 100%, $E$14)</f>
        <v>37.094900000000003</v>
      </c>
      <c r="L1028" s="59">
        <f>19.7537 * CHOOSE(CONTROL!$C$27, $C$14, 100%, $E$14)</f>
        <v>19.753699999999998</v>
      </c>
      <c r="M1028" s="59">
        <f>19.7586 * CHOOSE(CONTROL!$C$27, $C$14, 100%, $E$14)</f>
        <v>19.758600000000001</v>
      </c>
      <c r="N1028" s="59">
        <f>19.7537 * CHOOSE(CONTROL!$C$27, $C$14, 100%, $E$14)</f>
        <v>19.753699999999998</v>
      </c>
      <c r="O1028" s="59">
        <f>19.7586 * CHOOSE(CONTROL!$C$27, $C$14, 100%, $E$14)</f>
        <v>19.758600000000001</v>
      </c>
    </row>
    <row r="1029" spans="1:15" ht="15">
      <c r="A1029" s="11">
        <v>72411</v>
      </c>
      <c r="B1029" s="58">
        <f>17.6152 * CHOOSE(CONTROL!$C$27, $C$14, 100%, $E$14)</f>
        <v>17.615200000000002</v>
      </c>
      <c r="C1029" s="58">
        <f>17.6152 * CHOOSE(CONTROL!$C$27, $C$14, 100%, $E$14)</f>
        <v>17.615200000000002</v>
      </c>
      <c r="D1029" s="58">
        <f>17.6192 * CHOOSE(CONTROL!$C$27, $C$14, 100%, $E$14)</f>
        <v>17.619199999999999</v>
      </c>
      <c r="E1029" s="59">
        <f>20.0531 * CHOOSE(CONTROL!$C$27, $C$14, 100%, $E$14)</f>
        <v>20.053100000000001</v>
      </c>
      <c r="F1029" s="59">
        <f>20.0531 * CHOOSE(CONTROL!$C$27, $C$14, 100%, $E$14)</f>
        <v>20.053100000000001</v>
      </c>
      <c r="G1029" s="59">
        <f>20.058 * CHOOSE(CONTROL!$C$27, $C$14, 100%, $E$14)</f>
        <v>20.058</v>
      </c>
      <c r="H1029" s="59">
        <f>37.1673* CHOOSE(CONTROL!$C$27, $C$14, 100%, $E$14)</f>
        <v>37.167299999999997</v>
      </c>
      <c r="I1029" s="59">
        <f>37.1722 * CHOOSE(CONTROL!$C$27, $C$14, 100%, $E$14)</f>
        <v>37.172199999999997</v>
      </c>
      <c r="J1029" s="59">
        <f>37.1673 * CHOOSE(CONTROL!$C$27, $C$14, 100%, $E$14)</f>
        <v>37.167299999999997</v>
      </c>
      <c r="K1029" s="59">
        <f>37.1722 * CHOOSE(CONTROL!$C$27, $C$14, 100%, $E$14)</f>
        <v>37.172199999999997</v>
      </c>
      <c r="L1029" s="59">
        <f>20.0531 * CHOOSE(CONTROL!$C$27, $C$14, 100%, $E$14)</f>
        <v>20.053100000000001</v>
      </c>
      <c r="M1029" s="59">
        <f>20.058 * CHOOSE(CONTROL!$C$27, $C$14, 100%, $E$14)</f>
        <v>20.058</v>
      </c>
      <c r="N1029" s="59">
        <f>20.0531 * CHOOSE(CONTROL!$C$27, $C$14, 100%, $E$14)</f>
        <v>20.053100000000001</v>
      </c>
      <c r="O1029" s="59">
        <f>20.058 * CHOOSE(CONTROL!$C$27, $C$14, 100%, $E$14)</f>
        <v>20.058</v>
      </c>
    </row>
    <row r="1030" spans="1:15" ht="15">
      <c r="A1030" s="11">
        <v>72441</v>
      </c>
      <c r="B1030" s="58">
        <f>17.6152 * CHOOSE(CONTROL!$C$27, $C$14, 100%, $E$14)</f>
        <v>17.615200000000002</v>
      </c>
      <c r="C1030" s="58">
        <f>17.6152 * CHOOSE(CONTROL!$C$27, $C$14, 100%, $E$14)</f>
        <v>17.615200000000002</v>
      </c>
      <c r="D1030" s="58">
        <f>17.6209 * CHOOSE(CONTROL!$C$27, $C$14, 100%, $E$14)</f>
        <v>17.620899999999999</v>
      </c>
      <c r="E1030" s="59">
        <f>20.167 * CHOOSE(CONTROL!$C$27, $C$14, 100%, $E$14)</f>
        <v>20.167000000000002</v>
      </c>
      <c r="F1030" s="59">
        <f>20.167 * CHOOSE(CONTROL!$C$27, $C$14, 100%, $E$14)</f>
        <v>20.167000000000002</v>
      </c>
      <c r="G1030" s="59">
        <f>20.1739 * CHOOSE(CONTROL!$C$27, $C$14, 100%, $E$14)</f>
        <v>20.1739</v>
      </c>
      <c r="H1030" s="59">
        <f>37.2447* CHOOSE(CONTROL!$C$27, $C$14, 100%, $E$14)</f>
        <v>37.244700000000002</v>
      </c>
      <c r="I1030" s="59">
        <f>37.2516 * CHOOSE(CONTROL!$C$27, $C$14, 100%, $E$14)</f>
        <v>37.251600000000003</v>
      </c>
      <c r="J1030" s="59">
        <f>37.2447 * CHOOSE(CONTROL!$C$27, $C$14, 100%, $E$14)</f>
        <v>37.244700000000002</v>
      </c>
      <c r="K1030" s="59">
        <f>37.2516 * CHOOSE(CONTROL!$C$27, $C$14, 100%, $E$14)</f>
        <v>37.251600000000003</v>
      </c>
      <c r="L1030" s="59">
        <f>20.167 * CHOOSE(CONTROL!$C$27, $C$14, 100%, $E$14)</f>
        <v>20.167000000000002</v>
      </c>
      <c r="M1030" s="59">
        <f>20.1739 * CHOOSE(CONTROL!$C$27, $C$14, 100%, $E$14)</f>
        <v>20.1739</v>
      </c>
      <c r="N1030" s="59">
        <f>20.167 * CHOOSE(CONTROL!$C$27, $C$14, 100%, $E$14)</f>
        <v>20.167000000000002</v>
      </c>
      <c r="O1030" s="59">
        <f>20.1739 * CHOOSE(CONTROL!$C$27, $C$14, 100%, $E$14)</f>
        <v>20.1739</v>
      </c>
    </row>
    <row r="1031" spans="1:15" ht="15">
      <c r="A1031" s="11">
        <v>72472</v>
      </c>
      <c r="B1031" s="58">
        <f>17.6213 * CHOOSE(CONTROL!$C$27, $C$14, 100%, $E$14)</f>
        <v>17.621300000000002</v>
      </c>
      <c r="C1031" s="58">
        <f>17.6213 * CHOOSE(CONTROL!$C$27, $C$14, 100%, $E$14)</f>
        <v>17.621300000000002</v>
      </c>
      <c r="D1031" s="58">
        <f>17.6269 * CHOOSE(CONTROL!$C$27, $C$14, 100%, $E$14)</f>
        <v>17.626899999999999</v>
      </c>
      <c r="E1031" s="59">
        <f>20.0573 * CHOOSE(CONTROL!$C$27, $C$14, 100%, $E$14)</f>
        <v>20.057300000000001</v>
      </c>
      <c r="F1031" s="59">
        <f>20.0573 * CHOOSE(CONTROL!$C$27, $C$14, 100%, $E$14)</f>
        <v>20.057300000000001</v>
      </c>
      <c r="G1031" s="59">
        <f>20.0642 * CHOOSE(CONTROL!$C$27, $C$14, 100%, $E$14)</f>
        <v>20.0642</v>
      </c>
      <c r="H1031" s="59">
        <f>37.3223* CHOOSE(CONTROL!$C$27, $C$14, 100%, $E$14)</f>
        <v>37.322299999999998</v>
      </c>
      <c r="I1031" s="59">
        <f>37.3292 * CHOOSE(CONTROL!$C$27, $C$14, 100%, $E$14)</f>
        <v>37.3292</v>
      </c>
      <c r="J1031" s="59">
        <f>37.3223 * CHOOSE(CONTROL!$C$27, $C$14, 100%, $E$14)</f>
        <v>37.322299999999998</v>
      </c>
      <c r="K1031" s="59">
        <f>37.3292 * CHOOSE(CONTROL!$C$27, $C$14, 100%, $E$14)</f>
        <v>37.3292</v>
      </c>
      <c r="L1031" s="59">
        <f>20.0573 * CHOOSE(CONTROL!$C$27, $C$14, 100%, $E$14)</f>
        <v>20.057300000000001</v>
      </c>
      <c r="M1031" s="59">
        <f>20.0642 * CHOOSE(CONTROL!$C$27, $C$14, 100%, $E$14)</f>
        <v>20.0642</v>
      </c>
      <c r="N1031" s="59">
        <f>20.0573 * CHOOSE(CONTROL!$C$27, $C$14, 100%, $E$14)</f>
        <v>20.057300000000001</v>
      </c>
      <c r="O1031" s="59">
        <f>20.0642 * CHOOSE(CONTROL!$C$27, $C$14, 100%, $E$14)</f>
        <v>20.0642</v>
      </c>
    </row>
    <row r="1032" spans="1:15" ht="15">
      <c r="A1032" s="11">
        <v>72502</v>
      </c>
      <c r="B1032" s="58">
        <f>17.8861 * CHOOSE(CONTROL!$C$27, $C$14, 100%, $E$14)</f>
        <v>17.886099999999999</v>
      </c>
      <c r="C1032" s="58">
        <f>17.8861 * CHOOSE(CONTROL!$C$27, $C$14, 100%, $E$14)</f>
        <v>17.886099999999999</v>
      </c>
      <c r="D1032" s="58">
        <f>17.8917 * CHOOSE(CONTROL!$C$27, $C$14, 100%, $E$14)</f>
        <v>17.8917</v>
      </c>
      <c r="E1032" s="59">
        <f>20.3735 * CHOOSE(CONTROL!$C$27, $C$14, 100%, $E$14)</f>
        <v>20.3735</v>
      </c>
      <c r="F1032" s="59">
        <f>20.3735 * CHOOSE(CONTROL!$C$27, $C$14, 100%, $E$14)</f>
        <v>20.3735</v>
      </c>
      <c r="G1032" s="59">
        <f>20.3804 * CHOOSE(CONTROL!$C$27, $C$14, 100%, $E$14)</f>
        <v>20.380400000000002</v>
      </c>
      <c r="H1032" s="59">
        <f>37.4001* CHOOSE(CONTROL!$C$27, $C$14, 100%, $E$14)</f>
        <v>37.400100000000002</v>
      </c>
      <c r="I1032" s="59">
        <f>37.4069 * CHOOSE(CONTROL!$C$27, $C$14, 100%, $E$14)</f>
        <v>37.4069</v>
      </c>
      <c r="J1032" s="59">
        <f>37.4001 * CHOOSE(CONTROL!$C$27, $C$14, 100%, $E$14)</f>
        <v>37.400100000000002</v>
      </c>
      <c r="K1032" s="59">
        <f>37.4069 * CHOOSE(CONTROL!$C$27, $C$14, 100%, $E$14)</f>
        <v>37.4069</v>
      </c>
      <c r="L1032" s="59">
        <f>20.3735 * CHOOSE(CONTROL!$C$27, $C$14, 100%, $E$14)</f>
        <v>20.3735</v>
      </c>
      <c r="M1032" s="59">
        <f>20.3804 * CHOOSE(CONTROL!$C$27, $C$14, 100%, $E$14)</f>
        <v>20.380400000000002</v>
      </c>
      <c r="N1032" s="59">
        <f>20.3735 * CHOOSE(CONTROL!$C$27, $C$14, 100%, $E$14)</f>
        <v>20.3735</v>
      </c>
      <c r="O1032" s="59">
        <f>20.3804 * CHOOSE(CONTROL!$C$27, $C$14, 100%, $E$14)</f>
        <v>20.380400000000002</v>
      </c>
    </row>
    <row r="1033" spans="1:15" ht="15">
      <c r="A1033" s="11">
        <v>72533</v>
      </c>
      <c r="B1033" s="58">
        <f>17.8928 * CHOOSE(CONTROL!$C$27, $C$14, 100%, $E$14)</f>
        <v>17.892800000000001</v>
      </c>
      <c r="C1033" s="58">
        <f>17.8928 * CHOOSE(CONTROL!$C$27, $C$14, 100%, $E$14)</f>
        <v>17.892800000000001</v>
      </c>
      <c r="D1033" s="58">
        <f>17.8984 * CHOOSE(CONTROL!$C$27, $C$14, 100%, $E$14)</f>
        <v>17.898399999999999</v>
      </c>
      <c r="E1033" s="59">
        <f>20.0365 * CHOOSE(CONTROL!$C$27, $C$14, 100%, $E$14)</f>
        <v>20.0365</v>
      </c>
      <c r="F1033" s="59">
        <f>20.0365 * CHOOSE(CONTROL!$C$27, $C$14, 100%, $E$14)</f>
        <v>20.0365</v>
      </c>
      <c r="G1033" s="59">
        <f>20.0434 * CHOOSE(CONTROL!$C$27, $C$14, 100%, $E$14)</f>
        <v>20.043399999999998</v>
      </c>
      <c r="H1033" s="59">
        <f>37.478* CHOOSE(CONTROL!$C$27, $C$14, 100%, $E$14)</f>
        <v>37.478000000000002</v>
      </c>
      <c r="I1033" s="59">
        <f>37.4849 * CHOOSE(CONTROL!$C$27, $C$14, 100%, $E$14)</f>
        <v>37.484900000000003</v>
      </c>
      <c r="J1033" s="59">
        <f>37.478 * CHOOSE(CONTROL!$C$27, $C$14, 100%, $E$14)</f>
        <v>37.478000000000002</v>
      </c>
      <c r="K1033" s="59">
        <f>37.4849 * CHOOSE(CONTROL!$C$27, $C$14, 100%, $E$14)</f>
        <v>37.484900000000003</v>
      </c>
      <c r="L1033" s="59">
        <f>20.0365 * CHOOSE(CONTROL!$C$27, $C$14, 100%, $E$14)</f>
        <v>20.0365</v>
      </c>
      <c r="M1033" s="59">
        <f>20.0434 * CHOOSE(CONTROL!$C$27, $C$14, 100%, $E$14)</f>
        <v>20.043399999999998</v>
      </c>
      <c r="N1033" s="59">
        <f>20.0365 * CHOOSE(CONTROL!$C$27, $C$14, 100%, $E$14)</f>
        <v>20.0365</v>
      </c>
      <c r="O1033" s="59">
        <f>20.0434 * CHOOSE(CONTROL!$C$27, $C$14, 100%, $E$14)</f>
        <v>20.043399999999998</v>
      </c>
    </row>
    <row r="1034" spans="1:15" ht="15">
      <c r="A1034" s="11">
        <v>72564</v>
      </c>
      <c r="B1034" s="58">
        <f>17.8898 * CHOOSE(CONTROL!$C$27, $C$14, 100%, $E$14)</f>
        <v>17.889800000000001</v>
      </c>
      <c r="C1034" s="58">
        <f>17.8898 * CHOOSE(CONTROL!$C$27, $C$14, 100%, $E$14)</f>
        <v>17.889800000000001</v>
      </c>
      <c r="D1034" s="58">
        <f>17.8954 * CHOOSE(CONTROL!$C$27, $C$14, 100%, $E$14)</f>
        <v>17.895399999999999</v>
      </c>
      <c r="E1034" s="59">
        <f>19.9965 * CHOOSE(CONTROL!$C$27, $C$14, 100%, $E$14)</f>
        <v>19.996500000000001</v>
      </c>
      <c r="F1034" s="59">
        <f>19.9965 * CHOOSE(CONTROL!$C$27, $C$14, 100%, $E$14)</f>
        <v>19.996500000000001</v>
      </c>
      <c r="G1034" s="59">
        <f>20.0033 * CHOOSE(CONTROL!$C$27, $C$14, 100%, $E$14)</f>
        <v>20.003299999999999</v>
      </c>
      <c r="H1034" s="59">
        <f>37.556* CHOOSE(CONTROL!$C$27, $C$14, 100%, $E$14)</f>
        <v>37.555999999999997</v>
      </c>
      <c r="I1034" s="59">
        <f>37.5629 * CHOOSE(CONTROL!$C$27, $C$14, 100%, $E$14)</f>
        <v>37.562899999999999</v>
      </c>
      <c r="J1034" s="59">
        <f>37.556 * CHOOSE(CONTROL!$C$27, $C$14, 100%, $E$14)</f>
        <v>37.555999999999997</v>
      </c>
      <c r="K1034" s="59">
        <f>37.5629 * CHOOSE(CONTROL!$C$27, $C$14, 100%, $E$14)</f>
        <v>37.562899999999999</v>
      </c>
      <c r="L1034" s="59">
        <f>19.9965 * CHOOSE(CONTROL!$C$27, $C$14, 100%, $E$14)</f>
        <v>19.996500000000001</v>
      </c>
      <c r="M1034" s="59">
        <f>20.0033 * CHOOSE(CONTROL!$C$27, $C$14, 100%, $E$14)</f>
        <v>20.003299999999999</v>
      </c>
      <c r="N1034" s="59">
        <f>19.9965 * CHOOSE(CONTROL!$C$27, $C$14, 100%, $E$14)</f>
        <v>19.996500000000001</v>
      </c>
      <c r="O1034" s="59">
        <f>20.0033 * CHOOSE(CONTROL!$C$27, $C$14, 100%, $E$14)</f>
        <v>20.003299999999999</v>
      </c>
    </row>
    <row r="1035" spans="1:15" ht="15">
      <c r="A1035" s="11">
        <v>72594</v>
      </c>
      <c r="B1035" s="58">
        <f>17.9294 * CHOOSE(CONTROL!$C$27, $C$14, 100%, $E$14)</f>
        <v>17.929400000000001</v>
      </c>
      <c r="C1035" s="58">
        <f>17.9294 * CHOOSE(CONTROL!$C$27, $C$14, 100%, $E$14)</f>
        <v>17.929400000000001</v>
      </c>
      <c r="D1035" s="58">
        <f>17.9334 * CHOOSE(CONTROL!$C$27, $C$14, 100%, $E$14)</f>
        <v>17.933399999999999</v>
      </c>
      <c r="E1035" s="59">
        <f>20.1349 * CHOOSE(CONTROL!$C$27, $C$14, 100%, $E$14)</f>
        <v>20.134899999999998</v>
      </c>
      <c r="F1035" s="59">
        <f>20.1349 * CHOOSE(CONTROL!$C$27, $C$14, 100%, $E$14)</f>
        <v>20.134899999999998</v>
      </c>
      <c r="G1035" s="59">
        <f>20.1398 * CHOOSE(CONTROL!$C$27, $C$14, 100%, $E$14)</f>
        <v>20.139800000000001</v>
      </c>
      <c r="H1035" s="59">
        <f>37.6343* CHOOSE(CONTROL!$C$27, $C$14, 100%, $E$14)</f>
        <v>37.634300000000003</v>
      </c>
      <c r="I1035" s="59">
        <f>37.6392 * CHOOSE(CONTROL!$C$27, $C$14, 100%, $E$14)</f>
        <v>37.639200000000002</v>
      </c>
      <c r="J1035" s="59">
        <f>37.6343 * CHOOSE(CONTROL!$C$27, $C$14, 100%, $E$14)</f>
        <v>37.634300000000003</v>
      </c>
      <c r="K1035" s="59">
        <f>37.6392 * CHOOSE(CONTROL!$C$27, $C$14, 100%, $E$14)</f>
        <v>37.639200000000002</v>
      </c>
      <c r="L1035" s="59">
        <f>20.1349 * CHOOSE(CONTROL!$C$27, $C$14, 100%, $E$14)</f>
        <v>20.134899999999998</v>
      </c>
      <c r="M1035" s="59">
        <f>20.1398 * CHOOSE(CONTROL!$C$27, $C$14, 100%, $E$14)</f>
        <v>20.139800000000001</v>
      </c>
      <c r="N1035" s="59">
        <f>20.1349 * CHOOSE(CONTROL!$C$27, $C$14, 100%, $E$14)</f>
        <v>20.134899999999998</v>
      </c>
      <c r="O1035" s="59">
        <f>20.1398 * CHOOSE(CONTROL!$C$27, $C$14, 100%, $E$14)</f>
        <v>20.139800000000001</v>
      </c>
    </row>
    <row r="1036" spans="1:15" ht="15">
      <c r="A1036" s="11">
        <v>72625</v>
      </c>
      <c r="B1036" s="58">
        <f>17.9324 * CHOOSE(CONTROL!$C$27, $C$14, 100%, $E$14)</f>
        <v>17.932400000000001</v>
      </c>
      <c r="C1036" s="58">
        <f>17.9324 * CHOOSE(CONTROL!$C$27, $C$14, 100%, $E$14)</f>
        <v>17.932400000000001</v>
      </c>
      <c r="D1036" s="58">
        <f>17.9364 * CHOOSE(CONTROL!$C$27, $C$14, 100%, $E$14)</f>
        <v>17.936399999999999</v>
      </c>
      <c r="E1036" s="59">
        <f>20.2129 * CHOOSE(CONTROL!$C$27, $C$14, 100%, $E$14)</f>
        <v>20.212900000000001</v>
      </c>
      <c r="F1036" s="59">
        <f>20.2129 * CHOOSE(CONTROL!$C$27, $C$14, 100%, $E$14)</f>
        <v>20.212900000000001</v>
      </c>
      <c r="G1036" s="59">
        <f>20.2178 * CHOOSE(CONTROL!$C$27, $C$14, 100%, $E$14)</f>
        <v>20.2178</v>
      </c>
      <c r="H1036" s="59">
        <f>37.7127* CHOOSE(CONTROL!$C$27, $C$14, 100%, $E$14)</f>
        <v>37.712699999999998</v>
      </c>
      <c r="I1036" s="59">
        <f>37.7176 * CHOOSE(CONTROL!$C$27, $C$14, 100%, $E$14)</f>
        <v>37.717599999999997</v>
      </c>
      <c r="J1036" s="59">
        <f>37.7127 * CHOOSE(CONTROL!$C$27, $C$14, 100%, $E$14)</f>
        <v>37.712699999999998</v>
      </c>
      <c r="K1036" s="59">
        <f>37.7176 * CHOOSE(CONTROL!$C$27, $C$14, 100%, $E$14)</f>
        <v>37.717599999999997</v>
      </c>
      <c r="L1036" s="59">
        <f>20.2129 * CHOOSE(CONTROL!$C$27, $C$14, 100%, $E$14)</f>
        <v>20.212900000000001</v>
      </c>
      <c r="M1036" s="59">
        <f>20.2178 * CHOOSE(CONTROL!$C$27, $C$14, 100%, $E$14)</f>
        <v>20.2178</v>
      </c>
      <c r="N1036" s="59">
        <f>20.2129 * CHOOSE(CONTROL!$C$27, $C$14, 100%, $E$14)</f>
        <v>20.212900000000001</v>
      </c>
      <c r="O1036" s="59">
        <f>20.2178 * CHOOSE(CONTROL!$C$27, $C$14, 100%, $E$14)</f>
        <v>20.2178</v>
      </c>
    </row>
    <row r="1037" spans="1:15" ht="15">
      <c r="A1037" s="11">
        <v>72655</v>
      </c>
      <c r="B1037" s="58">
        <f>17.9324 * CHOOSE(CONTROL!$C$27, $C$14, 100%, $E$14)</f>
        <v>17.932400000000001</v>
      </c>
      <c r="C1037" s="58">
        <f>17.9324 * CHOOSE(CONTROL!$C$27, $C$14, 100%, $E$14)</f>
        <v>17.932400000000001</v>
      </c>
      <c r="D1037" s="58">
        <f>17.9364 * CHOOSE(CONTROL!$C$27, $C$14, 100%, $E$14)</f>
        <v>17.936399999999999</v>
      </c>
      <c r="E1037" s="59">
        <f>20.0231 * CHOOSE(CONTROL!$C$27, $C$14, 100%, $E$14)</f>
        <v>20.023099999999999</v>
      </c>
      <c r="F1037" s="59">
        <f>20.0231 * CHOOSE(CONTROL!$C$27, $C$14, 100%, $E$14)</f>
        <v>20.023099999999999</v>
      </c>
      <c r="G1037" s="59">
        <f>20.028 * CHOOSE(CONTROL!$C$27, $C$14, 100%, $E$14)</f>
        <v>20.027999999999999</v>
      </c>
      <c r="H1037" s="59">
        <f>37.7913* CHOOSE(CONTROL!$C$27, $C$14, 100%, $E$14)</f>
        <v>37.7913</v>
      </c>
      <c r="I1037" s="59">
        <f>37.7962 * CHOOSE(CONTROL!$C$27, $C$14, 100%, $E$14)</f>
        <v>37.796199999999999</v>
      </c>
      <c r="J1037" s="59">
        <f>37.7913 * CHOOSE(CONTROL!$C$27, $C$14, 100%, $E$14)</f>
        <v>37.7913</v>
      </c>
      <c r="K1037" s="59">
        <f>37.7962 * CHOOSE(CONTROL!$C$27, $C$14, 100%, $E$14)</f>
        <v>37.796199999999999</v>
      </c>
      <c r="L1037" s="59">
        <f>20.0231 * CHOOSE(CONTROL!$C$27, $C$14, 100%, $E$14)</f>
        <v>20.023099999999999</v>
      </c>
      <c r="M1037" s="59">
        <f>20.028 * CHOOSE(CONTROL!$C$27, $C$14, 100%, $E$14)</f>
        <v>20.027999999999999</v>
      </c>
      <c r="N1037" s="59">
        <f>20.0231 * CHOOSE(CONTROL!$C$27, $C$14, 100%, $E$14)</f>
        <v>20.023099999999999</v>
      </c>
      <c r="O1037" s="59">
        <f>20.028 * CHOOSE(CONTROL!$C$27, $C$14, 100%, $E$14)</f>
        <v>20.027999999999999</v>
      </c>
    </row>
    <row r="1038" spans="1:15" ht="15">
      <c r="A1038" s="11">
        <v>72686</v>
      </c>
      <c r="B1038" s="58">
        <f>17.8479 * CHOOSE(CONTROL!$C$27, $C$14, 100%, $E$14)</f>
        <v>17.847899999999999</v>
      </c>
      <c r="C1038" s="58">
        <f>17.8479 * CHOOSE(CONTROL!$C$27, $C$14, 100%, $E$14)</f>
        <v>17.847899999999999</v>
      </c>
      <c r="D1038" s="58">
        <f>17.8519 * CHOOSE(CONTROL!$C$27, $C$14, 100%, $E$14)</f>
        <v>17.851900000000001</v>
      </c>
      <c r="E1038" s="59">
        <f>20.0886 * CHOOSE(CONTROL!$C$27, $C$14, 100%, $E$14)</f>
        <v>20.0886</v>
      </c>
      <c r="F1038" s="59">
        <f>20.0886 * CHOOSE(CONTROL!$C$27, $C$14, 100%, $E$14)</f>
        <v>20.0886</v>
      </c>
      <c r="G1038" s="59">
        <f>20.0935 * CHOOSE(CONTROL!$C$27, $C$14, 100%, $E$14)</f>
        <v>20.093499999999999</v>
      </c>
      <c r="H1038" s="59">
        <f>37.4185* CHOOSE(CONTROL!$C$27, $C$14, 100%, $E$14)</f>
        <v>37.418500000000002</v>
      </c>
      <c r="I1038" s="59">
        <f>37.4234 * CHOOSE(CONTROL!$C$27, $C$14, 100%, $E$14)</f>
        <v>37.423400000000001</v>
      </c>
      <c r="J1038" s="59">
        <f>37.4185 * CHOOSE(CONTROL!$C$27, $C$14, 100%, $E$14)</f>
        <v>37.418500000000002</v>
      </c>
      <c r="K1038" s="59">
        <f>37.4234 * CHOOSE(CONTROL!$C$27, $C$14, 100%, $E$14)</f>
        <v>37.423400000000001</v>
      </c>
      <c r="L1038" s="59">
        <f>20.0886 * CHOOSE(CONTROL!$C$27, $C$14, 100%, $E$14)</f>
        <v>20.0886</v>
      </c>
      <c r="M1038" s="59">
        <f>20.0935 * CHOOSE(CONTROL!$C$27, $C$14, 100%, $E$14)</f>
        <v>20.093499999999999</v>
      </c>
      <c r="N1038" s="59">
        <f>20.0886 * CHOOSE(CONTROL!$C$27, $C$14, 100%, $E$14)</f>
        <v>20.0886</v>
      </c>
      <c r="O1038" s="59">
        <f>20.0935 * CHOOSE(CONTROL!$C$27, $C$14, 100%, $E$14)</f>
        <v>20.093499999999999</v>
      </c>
    </row>
    <row r="1039" spans="1:15" ht="15">
      <c r="A1039" s="11">
        <v>72717</v>
      </c>
      <c r="B1039" s="58">
        <f>17.8448 * CHOOSE(CONTROL!$C$27, $C$14, 100%, $E$14)</f>
        <v>17.844799999999999</v>
      </c>
      <c r="C1039" s="58">
        <f>17.8448 * CHOOSE(CONTROL!$C$27, $C$14, 100%, $E$14)</f>
        <v>17.844799999999999</v>
      </c>
      <c r="D1039" s="58">
        <f>17.8488 * CHOOSE(CONTROL!$C$27, $C$14, 100%, $E$14)</f>
        <v>17.848800000000001</v>
      </c>
      <c r="E1039" s="59">
        <f>19.7228 * CHOOSE(CONTROL!$C$27, $C$14, 100%, $E$14)</f>
        <v>19.722799999999999</v>
      </c>
      <c r="F1039" s="59">
        <f>19.7228 * CHOOSE(CONTROL!$C$27, $C$14, 100%, $E$14)</f>
        <v>19.722799999999999</v>
      </c>
      <c r="G1039" s="59">
        <f>19.7277 * CHOOSE(CONTROL!$C$27, $C$14, 100%, $E$14)</f>
        <v>19.727699999999999</v>
      </c>
      <c r="H1039" s="59">
        <f>37.4964* CHOOSE(CONTROL!$C$27, $C$14, 100%, $E$14)</f>
        <v>37.496400000000001</v>
      </c>
      <c r="I1039" s="59">
        <f>37.5014 * CHOOSE(CONTROL!$C$27, $C$14, 100%, $E$14)</f>
        <v>37.501399999999997</v>
      </c>
      <c r="J1039" s="59">
        <f>37.4964 * CHOOSE(CONTROL!$C$27, $C$14, 100%, $E$14)</f>
        <v>37.496400000000001</v>
      </c>
      <c r="K1039" s="59">
        <f>37.5014 * CHOOSE(CONTROL!$C$27, $C$14, 100%, $E$14)</f>
        <v>37.501399999999997</v>
      </c>
      <c r="L1039" s="59">
        <f>19.7228 * CHOOSE(CONTROL!$C$27, $C$14, 100%, $E$14)</f>
        <v>19.722799999999999</v>
      </c>
      <c r="M1039" s="59">
        <f>19.7277 * CHOOSE(CONTROL!$C$27, $C$14, 100%, $E$14)</f>
        <v>19.727699999999999</v>
      </c>
      <c r="N1039" s="59">
        <f>19.7228 * CHOOSE(CONTROL!$C$27, $C$14, 100%, $E$14)</f>
        <v>19.722799999999999</v>
      </c>
      <c r="O1039" s="59">
        <f>19.7277 * CHOOSE(CONTROL!$C$27, $C$14, 100%, $E$14)</f>
        <v>19.727699999999999</v>
      </c>
    </row>
    <row r="1040" spans="1:15" ht="15">
      <c r="A1040" s="11">
        <v>72745</v>
      </c>
      <c r="B1040" s="58">
        <f>17.8418 * CHOOSE(CONTROL!$C$27, $C$14, 100%, $E$14)</f>
        <v>17.841799999999999</v>
      </c>
      <c r="C1040" s="58">
        <f>17.8418 * CHOOSE(CONTROL!$C$27, $C$14, 100%, $E$14)</f>
        <v>17.841799999999999</v>
      </c>
      <c r="D1040" s="58">
        <f>17.8458 * CHOOSE(CONTROL!$C$27, $C$14, 100%, $E$14)</f>
        <v>17.845800000000001</v>
      </c>
      <c r="E1040" s="59">
        <f>20.0074 * CHOOSE(CONTROL!$C$27, $C$14, 100%, $E$14)</f>
        <v>20.007400000000001</v>
      </c>
      <c r="F1040" s="59">
        <f>20.0074 * CHOOSE(CONTROL!$C$27, $C$14, 100%, $E$14)</f>
        <v>20.007400000000001</v>
      </c>
      <c r="G1040" s="59">
        <f>20.0123 * CHOOSE(CONTROL!$C$27, $C$14, 100%, $E$14)</f>
        <v>20.0123</v>
      </c>
      <c r="H1040" s="59">
        <f>37.5746* CHOOSE(CONTROL!$C$27, $C$14, 100%, $E$14)</f>
        <v>37.574599999999997</v>
      </c>
      <c r="I1040" s="59">
        <f>37.5795 * CHOOSE(CONTROL!$C$27, $C$14, 100%, $E$14)</f>
        <v>37.579500000000003</v>
      </c>
      <c r="J1040" s="59">
        <f>37.5746 * CHOOSE(CONTROL!$C$27, $C$14, 100%, $E$14)</f>
        <v>37.574599999999997</v>
      </c>
      <c r="K1040" s="59">
        <f>37.5795 * CHOOSE(CONTROL!$C$27, $C$14, 100%, $E$14)</f>
        <v>37.579500000000003</v>
      </c>
      <c r="L1040" s="59">
        <f>20.0074 * CHOOSE(CONTROL!$C$27, $C$14, 100%, $E$14)</f>
        <v>20.007400000000001</v>
      </c>
      <c r="M1040" s="59">
        <f>20.0123 * CHOOSE(CONTROL!$C$27, $C$14, 100%, $E$14)</f>
        <v>20.0123</v>
      </c>
      <c r="N1040" s="59">
        <f>20.0074 * CHOOSE(CONTROL!$C$27, $C$14, 100%, $E$14)</f>
        <v>20.007400000000001</v>
      </c>
      <c r="O1040" s="59">
        <f>20.0123 * CHOOSE(CONTROL!$C$27, $C$14, 100%, $E$14)</f>
        <v>20.0123</v>
      </c>
    </row>
    <row r="1041" spans="1:15" ht="15">
      <c r="A1041" s="11">
        <v>72776</v>
      </c>
      <c r="B1041" s="58">
        <f>17.851 * CHOOSE(CONTROL!$C$27, $C$14, 100%, $E$14)</f>
        <v>17.850999999999999</v>
      </c>
      <c r="C1041" s="58">
        <f>17.851 * CHOOSE(CONTROL!$C$27, $C$14, 100%, $E$14)</f>
        <v>17.850999999999999</v>
      </c>
      <c r="D1041" s="58">
        <f>17.855 * CHOOSE(CONTROL!$C$27, $C$14, 100%, $E$14)</f>
        <v>17.855</v>
      </c>
      <c r="E1041" s="59">
        <f>20.311 * CHOOSE(CONTROL!$C$27, $C$14, 100%, $E$14)</f>
        <v>20.311</v>
      </c>
      <c r="F1041" s="59">
        <f>20.311 * CHOOSE(CONTROL!$C$27, $C$14, 100%, $E$14)</f>
        <v>20.311</v>
      </c>
      <c r="G1041" s="59">
        <f>20.3159 * CHOOSE(CONTROL!$C$27, $C$14, 100%, $E$14)</f>
        <v>20.315899999999999</v>
      </c>
      <c r="H1041" s="59">
        <f>37.6528* CHOOSE(CONTROL!$C$27, $C$14, 100%, $E$14)</f>
        <v>37.652799999999999</v>
      </c>
      <c r="I1041" s="59">
        <f>37.6578 * CHOOSE(CONTROL!$C$27, $C$14, 100%, $E$14)</f>
        <v>37.657800000000002</v>
      </c>
      <c r="J1041" s="59">
        <f>37.6528 * CHOOSE(CONTROL!$C$27, $C$14, 100%, $E$14)</f>
        <v>37.652799999999999</v>
      </c>
      <c r="K1041" s="59">
        <f>37.6578 * CHOOSE(CONTROL!$C$27, $C$14, 100%, $E$14)</f>
        <v>37.657800000000002</v>
      </c>
      <c r="L1041" s="59">
        <f>20.311 * CHOOSE(CONTROL!$C$27, $C$14, 100%, $E$14)</f>
        <v>20.311</v>
      </c>
      <c r="M1041" s="59">
        <f>20.3159 * CHOOSE(CONTROL!$C$27, $C$14, 100%, $E$14)</f>
        <v>20.315899999999999</v>
      </c>
      <c r="N1041" s="59">
        <f>20.311 * CHOOSE(CONTROL!$C$27, $C$14, 100%, $E$14)</f>
        <v>20.311</v>
      </c>
      <c r="O1041" s="59">
        <f>20.3159 * CHOOSE(CONTROL!$C$27, $C$14, 100%, $E$14)</f>
        <v>20.315899999999999</v>
      </c>
    </row>
    <row r="1042" spans="1:15" ht="15">
      <c r="A1042" s="11">
        <v>72806</v>
      </c>
      <c r="B1042" s="58">
        <f>17.851 * CHOOSE(CONTROL!$C$27, $C$14, 100%, $E$14)</f>
        <v>17.850999999999999</v>
      </c>
      <c r="C1042" s="58">
        <f>17.851 * CHOOSE(CONTROL!$C$27, $C$14, 100%, $E$14)</f>
        <v>17.850999999999999</v>
      </c>
      <c r="D1042" s="58">
        <f>17.8566 * CHOOSE(CONTROL!$C$27, $C$14, 100%, $E$14)</f>
        <v>17.8566</v>
      </c>
      <c r="E1042" s="59">
        <f>20.4264 * CHOOSE(CONTROL!$C$27, $C$14, 100%, $E$14)</f>
        <v>20.426400000000001</v>
      </c>
      <c r="F1042" s="59">
        <f>20.4264 * CHOOSE(CONTROL!$C$27, $C$14, 100%, $E$14)</f>
        <v>20.426400000000001</v>
      </c>
      <c r="G1042" s="59">
        <f>20.4333 * CHOOSE(CONTROL!$C$27, $C$14, 100%, $E$14)</f>
        <v>20.433299999999999</v>
      </c>
      <c r="H1042" s="59">
        <f>37.7313* CHOOSE(CONTROL!$C$27, $C$14, 100%, $E$14)</f>
        <v>37.731299999999997</v>
      </c>
      <c r="I1042" s="59">
        <f>37.7382 * CHOOSE(CONTROL!$C$27, $C$14, 100%, $E$14)</f>
        <v>37.738199999999999</v>
      </c>
      <c r="J1042" s="59">
        <f>37.7313 * CHOOSE(CONTROL!$C$27, $C$14, 100%, $E$14)</f>
        <v>37.731299999999997</v>
      </c>
      <c r="K1042" s="59">
        <f>37.7382 * CHOOSE(CONTROL!$C$27, $C$14, 100%, $E$14)</f>
        <v>37.738199999999999</v>
      </c>
      <c r="L1042" s="59">
        <f>20.4264 * CHOOSE(CONTROL!$C$27, $C$14, 100%, $E$14)</f>
        <v>20.426400000000001</v>
      </c>
      <c r="M1042" s="59">
        <f>20.4333 * CHOOSE(CONTROL!$C$27, $C$14, 100%, $E$14)</f>
        <v>20.433299999999999</v>
      </c>
      <c r="N1042" s="59">
        <f>20.4264 * CHOOSE(CONTROL!$C$27, $C$14, 100%, $E$14)</f>
        <v>20.426400000000001</v>
      </c>
      <c r="O1042" s="59">
        <f>20.4333 * CHOOSE(CONTROL!$C$27, $C$14, 100%, $E$14)</f>
        <v>20.433299999999999</v>
      </c>
    </row>
    <row r="1043" spans="1:15" ht="15">
      <c r="A1043" s="11">
        <v>72837</v>
      </c>
      <c r="B1043" s="58">
        <f>17.8571 * CHOOSE(CONTROL!$C$27, $C$14, 100%, $E$14)</f>
        <v>17.857099999999999</v>
      </c>
      <c r="C1043" s="58">
        <f>17.8571 * CHOOSE(CONTROL!$C$27, $C$14, 100%, $E$14)</f>
        <v>17.857099999999999</v>
      </c>
      <c r="D1043" s="58">
        <f>17.8627 * CHOOSE(CONTROL!$C$27, $C$14, 100%, $E$14)</f>
        <v>17.8627</v>
      </c>
      <c r="E1043" s="59">
        <f>20.3152 * CHOOSE(CONTROL!$C$27, $C$14, 100%, $E$14)</f>
        <v>20.315200000000001</v>
      </c>
      <c r="F1043" s="59">
        <f>20.3152 * CHOOSE(CONTROL!$C$27, $C$14, 100%, $E$14)</f>
        <v>20.315200000000001</v>
      </c>
      <c r="G1043" s="59">
        <f>20.3221 * CHOOSE(CONTROL!$C$27, $C$14, 100%, $E$14)</f>
        <v>20.322099999999999</v>
      </c>
      <c r="H1043" s="59">
        <f>37.8099* CHOOSE(CONTROL!$C$27, $C$14, 100%, $E$14)</f>
        <v>37.809899999999999</v>
      </c>
      <c r="I1043" s="59">
        <f>37.8168 * CHOOSE(CONTROL!$C$27, $C$14, 100%, $E$14)</f>
        <v>37.816800000000001</v>
      </c>
      <c r="J1043" s="59">
        <f>37.8099 * CHOOSE(CONTROL!$C$27, $C$14, 100%, $E$14)</f>
        <v>37.809899999999999</v>
      </c>
      <c r="K1043" s="59">
        <f>37.8168 * CHOOSE(CONTROL!$C$27, $C$14, 100%, $E$14)</f>
        <v>37.816800000000001</v>
      </c>
      <c r="L1043" s="59">
        <f>20.3152 * CHOOSE(CONTROL!$C$27, $C$14, 100%, $E$14)</f>
        <v>20.315200000000001</v>
      </c>
      <c r="M1043" s="59">
        <f>20.3221 * CHOOSE(CONTROL!$C$27, $C$14, 100%, $E$14)</f>
        <v>20.322099999999999</v>
      </c>
      <c r="N1043" s="59">
        <f>20.3152 * CHOOSE(CONTROL!$C$27, $C$14, 100%, $E$14)</f>
        <v>20.315200000000001</v>
      </c>
      <c r="O1043" s="59">
        <f>20.3221 * CHOOSE(CONTROL!$C$27, $C$14, 100%, $E$14)</f>
        <v>20.322099999999999</v>
      </c>
    </row>
    <row r="1044" spans="1:15" ht="15">
      <c r="A1044" s="11">
        <v>72867</v>
      </c>
      <c r="B1044" s="58">
        <f>18.1253 * CHOOSE(CONTROL!$C$27, $C$14, 100%, $E$14)</f>
        <v>18.125299999999999</v>
      </c>
      <c r="C1044" s="58">
        <f>18.1253 * CHOOSE(CONTROL!$C$27, $C$14, 100%, $E$14)</f>
        <v>18.125299999999999</v>
      </c>
      <c r="D1044" s="58">
        <f>18.1309 * CHOOSE(CONTROL!$C$27, $C$14, 100%, $E$14)</f>
        <v>18.1309</v>
      </c>
      <c r="E1044" s="59">
        <f>20.6353 * CHOOSE(CONTROL!$C$27, $C$14, 100%, $E$14)</f>
        <v>20.635300000000001</v>
      </c>
      <c r="F1044" s="59">
        <f>20.6353 * CHOOSE(CONTROL!$C$27, $C$14, 100%, $E$14)</f>
        <v>20.635300000000001</v>
      </c>
      <c r="G1044" s="59">
        <f>20.6422 * CHOOSE(CONTROL!$C$27, $C$14, 100%, $E$14)</f>
        <v>20.642199999999999</v>
      </c>
      <c r="H1044" s="59">
        <f>37.8887* CHOOSE(CONTROL!$C$27, $C$14, 100%, $E$14)</f>
        <v>37.8887</v>
      </c>
      <c r="I1044" s="59">
        <f>37.8956 * CHOOSE(CONTROL!$C$27, $C$14, 100%, $E$14)</f>
        <v>37.895600000000002</v>
      </c>
      <c r="J1044" s="59">
        <f>37.8887 * CHOOSE(CONTROL!$C$27, $C$14, 100%, $E$14)</f>
        <v>37.8887</v>
      </c>
      <c r="K1044" s="59">
        <f>37.8956 * CHOOSE(CONTROL!$C$27, $C$14, 100%, $E$14)</f>
        <v>37.895600000000002</v>
      </c>
      <c r="L1044" s="59">
        <f>20.6353 * CHOOSE(CONTROL!$C$27, $C$14, 100%, $E$14)</f>
        <v>20.635300000000001</v>
      </c>
      <c r="M1044" s="59">
        <f>20.6422 * CHOOSE(CONTROL!$C$27, $C$14, 100%, $E$14)</f>
        <v>20.642199999999999</v>
      </c>
      <c r="N1044" s="59">
        <f>20.6353 * CHOOSE(CONTROL!$C$27, $C$14, 100%, $E$14)</f>
        <v>20.635300000000001</v>
      </c>
      <c r="O1044" s="59">
        <f>20.6422 * CHOOSE(CONTROL!$C$27, $C$14, 100%, $E$14)</f>
        <v>20.642199999999999</v>
      </c>
    </row>
    <row r="1045" spans="1:15" ht="15">
      <c r="A1045" s="11">
        <v>72898</v>
      </c>
      <c r="B1045" s="58">
        <f>18.132 * CHOOSE(CONTROL!$C$27, $C$14, 100%, $E$14)</f>
        <v>18.132000000000001</v>
      </c>
      <c r="C1045" s="58">
        <f>18.132 * CHOOSE(CONTROL!$C$27, $C$14, 100%, $E$14)</f>
        <v>18.132000000000001</v>
      </c>
      <c r="D1045" s="58">
        <f>18.1376 * CHOOSE(CONTROL!$C$27, $C$14, 100%, $E$14)</f>
        <v>18.137599999999999</v>
      </c>
      <c r="E1045" s="59">
        <f>20.2936 * CHOOSE(CONTROL!$C$27, $C$14, 100%, $E$14)</f>
        <v>20.293600000000001</v>
      </c>
      <c r="F1045" s="59">
        <f>20.2936 * CHOOSE(CONTROL!$C$27, $C$14, 100%, $E$14)</f>
        <v>20.293600000000001</v>
      </c>
      <c r="G1045" s="59">
        <f>20.3005 * CHOOSE(CONTROL!$C$27, $C$14, 100%, $E$14)</f>
        <v>20.3005</v>
      </c>
      <c r="H1045" s="59">
        <f>37.9676* CHOOSE(CONTROL!$C$27, $C$14, 100%, $E$14)</f>
        <v>37.967599999999997</v>
      </c>
      <c r="I1045" s="59">
        <f>37.9745 * CHOOSE(CONTROL!$C$27, $C$14, 100%, $E$14)</f>
        <v>37.974499999999999</v>
      </c>
      <c r="J1045" s="59">
        <f>37.9676 * CHOOSE(CONTROL!$C$27, $C$14, 100%, $E$14)</f>
        <v>37.967599999999997</v>
      </c>
      <c r="K1045" s="59">
        <f>37.9745 * CHOOSE(CONTROL!$C$27, $C$14, 100%, $E$14)</f>
        <v>37.974499999999999</v>
      </c>
      <c r="L1045" s="59">
        <f>20.2936 * CHOOSE(CONTROL!$C$27, $C$14, 100%, $E$14)</f>
        <v>20.293600000000001</v>
      </c>
      <c r="M1045" s="59">
        <f>20.3005 * CHOOSE(CONTROL!$C$27, $C$14, 100%, $E$14)</f>
        <v>20.3005</v>
      </c>
      <c r="N1045" s="59">
        <f>20.2936 * CHOOSE(CONTROL!$C$27, $C$14, 100%, $E$14)</f>
        <v>20.293600000000001</v>
      </c>
      <c r="O1045" s="59">
        <f>20.3005 * CHOOSE(CONTROL!$C$27, $C$14, 100%, $E$14)</f>
        <v>20.3005</v>
      </c>
    </row>
    <row r="1046" spans="1:15" ht="15">
      <c r="A1046" s="11">
        <v>72929</v>
      </c>
      <c r="B1046" s="58">
        <f>18.1289 * CHOOSE(CONTROL!$C$27, $C$14, 100%, $E$14)</f>
        <v>18.128900000000002</v>
      </c>
      <c r="C1046" s="58">
        <f>18.1289 * CHOOSE(CONTROL!$C$27, $C$14, 100%, $E$14)</f>
        <v>18.128900000000002</v>
      </c>
      <c r="D1046" s="58">
        <f>18.1346 * CHOOSE(CONTROL!$C$27, $C$14, 100%, $E$14)</f>
        <v>18.134599999999999</v>
      </c>
      <c r="E1046" s="59">
        <f>20.253 * CHOOSE(CONTROL!$C$27, $C$14, 100%, $E$14)</f>
        <v>20.253</v>
      </c>
      <c r="F1046" s="59">
        <f>20.253 * CHOOSE(CONTROL!$C$27, $C$14, 100%, $E$14)</f>
        <v>20.253</v>
      </c>
      <c r="G1046" s="59">
        <f>20.2599 * CHOOSE(CONTROL!$C$27, $C$14, 100%, $E$14)</f>
        <v>20.259899999999998</v>
      </c>
      <c r="H1046" s="59">
        <f>38.0467* CHOOSE(CONTROL!$C$27, $C$14, 100%, $E$14)</f>
        <v>38.046700000000001</v>
      </c>
      <c r="I1046" s="59">
        <f>38.0536 * CHOOSE(CONTROL!$C$27, $C$14, 100%, $E$14)</f>
        <v>38.053600000000003</v>
      </c>
      <c r="J1046" s="59">
        <f>38.0467 * CHOOSE(CONTROL!$C$27, $C$14, 100%, $E$14)</f>
        <v>38.046700000000001</v>
      </c>
      <c r="K1046" s="59">
        <f>38.0536 * CHOOSE(CONTROL!$C$27, $C$14, 100%, $E$14)</f>
        <v>38.053600000000003</v>
      </c>
      <c r="L1046" s="59">
        <f>20.253 * CHOOSE(CONTROL!$C$27, $C$14, 100%, $E$14)</f>
        <v>20.253</v>
      </c>
      <c r="M1046" s="59">
        <f>20.2599 * CHOOSE(CONTROL!$C$27, $C$14, 100%, $E$14)</f>
        <v>20.259899999999998</v>
      </c>
      <c r="N1046" s="59">
        <f>20.253 * CHOOSE(CONTROL!$C$27, $C$14, 100%, $E$14)</f>
        <v>20.253</v>
      </c>
      <c r="O1046" s="59">
        <f>20.2599 * CHOOSE(CONTROL!$C$27, $C$14, 100%, $E$14)</f>
        <v>20.259899999999998</v>
      </c>
    </row>
    <row r="1047" spans="1:15" ht="15">
      <c r="A1047" s="11">
        <v>72959</v>
      </c>
      <c r="B1047" s="58">
        <f>18.1693 * CHOOSE(CONTROL!$C$27, $C$14, 100%, $E$14)</f>
        <v>18.1693</v>
      </c>
      <c r="C1047" s="58">
        <f>18.1693 * CHOOSE(CONTROL!$C$27, $C$14, 100%, $E$14)</f>
        <v>18.1693</v>
      </c>
      <c r="D1047" s="58">
        <f>18.1733 * CHOOSE(CONTROL!$C$27, $C$14, 100%, $E$14)</f>
        <v>18.173300000000001</v>
      </c>
      <c r="E1047" s="59">
        <f>20.3935 * CHOOSE(CONTROL!$C$27, $C$14, 100%, $E$14)</f>
        <v>20.3935</v>
      </c>
      <c r="F1047" s="59">
        <f>20.3935 * CHOOSE(CONTROL!$C$27, $C$14, 100%, $E$14)</f>
        <v>20.3935</v>
      </c>
      <c r="G1047" s="59">
        <f>20.3984 * CHOOSE(CONTROL!$C$27, $C$14, 100%, $E$14)</f>
        <v>20.398399999999999</v>
      </c>
      <c r="H1047" s="59">
        <f>38.126* CHOOSE(CONTROL!$C$27, $C$14, 100%, $E$14)</f>
        <v>38.125999999999998</v>
      </c>
      <c r="I1047" s="59">
        <f>38.1309 * CHOOSE(CONTROL!$C$27, $C$14, 100%, $E$14)</f>
        <v>38.130899999999997</v>
      </c>
      <c r="J1047" s="59">
        <f>38.126 * CHOOSE(CONTROL!$C$27, $C$14, 100%, $E$14)</f>
        <v>38.125999999999998</v>
      </c>
      <c r="K1047" s="59">
        <f>38.1309 * CHOOSE(CONTROL!$C$27, $C$14, 100%, $E$14)</f>
        <v>38.130899999999997</v>
      </c>
      <c r="L1047" s="59">
        <f>20.3935 * CHOOSE(CONTROL!$C$27, $C$14, 100%, $E$14)</f>
        <v>20.3935</v>
      </c>
      <c r="M1047" s="59">
        <f>20.3984 * CHOOSE(CONTROL!$C$27, $C$14, 100%, $E$14)</f>
        <v>20.398399999999999</v>
      </c>
      <c r="N1047" s="59">
        <f>20.3935 * CHOOSE(CONTROL!$C$27, $C$14, 100%, $E$14)</f>
        <v>20.3935</v>
      </c>
      <c r="O1047" s="59">
        <f>20.3984 * CHOOSE(CONTROL!$C$27, $C$14, 100%, $E$14)</f>
        <v>20.398399999999999</v>
      </c>
    </row>
    <row r="1048" spans="1:15" ht="15">
      <c r="A1048" s="11">
        <v>72990</v>
      </c>
      <c r="B1048" s="58">
        <f>18.1724 * CHOOSE(CONTROL!$C$27, $C$14, 100%, $E$14)</f>
        <v>18.1724</v>
      </c>
      <c r="C1048" s="58">
        <f>18.1724 * CHOOSE(CONTROL!$C$27, $C$14, 100%, $E$14)</f>
        <v>18.1724</v>
      </c>
      <c r="D1048" s="58">
        <f>18.1764 * CHOOSE(CONTROL!$C$27, $C$14, 100%, $E$14)</f>
        <v>18.176400000000001</v>
      </c>
      <c r="E1048" s="59">
        <f>20.4726 * CHOOSE(CONTROL!$C$27, $C$14, 100%, $E$14)</f>
        <v>20.4726</v>
      </c>
      <c r="F1048" s="59">
        <f>20.4726 * CHOOSE(CONTROL!$C$27, $C$14, 100%, $E$14)</f>
        <v>20.4726</v>
      </c>
      <c r="G1048" s="59">
        <f>20.4775 * CHOOSE(CONTROL!$C$27, $C$14, 100%, $E$14)</f>
        <v>20.477499999999999</v>
      </c>
      <c r="H1048" s="59">
        <f>38.2054* CHOOSE(CONTROL!$C$27, $C$14, 100%, $E$14)</f>
        <v>38.205399999999997</v>
      </c>
      <c r="I1048" s="59">
        <f>38.2103 * CHOOSE(CONTROL!$C$27, $C$14, 100%, $E$14)</f>
        <v>38.210299999999997</v>
      </c>
      <c r="J1048" s="59">
        <f>38.2054 * CHOOSE(CONTROL!$C$27, $C$14, 100%, $E$14)</f>
        <v>38.205399999999997</v>
      </c>
      <c r="K1048" s="59">
        <f>38.2103 * CHOOSE(CONTROL!$C$27, $C$14, 100%, $E$14)</f>
        <v>38.210299999999997</v>
      </c>
      <c r="L1048" s="59">
        <f>20.4726 * CHOOSE(CONTROL!$C$27, $C$14, 100%, $E$14)</f>
        <v>20.4726</v>
      </c>
      <c r="M1048" s="59">
        <f>20.4775 * CHOOSE(CONTROL!$C$27, $C$14, 100%, $E$14)</f>
        <v>20.477499999999999</v>
      </c>
      <c r="N1048" s="59">
        <f>20.4726 * CHOOSE(CONTROL!$C$27, $C$14, 100%, $E$14)</f>
        <v>20.4726</v>
      </c>
      <c r="O1048" s="59">
        <f>20.4775 * CHOOSE(CONTROL!$C$27, $C$14, 100%, $E$14)</f>
        <v>20.477499999999999</v>
      </c>
    </row>
    <row r="1049" spans="1:15" ht="15">
      <c r="A1049" s="11">
        <v>73020</v>
      </c>
      <c r="B1049" s="58">
        <f>18.1724 * CHOOSE(CONTROL!$C$27, $C$14, 100%, $E$14)</f>
        <v>18.1724</v>
      </c>
      <c r="C1049" s="58">
        <f>18.1724 * CHOOSE(CONTROL!$C$27, $C$14, 100%, $E$14)</f>
        <v>18.1724</v>
      </c>
      <c r="D1049" s="58">
        <f>18.1764 * CHOOSE(CONTROL!$C$27, $C$14, 100%, $E$14)</f>
        <v>18.176400000000001</v>
      </c>
      <c r="E1049" s="59">
        <f>20.2802 * CHOOSE(CONTROL!$C$27, $C$14, 100%, $E$14)</f>
        <v>20.280200000000001</v>
      </c>
      <c r="F1049" s="59">
        <f>20.2802 * CHOOSE(CONTROL!$C$27, $C$14, 100%, $E$14)</f>
        <v>20.280200000000001</v>
      </c>
      <c r="G1049" s="59">
        <f>20.2851 * CHOOSE(CONTROL!$C$27, $C$14, 100%, $E$14)</f>
        <v>20.2851</v>
      </c>
      <c r="H1049" s="59">
        <f>38.285* CHOOSE(CONTROL!$C$27, $C$14, 100%, $E$14)</f>
        <v>38.284999999999997</v>
      </c>
      <c r="I1049" s="59">
        <f>38.2899 * CHOOSE(CONTROL!$C$27, $C$14, 100%, $E$14)</f>
        <v>38.289900000000003</v>
      </c>
      <c r="J1049" s="59">
        <f>38.285 * CHOOSE(CONTROL!$C$27, $C$14, 100%, $E$14)</f>
        <v>38.284999999999997</v>
      </c>
      <c r="K1049" s="59">
        <f>38.2899 * CHOOSE(CONTROL!$C$27, $C$14, 100%, $E$14)</f>
        <v>38.289900000000003</v>
      </c>
      <c r="L1049" s="59">
        <f>20.2802 * CHOOSE(CONTROL!$C$27, $C$14, 100%, $E$14)</f>
        <v>20.280200000000001</v>
      </c>
      <c r="M1049" s="59">
        <f>20.2851 * CHOOSE(CONTROL!$C$27, $C$14, 100%, $E$14)</f>
        <v>20.2851</v>
      </c>
      <c r="N1049" s="59">
        <f>20.2802 * CHOOSE(CONTROL!$C$27, $C$14, 100%, $E$14)</f>
        <v>20.280200000000001</v>
      </c>
      <c r="O1049" s="59">
        <f>20.2851 * CHOOSE(CONTROL!$C$27, $C$14, 100%, $E$14)</f>
        <v>20.2851</v>
      </c>
    </row>
    <row r="1050" spans="1:15" ht="15">
      <c r="A1050" s="11">
        <v>73051</v>
      </c>
      <c r="B1050" s="58">
        <f>18.0834 * CHOOSE(CONTROL!$C$27, $C$14, 100%, $E$14)</f>
        <v>18.083400000000001</v>
      </c>
      <c r="C1050" s="58">
        <f>18.0834 * CHOOSE(CONTROL!$C$27, $C$14, 100%, $E$14)</f>
        <v>18.083400000000001</v>
      </c>
      <c r="D1050" s="58">
        <f>18.0874 * CHOOSE(CONTROL!$C$27, $C$14, 100%, $E$14)</f>
        <v>18.087399999999999</v>
      </c>
      <c r="E1050" s="59">
        <f>20.3433 * CHOOSE(CONTROL!$C$27, $C$14, 100%, $E$14)</f>
        <v>20.343299999999999</v>
      </c>
      <c r="F1050" s="59">
        <f>20.3433 * CHOOSE(CONTROL!$C$27, $C$14, 100%, $E$14)</f>
        <v>20.343299999999999</v>
      </c>
      <c r="G1050" s="59">
        <f>20.3482 * CHOOSE(CONTROL!$C$27, $C$14, 100%, $E$14)</f>
        <v>20.348199999999999</v>
      </c>
      <c r="H1050" s="59">
        <f>37.901* CHOOSE(CONTROL!$C$27, $C$14, 100%, $E$14)</f>
        <v>37.901000000000003</v>
      </c>
      <c r="I1050" s="59">
        <f>37.906 * CHOOSE(CONTROL!$C$27, $C$14, 100%, $E$14)</f>
        <v>37.905999999999999</v>
      </c>
      <c r="J1050" s="59">
        <f>37.901 * CHOOSE(CONTROL!$C$27, $C$14, 100%, $E$14)</f>
        <v>37.901000000000003</v>
      </c>
      <c r="K1050" s="59">
        <f>37.906 * CHOOSE(CONTROL!$C$27, $C$14, 100%, $E$14)</f>
        <v>37.905999999999999</v>
      </c>
      <c r="L1050" s="59">
        <f>20.3433 * CHOOSE(CONTROL!$C$27, $C$14, 100%, $E$14)</f>
        <v>20.343299999999999</v>
      </c>
      <c r="M1050" s="59">
        <f>20.3482 * CHOOSE(CONTROL!$C$27, $C$14, 100%, $E$14)</f>
        <v>20.348199999999999</v>
      </c>
      <c r="N1050" s="59">
        <f>20.3433 * CHOOSE(CONTROL!$C$27, $C$14, 100%, $E$14)</f>
        <v>20.343299999999999</v>
      </c>
      <c r="O1050" s="59">
        <f>20.3482 * CHOOSE(CONTROL!$C$27, $C$14, 100%, $E$14)</f>
        <v>20.348199999999999</v>
      </c>
    </row>
    <row r="1051" spans="1:15" ht="15">
      <c r="A1051" s="11">
        <v>73082</v>
      </c>
      <c r="B1051" s="58">
        <f>18.0804 * CHOOSE(CONTROL!$C$27, $C$14, 100%, $E$14)</f>
        <v>18.080400000000001</v>
      </c>
      <c r="C1051" s="58">
        <f>18.0804 * CHOOSE(CONTROL!$C$27, $C$14, 100%, $E$14)</f>
        <v>18.080400000000001</v>
      </c>
      <c r="D1051" s="58">
        <f>18.0844 * CHOOSE(CONTROL!$C$27, $C$14, 100%, $E$14)</f>
        <v>18.084399999999999</v>
      </c>
      <c r="E1051" s="59">
        <f>19.9726 * CHOOSE(CONTROL!$C$27, $C$14, 100%, $E$14)</f>
        <v>19.9726</v>
      </c>
      <c r="F1051" s="59">
        <f>19.9726 * CHOOSE(CONTROL!$C$27, $C$14, 100%, $E$14)</f>
        <v>19.9726</v>
      </c>
      <c r="G1051" s="59">
        <f>19.9775 * CHOOSE(CONTROL!$C$27, $C$14, 100%, $E$14)</f>
        <v>19.977499999999999</v>
      </c>
      <c r="H1051" s="59">
        <f>37.98* CHOOSE(CONTROL!$C$27, $C$14, 100%, $E$14)</f>
        <v>37.979999999999997</v>
      </c>
      <c r="I1051" s="59">
        <f>37.9849 * CHOOSE(CONTROL!$C$27, $C$14, 100%, $E$14)</f>
        <v>37.984900000000003</v>
      </c>
      <c r="J1051" s="59">
        <f>37.98 * CHOOSE(CONTROL!$C$27, $C$14, 100%, $E$14)</f>
        <v>37.979999999999997</v>
      </c>
      <c r="K1051" s="59">
        <f>37.9849 * CHOOSE(CONTROL!$C$27, $C$14, 100%, $E$14)</f>
        <v>37.984900000000003</v>
      </c>
      <c r="L1051" s="59">
        <f>19.9726 * CHOOSE(CONTROL!$C$27, $C$14, 100%, $E$14)</f>
        <v>19.9726</v>
      </c>
      <c r="M1051" s="59">
        <f>19.9775 * CHOOSE(CONTROL!$C$27, $C$14, 100%, $E$14)</f>
        <v>19.977499999999999</v>
      </c>
      <c r="N1051" s="59">
        <f>19.9726 * CHOOSE(CONTROL!$C$27, $C$14, 100%, $E$14)</f>
        <v>19.9726</v>
      </c>
      <c r="O1051" s="59">
        <f>19.9775 * CHOOSE(CONTROL!$C$27, $C$14, 100%, $E$14)</f>
        <v>19.977499999999999</v>
      </c>
    </row>
    <row r="1052" spans="1:15" ht="15">
      <c r="A1052" s="11">
        <v>73110</v>
      </c>
      <c r="B1052" s="58">
        <f>18.0774 * CHOOSE(CONTROL!$C$27, $C$14, 100%, $E$14)</f>
        <v>18.077400000000001</v>
      </c>
      <c r="C1052" s="58">
        <f>18.0774 * CHOOSE(CONTROL!$C$27, $C$14, 100%, $E$14)</f>
        <v>18.077400000000001</v>
      </c>
      <c r="D1052" s="58">
        <f>18.0814 * CHOOSE(CONTROL!$C$27, $C$14, 100%, $E$14)</f>
        <v>18.081399999999999</v>
      </c>
      <c r="E1052" s="59">
        <f>20.261 * CHOOSE(CONTROL!$C$27, $C$14, 100%, $E$14)</f>
        <v>20.260999999999999</v>
      </c>
      <c r="F1052" s="59">
        <f>20.261 * CHOOSE(CONTROL!$C$27, $C$14, 100%, $E$14)</f>
        <v>20.260999999999999</v>
      </c>
      <c r="G1052" s="59">
        <f>20.266 * CHOOSE(CONTROL!$C$27, $C$14, 100%, $E$14)</f>
        <v>20.265999999999998</v>
      </c>
      <c r="H1052" s="59">
        <f>38.0591* CHOOSE(CONTROL!$C$27, $C$14, 100%, $E$14)</f>
        <v>38.059100000000001</v>
      </c>
      <c r="I1052" s="59">
        <f>38.064 * CHOOSE(CONTROL!$C$27, $C$14, 100%, $E$14)</f>
        <v>38.064</v>
      </c>
      <c r="J1052" s="59">
        <f>38.0591 * CHOOSE(CONTROL!$C$27, $C$14, 100%, $E$14)</f>
        <v>38.059100000000001</v>
      </c>
      <c r="K1052" s="59">
        <f>38.064 * CHOOSE(CONTROL!$C$27, $C$14, 100%, $E$14)</f>
        <v>38.064</v>
      </c>
      <c r="L1052" s="59">
        <f>20.261 * CHOOSE(CONTROL!$C$27, $C$14, 100%, $E$14)</f>
        <v>20.260999999999999</v>
      </c>
      <c r="M1052" s="59">
        <f>20.266 * CHOOSE(CONTROL!$C$27, $C$14, 100%, $E$14)</f>
        <v>20.265999999999998</v>
      </c>
      <c r="N1052" s="59">
        <f>20.261 * CHOOSE(CONTROL!$C$27, $C$14, 100%, $E$14)</f>
        <v>20.260999999999999</v>
      </c>
      <c r="O1052" s="59">
        <f>20.266 * CHOOSE(CONTROL!$C$27, $C$14, 100%, $E$14)</f>
        <v>20.265999999999998</v>
      </c>
    </row>
    <row r="1053" spans="1:15" ht="15">
      <c r="A1053" s="11">
        <v>73141</v>
      </c>
      <c r="B1053" s="58">
        <f>18.0868 * CHOOSE(CONTROL!$C$27, $C$14, 100%, $E$14)</f>
        <v>18.0868</v>
      </c>
      <c r="C1053" s="58">
        <f>18.0868 * CHOOSE(CONTROL!$C$27, $C$14, 100%, $E$14)</f>
        <v>18.0868</v>
      </c>
      <c r="D1053" s="58">
        <f>18.0908 * CHOOSE(CONTROL!$C$27, $C$14, 100%, $E$14)</f>
        <v>18.090800000000002</v>
      </c>
      <c r="E1053" s="59">
        <f>20.5688 * CHOOSE(CONTROL!$C$27, $C$14, 100%, $E$14)</f>
        <v>20.5688</v>
      </c>
      <c r="F1053" s="59">
        <f>20.5688 * CHOOSE(CONTROL!$C$27, $C$14, 100%, $E$14)</f>
        <v>20.5688</v>
      </c>
      <c r="G1053" s="59">
        <f>20.5737 * CHOOSE(CONTROL!$C$27, $C$14, 100%, $E$14)</f>
        <v>20.573699999999999</v>
      </c>
      <c r="H1053" s="59">
        <f>38.1384* CHOOSE(CONTROL!$C$27, $C$14, 100%, $E$14)</f>
        <v>38.138399999999997</v>
      </c>
      <c r="I1053" s="59">
        <f>38.1433 * CHOOSE(CONTROL!$C$27, $C$14, 100%, $E$14)</f>
        <v>38.143300000000004</v>
      </c>
      <c r="J1053" s="59">
        <f>38.1384 * CHOOSE(CONTROL!$C$27, $C$14, 100%, $E$14)</f>
        <v>38.138399999999997</v>
      </c>
      <c r="K1053" s="59">
        <f>38.1433 * CHOOSE(CONTROL!$C$27, $C$14, 100%, $E$14)</f>
        <v>38.143300000000004</v>
      </c>
      <c r="L1053" s="59">
        <f>20.5688 * CHOOSE(CONTROL!$C$27, $C$14, 100%, $E$14)</f>
        <v>20.5688</v>
      </c>
      <c r="M1053" s="59">
        <f>20.5737 * CHOOSE(CONTROL!$C$27, $C$14, 100%, $E$14)</f>
        <v>20.573699999999999</v>
      </c>
      <c r="N1053" s="59">
        <f>20.5688 * CHOOSE(CONTROL!$C$27, $C$14, 100%, $E$14)</f>
        <v>20.5688</v>
      </c>
      <c r="O1053" s="59">
        <f>20.5737 * CHOOSE(CONTROL!$C$27, $C$14, 100%, $E$14)</f>
        <v>20.573699999999999</v>
      </c>
    </row>
    <row r="1054" spans="1:15" ht="15">
      <c r="A1054" s="11">
        <v>73171</v>
      </c>
      <c r="B1054" s="58">
        <f>18.0868 * CHOOSE(CONTROL!$C$27, $C$14, 100%, $E$14)</f>
        <v>18.0868</v>
      </c>
      <c r="C1054" s="58">
        <f>18.0868 * CHOOSE(CONTROL!$C$27, $C$14, 100%, $E$14)</f>
        <v>18.0868</v>
      </c>
      <c r="D1054" s="58">
        <f>18.0924 * CHOOSE(CONTROL!$C$27, $C$14, 100%, $E$14)</f>
        <v>18.092400000000001</v>
      </c>
      <c r="E1054" s="59">
        <f>20.6858 * CHOOSE(CONTROL!$C$27, $C$14, 100%, $E$14)</f>
        <v>20.6858</v>
      </c>
      <c r="F1054" s="59">
        <f>20.6858 * CHOOSE(CONTROL!$C$27, $C$14, 100%, $E$14)</f>
        <v>20.6858</v>
      </c>
      <c r="G1054" s="59">
        <f>20.6927 * CHOOSE(CONTROL!$C$27, $C$14, 100%, $E$14)</f>
        <v>20.692699999999999</v>
      </c>
      <c r="H1054" s="59">
        <f>38.2179* CHOOSE(CONTROL!$C$27, $C$14, 100%, $E$14)</f>
        <v>38.2179</v>
      </c>
      <c r="I1054" s="59">
        <f>38.2248 * CHOOSE(CONTROL!$C$27, $C$14, 100%, $E$14)</f>
        <v>38.224800000000002</v>
      </c>
      <c r="J1054" s="59">
        <f>38.2179 * CHOOSE(CONTROL!$C$27, $C$14, 100%, $E$14)</f>
        <v>38.2179</v>
      </c>
      <c r="K1054" s="59">
        <f>38.2248 * CHOOSE(CONTROL!$C$27, $C$14, 100%, $E$14)</f>
        <v>38.224800000000002</v>
      </c>
      <c r="L1054" s="59">
        <f>20.6858 * CHOOSE(CONTROL!$C$27, $C$14, 100%, $E$14)</f>
        <v>20.6858</v>
      </c>
      <c r="M1054" s="59">
        <f>20.6927 * CHOOSE(CONTROL!$C$27, $C$14, 100%, $E$14)</f>
        <v>20.692699999999999</v>
      </c>
      <c r="N1054" s="59">
        <f>20.6858 * CHOOSE(CONTROL!$C$27, $C$14, 100%, $E$14)</f>
        <v>20.6858</v>
      </c>
      <c r="O1054" s="59">
        <f>20.6927 * CHOOSE(CONTROL!$C$27, $C$14, 100%, $E$14)</f>
        <v>20.692699999999999</v>
      </c>
    </row>
    <row r="1055" spans="1:15" ht="15">
      <c r="A1055" s="11">
        <v>73202</v>
      </c>
      <c r="B1055" s="58">
        <f>18.0928 * CHOOSE(CONTROL!$C$27, $C$14, 100%, $E$14)</f>
        <v>18.0928</v>
      </c>
      <c r="C1055" s="58">
        <f>18.0928 * CHOOSE(CONTROL!$C$27, $C$14, 100%, $E$14)</f>
        <v>18.0928</v>
      </c>
      <c r="D1055" s="58">
        <f>18.0985 * CHOOSE(CONTROL!$C$27, $C$14, 100%, $E$14)</f>
        <v>18.098500000000001</v>
      </c>
      <c r="E1055" s="59">
        <f>20.5731 * CHOOSE(CONTROL!$C$27, $C$14, 100%, $E$14)</f>
        <v>20.5731</v>
      </c>
      <c r="F1055" s="59">
        <f>20.5731 * CHOOSE(CONTROL!$C$27, $C$14, 100%, $E$14)</f>
        <v>20.5731</v>
      </c>
      <c r="G1055" s="59">
        <f>20.58 * CHOOSE(CONTROL!$C$27, $C$14, 100%, $E$14)</f>
        <v>20.58</v>
      </c>
      <c r="H1055" s="59">
        <f>38.2975* CHOOSE(CONTROL!$C$27, $C$14, 100%, $E$14)</f>
        <v>38.297499999999999</v>
      </c>
      <c r="I1055" s="59">
        <f>38.3044 * CHOOSE(CONTROL!$C$27, $C$14, 100%, $E$14)</f>
        <v>38.304400000000001</v>
      </c>
      <c r="J1055" s="59">
        <f>38.2975 * CHOOSE(CONTROL!$C$27, $C$14, 100%, $E$14)</f>
        <v>38.297499999999999</v>
      </c>
      <c r="K1055" s="59">
        <f>38.3044 * CHOOSE(CONTROL!$C$27, $C$14, 100%, $E$14)</f>
        <v>38.304400000000001</v>
      </c>
      <c r="L1055" s="59">
        <f>20.5731 * CHOOSE(CONTROL!$C$27, $C$14, 100%, $E$14)</f>
        <v>20.5731</v>
      </c>
      <c r="M1055" s="59">
        <f>20.58 * CHOOSE(CONTROL!$C$27, $C$14, 100%, $E$14)</f>
        <v>20.58</v>
      </c>
      <c r="N1055" s="59">
        <f>20.5731 * CHOOSE(CONTROL!$C$27, $C$14, 100%, $E$14)</f>
        <v>20.5731</v>
      </c>
      <c r="O1055" s="59">
        <f>20.58 * CHOOSE(CONTROL!$C$27, $C$14, 100%, $E$14)</f>
        <v>20.58</v>
      </c>
    </row>
    <row r="1056" spans="1:15" ht="15">
      <c r="A1056" s="11">
        <v>73232</v>
      </c>
      <c r="B1056" s="58">
        <f>18.3645 * CHOOSE(CONTROL!$C$27, $C$14, 100%, $E$14)</f>
        <v>18.3645</v>
      </c>
      <c r="C1056" s="58">
        <f>18.3645 * CHOOSE(CONTROL!$C$27, $C$14, 100%, $E$14)</f>
        <v>18.3645</v>
      </c>
      <c r="D1056" s="58">
        <f>18.3701 * CHOOSE(CONTROL!$C$27, $C$14, 100%, $E$14)</f>
        <v>18.370100000000001</v>
      </c>
      <c r="E1056" s="59">
        <f>20.897 * CHOOSE(CONTROL!$C$27, $C$14, 100%, $E$14)</f>
        <v>20.896999999999998</v>
      </c>
      <c r="F1056" s="59">
        <f>20.897 * CHOOSE(CONTROL!$C$27, $C$14, 100%, $E$14)</f>
        <v>20.896999999999998</v>
      </c>
      <c r="G1056" s="59">
        <f>20.9039 * CHOOSE(CONTROL!$C$27, $C$14, 100%, $E$14)</f>
        <v>20.9039</v>
      </c>
      <c r="H1056" s="59">
        <f>38.3773* CHOOSE(CONTROL!$C$27, $C$14, 100%, $E$14)</f>
        <v>38.377299999999998</v>
      </c>
      <c r="I1056" s="59">
        <f>38.3842 * CHOOSE(CONTROL!$C$27, $C$14, 100%, $E$14)</f>
        <v>38.3842</v>
      </c>
      <c r="J1056" s="59">
        <f>38.3773 * CHOOSE(CONTROL!$C$27, $C$14, 100%, $E$14)</f>
        <v>38.377299999999998</v>
      </c>
      <c r="K1056" s="59">
        <f>38.3842 * CHOOSE(CONTROL!$C$27, $C$14, 100%, $E$14)</f>
        <v>38.3842</v>
      </c>
      <c r="L1056" s="59">
        <f>20.897 * CHOOSE(CONTROL!$C$27, $C$14, 100%, $E$14)</f>
        <v>20.896999999999998</v>
      </c>
      <c r="M1056" s="59">
        <f>20.9039 * CHOOSE(CONTROL!$C$27, $C$14, 100%, $E$14)</f>
        <v>20.9039</v>
      </c>
      <c r="N1056" s="59">
        <f>20.897 * CHOOSE(CONTROL!$C$27, $C$14, 100%, $E$14)</f>
        <v>20.896999999999998</v>
      </c>
      <c r="O1056" s="59">
        <f>20.9039 * CHOOSE(CONTROL!$C$27, $C$14, 100%, $E$14)</f>
        <v>20.9039</v>
      </c>
    </row>
    <row r="1057" spans="1:15" ht="15">
      <c r="A1057" s="11">
        <v>73263</v>
      </c>
      <c r="B1057" s="58">
        <f>18.3712 * CHOOSE(CONTROL!$C$27, $C$14, 100%, $E$14)</f>
        <v>18.371200000000002</v>
      </c>
      <c r="C1057" s="58">
        <f>18.3712 * CHOOSE(CONTROL!$C$27, $C$14, 100%, $E$14)</f>
        <v>18.371200000000002</v>
      </c>
      <c r="D1057" s="58">
        <f>18.3768 * CHOOSE(CONTROL!$C$27, $C$14, 100%, $E$14)</f>
        <v>18.376799999999999</v>
      </c>
      <c r="E1057" s="59">
        <f>20.5507 * CHOOSE(CONTROL!$C$27, $C$14, 100%, $E$14)</f>
        <v>20.550699999999999</v>
      </c>
      <c r="F1057" s="59">
        <f>20.5507 * CHOOSE(CONTROL!$C$27, $C$14, 100%, $E$14)</f>
        <v>20.550699999999999</v>
      </c>
      <c r="G1057" s="59">
        <f>20.5576 * CHOOSE(CONTROL!$C$27, $C$14, 100%, $E$14)</f>
        <v>20.557600000000001</v>
      </c>
      <c r="H1057" s="59">
        <f>38.4572* CHOOSE(CONTROL!$C$27, $C$14, 100%, $E$14)</f>
        <v>38.4572</v>
      </c>
      <c r="I1057" s="59">
        <f>38.4641 * CHOOSE(CONTROL!$C$27, $C$14, 100%, $E$14)</f>
        <v>38.464100000000002</v>
      </c>
      <c r="J1057" s="59">
        <f>38.4572 * CHOOSE(CONTROL!$C$27, $C$14, 100%, $E$14)</f>
        <v>38.4572</v>
      </c>
      <c r="K1057" s="59">
        <f>38.4641 * CHOOSE(CONTROL!$C$27, $C$14, 100%, $E$14)</f>
        <v>38.464100000000002</v>
      </c>
      <c r="L1057" s="59">
        <f>20.5507 * CHOOSE(CONTROL!$C$27, $C$14, 100%, $E$14)</f>
        <v>20.550699999999999</v>
      </c>
      <c r="M1057" s="59">
        <f>20.5576 * CHOOSE(CONTROL!$C$27, $C$14, 100%, $E$14)</f>
        <v>20.557600000000001</v>
      </c>
      <c r="N1057" s="59">
        <f>20.5507 * CHOOSE(CONTROL!$C$27, $C$14, 100%, $E$14)</f>
        <v>20.550699999999999</v>
      </c>
      <c r="O1057" s="59">
        <f>20.5576 * CHOOSE(CONTROL!$C$27, $C$14, 100%, $E$14)</f>
        <v>20.557600000000001</v>
      </c>
    </row>
    <row r="1058" spans="1:15" ht="15">
      <c r="A1058" s="11">
        <v>73294</v>
      </c>
      <c r="B1058" s="58">
        <f>18.3681 * CHOOSE(CONTROL!$C$27, $C$14, 100%, $E$14)</f>
        <v>18.368099999999998</v>
      </c>
      <c r="C1058" s="58">
        <f>18.3681 * CHOOSE(CONTROL!$C$27, $C$14, 100%, $E$14)</f>
        <v>18.368099999999998</v>
      </c>
      <c r="D1058" s="58">
        <f>18.3738 * CHOOSE(CONTROL!$C$27, $C$14, 100%, $E$14)</f>
        <v>18.373799999999999</v>
      </c>
      <c r="E1058" s="59">
        <f>20.5095 * CHOOSE(CONTROL!$C$27, $C$14, 100%, $E$14)</f>
        <v>20.509499999999999</v>
      </c>
      <c r="F1058" s="59">
        <f>20.5095 * CHOOSE(CONTROL!$C$27, $C$14, 100%, $E$14)</f>
        <v>20.509499999999999</v>
      </c>
      <c r="G1058" s="59">
        <f>20.5164 * CHOOSE(CONTROL!$C$27, $C$14, 100%, $E$14)</f>
        <v>20.516400000000001</v>
      </c>
      <c r="H1058" s="59">
        <f>38.5373* CHOOSE(CONTROL!$C$27, $C$14, 100%, $E$14)</f>
        <v>38.537300000000002</v>
      </c>
      <c r="I1058" s="59">
        <f>38.5442 * CHOOSE(CONTROL!$C$27, $C$14, 100%, $E$14)</f>
        <v>38.544199999999996</v>
      </c>
      <c r="J1058" s="59">
        <f>38.5373 * CHOOSE(CONTROL!$C$27, $C$14, 100%, $E$14)</f>
        <v>38.537300000000002</v>
      </c>
      <c r="K1058" s="59">
        <f>38.5442 * CHOOSE(CONTROL!$C$27, $C$14, 100%, $E$14)</f>
        <v>38.544199999999996</v>
      </c>
      <c r="L1058" s="59">
        <f>20.5095 * CHOOSE(CONTROL!$C$27, $C$14, 100%, $E$14)</f>
        <v>20.509499999999999</v>
      </c>
      <c r="M1058" s="59">
        <f>20.5164 * CHOOSE(CONTROL!$C$27, $C$14, 100%, $E$14)</f>
        <v>20.516400000000001</v>
      </c>
      <c r="N1058" s="59">
        <f>20.5095 * CHOOSE(CONTROL!$C$27, $C$14, 100%, $E$14)</f>
        <v>20.509499999999999</v>
      </c>
      <c r="O1058" s="59">
        <f>20.5164 * CHOOSE(CONTROL!$C$27, $C$14, 100%, $E$14)</f>
        <v>20.516400000000001</v>
      </c>
    </row>
    <row r="1059" spans="1:15" ht="15">
      <c r="A1059" s="11">
        <v>73324</v>
      </c>
      <c r="B1059" s="58">
        <f>18.4093 * CHOOSE(CONTROL!$C$27, $C$14, 100%, $E$14)</f>
        <v>18.409300000000002</v>
      </c>
      <c r="C1059" s="58">
        <f>18.4093 * CHOOSE(CONTROL!$C$27, $C$14, 100%, $E$14)</f>
        <v>18.409300000000002</v>
      </c>
      <c r="D1059" s="58">
        <f>18.4133 * CHOOSE(CONTROL!$C$27, $C$14, 100%, $E$14)</f>
        <v>18.4133</v>
      </c>
      <c r="E1059" s="59">
        <f>20.6521 * CHOOSE(CONTROL!$C$27, $C$14, 100%, $E$14)</f>
        <v>20.652100000000001</v>
      </c>
      <c r="F1059" s="59">
        <f>20.6521 * CHOOSE(CONTROL!$C$27, $C$14, 100%, $E$14)</f>
        <v>20.652100000000001</v>
      </c>
      <c r="G1059" s="59">
        <f>20.6571 * CHOOSE(CONTROL!$C$27, $C$14, 100%, $E$14)</f>
        <v>20.6571</v>
      </c>
      <c r="H1059" s="59">
        <f>38.6176* CHOOSE(CONTROL!$C$27, $C$14, 100%, $E$14)</f>
        <v>38.617600000000003</v>
      </c>
      <c r="I1059" s="59">
        <f>38.6226 * CHOOSE(CONTROL!$C$27, $C$14, 100%, $E$14)</f>
        <v>38.622599999999998</v>
      </c>
      <c r="J1059" s="59">
        <f>38.6176 * CHOOSE(CONTROL!$C$27, $C$14, 100%, $E$14)</f>
        <v>38.617600000000003</v>
      </c>
      <c r="K1059" s="59">
        <f>38.6226 * CHOOSE(CONTROL!$C$27, $C$14, 100%, $E$14)</f>
        <v>38.622599999999998</v>
      </c>
      <c r="L1059" s="59">
        <f>20.6521 * CHOOSE(CONTROL!$C$27, $C$14, 100%, $E$14)</f>
        <v>20.652100000000001</v>
      </c>
      <c r="M1059" s="59">
        <f>20.6571 * CHOOSE(CONTROL!$C$27, $C$14, 100%, $E$14)</f>
        <v>20.6571</v>
      </c>
      <c r="N1059" s="59">
        <f>20.6521 * CHOOSE(CONTROL!$C$27, $C$14, 100%, $E$14)</f>
        <v>20.652100000000001</v>
      </c>
      <c r="O1059" s="59">
        <f>20.6571 * CHOOSE(CONTROL!$C$27, $C$14, 100%, $E$14)</f>
        <v>20.6571</v>
      </c>
    </row>
    <row r="1060" spans="1:15" ht="15">
      <c r="A1060" s="11">
        <v>73355</v>
      </c>
      <c r="B1060" s="58">
        <f>18.4123 * CHOOSE(CONTROL!$C$27, $C$14, 100%, $E$14)</f>
        <v>18.412299999999998</v>
      </c>
      <c r="C1060" s="58">
        <f>18.4123 * CHOOSE(CONTROL!$C$27, $C$14, 100%, $E$14)</f>
        <v>18.412299999999998</v>
      </c>
      <c r="D1060" s="58">
        <f>18.4163 * CHOOSE(CONTROL!$C$27, $C$14, 100%, $E$14)</f>
        <v>18.4163</v>
      </c>
      <c r="E1060" s="59">
        <f>20.7323 * CHOOSE(CONTROL!$C$27, $C$14, 100%, $E$14)</f>
        <v>20.732299999999999</v>
      </c>
      <c r="F1060" s="59">
        <f>20.7323 * CHOOSE(CONTROL!$C$27, $C$14, 100%, $E$14)</f>
        <v>20.732299999999999</v>
      </c>
      <c r="G1060" s="59">
        <f>20.7372 * CHOOSE(CONTROL!$C$27, $C$14, 100%, $E$14)</f>
        <v>20.737200000000001</v>
      </c>
      <c r="H1060" s="59">
        <f>38.6981* CHOOSE(CONTROL!$C$27, $C$14, 100%, $E$14)</f>
        <v>38.698099999999997</v>
      </c>
      <c r="I1060" s="59">
        <f>38.703 * CHOOSE(CONTROL!$C$27, $C$14, 100%, $E$14)</f>
        <v>38.703000000000003</v>
      </c>
      <c r="J1060" s="59">
        <f>38.6981 * CHOOSE(CONTROL!$C$27, $C$14, 100%, $E$14)</f>
        <v>38.698099999999997</v>
      </c>
      <c r="K1060" s="59">
        <f>38.703 * CHOOSE(CONTROL!$C$27, $C$14, 100%, $E$14)</f>
        <v>38.703000000000003</v>
      </c>
      <c r="L1060" s="59">
        <f>20.7323 * CHOOSE(CONTROL!$C$27, $C$14, 100%, $E$14)</f>
        <v>20.732299999999999</v>
      </c>
      <c r="M1060" s="59">
        <f>20.7372 * CHOOSE(CONTROL!$C$27, $C$14, 100%, $E$14)</f>
        <v>20.737200000000001</v>
      </c>
      <c r="N1060" s="59">
        <f>20.7323 * CHOOSE(CONTROL!$C$27, $C$14, 100%, $E$14)</f>
        <v>20.732299999999999</v>
      </c>
      <c r="O1060" s="59">
        <f>20.7372 * CHOOSE(CONTROL!$C$27, $C$14, 100%, $E$14)</f>
        <v>20.737200000000001</v>
      </c>
    </row>
    <row r="1061" spans="1:15" ht="15">
      <c r="A1061" s="11">
        <v>73385</v>
      </c>
      <c r="B1061" s="58">
        <f>18.4123 * CHOOSE(CONTROL!$C$27, $C$14, 100%, $E$14)</f>
        <v>18.412299999999998</v>
      </c>
      <c r="C1061" s="58">
        <f>18.4123 * CHOOSE(CONTROL!$C$27, $C$14, 100%, $E$14)</f>
        <v>18.412299999999998</v>
      </c>
      <c r="D1061" s="58">
        <f>18.4163 * CHOOSE(CONTROL!$C$27, $C$14, 100%, $E$14)</f>
        <v>18.4163</v>
      </c>
      <c r="E1061" s="59">
        <f>20.5373 * CHOOSE(CONTROL!$C$27, $C$14, 100%, $E$14)</f>
        <v>20.537299999999998</v>
      </c>
      <c r="F1061" s="59">
        <f>20.5373 * CHOOSE(CONTROL!$C$27, $C$14, 100%, $E$14)</f>
        <v>20.537299999999998</v>
      </c>
      <c r="G1061" s="59">
        <f>20.5422 * CHOOSE(CONTROL!$C$27, $C$14, 100%, $E$14)</f>
        <v>20.542200000000001</v>
      </c>
      <c r="H1061" s="59">
        <f>38.7787* CHOOSE(CONTROL!$C$27, $C$14, 100%, $E$14)</f>
        <v>38.778700000000001</v>
      </c>
      <c r="I1061" s="59">
        <f>38.7836 * CHOOSE(CONTROL!$C$27, $C$14, 100%, $E$14)</f>
        <v>38.7836</v>
      </c>
      <c r="J1061" s="59">
        <f>38.7787 * CHOOSE(CONTROL!$C$27, $C$14, 100%, $E$14)</f>
        <v>38.778700000000001</v>
      </c>
      <c r="K1061" s="59">
        <f>38.7836 * CHOOSE(CONTROL!$C$27, $C$14, 100%, $E$14)</f>
        <v>38.7836</v>
      </c>
      <c r="L1061" s="59">
        <f>20.5373 * CHOOSE(CONTROL!$C$27, $C$14, 100%, $E$14)</f>
        <v>20.537299999999998</v>
      </c>
      <c r="M1061" s="59">
        <f>20.5422 * CHOOSE(CONTROL!$C$27, $C$14, 100%, $E$14)</f>
        <v>20.542200000000001</v>
      </c>
      <c r="N1061" s="59">
        <f>20.5373 * CHOOSE(CONTROL!$C$27, $C$14, 100%, $E$14)</f>
        <v>20.537299999999998</v>
      </c>
      <c r="O1061" s="59">
        <f>20.5422 * CHOOSE(CONTROL!$C$27, $C$14, 100%, $E$14)</f>
        <v>20.542200000000001</v>
      </c>
    </row>
    <row r="1062" spans="1:15" ht="15">
      <c r="A1062" s="9"/>
      <c r="B1062" s="58"/>
      <c r="C1062" s="58"/>
      <c r="D1062" s="58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</row>
    <row r="1063" spans="1:15" ht="15">
      <c r="A1063" s="3">
        <v>2014</v>
      </c>
      <c r="B1063" s="58">
        <f t="shared" ref="B1063:O1063" si="0">AVERAGE(B18:B29)</f>
        <v>2.4184833333333331</v>
      </c>
      <c r="C1063" s="58">
        <f t="shared" si="0"/>
        <v>2.4063500000000002</v>
      </c>
      <c r="D1063" s="58">
        <f t="shared" si="0"/>
        <v>2.4110166666666664</v>
      </c>
      <c r="E1063" s="58">
        <f t="shared" si="0"/>
        <v>3.2984333333333336</v>
      </c>
      <c r="F1063" s="58">
        <f t="shared" si="0"/>
        <v>3.4486666666666661</v>
      </c>
      <c r="G1063" s="58">
        <f t="shared" si="0"/>
        <v>3.4613999999999994</v>
      </c>
      <c r="H1063" s="58">
        <f t="shared" si="0"/>
        <v>5.9680833333333352</v>
      </c>
      <c r="I1063" s="58">
        <f t="shared" si="0"/>
        <v>5.9808250000000003</v>
      </c>
      <c r="J1063" s="58">
        <f t="shared" si="0"/>
        <v>5.9680833333333352</v>
      </c>
      <c r="K1063" s="58">
        <f t="shared" si="0"/>
        <v>5.9808250000000003</v>
      </c>
      <c r="L1063" s="58">
        <f t="shared" si="0"/>
        <v>3.2984333333333336</v>
      </c>
      <c r="M1063" s="58">
        <f t="shared" si="0"/>
        <v>3.3111833333333336</v>
      </c>
      <c r="N1063" s="58">
        <f t="shared" si="0"/>
        <v>3.2984333333333336</v>
      </c>
      <c r="O1063" s="58">
        <f t="shared" si="0"/>
        <v>3.3111833333333336</v>
      </c>
    </row>
    <row r="1064" spans="1:15" ht="15">
      <c r="A1064" s="3">
        <v>2015</v>
      </c>
      <c r="B1064" s="58">
        <f t="shared" ref="B1064:O1064" si="1">AVERAGE(B30:B41)</f>
        <v>2.5009166666666673</v>
      </c>
      <c r="C1064" s="58">
        <f t="shared" si="1"/>
        <v>2.5282416666666667</v>
      </c>
      <c r="D1064" s="58">
        <f t="shared" si="1"/>
        <v>2.5329166666666669</v>
      </c>
      <c r="E1064" s="58">
        <f t="shared" si="1"/>
        <v>3.2090166666666664</v>
      </c>
      <c r="F1064" s="58">
        <f t="shared" si="1"/>
        <v>3.254</v>
      </c>
      <c r="G1064" s="58">
        <f t="shared" si="1"/>
        <v>3.2597333333333327</v>
      </c>
      <c r="H1064" s="58">
        <f t="shared" si="1"/>
        <v>6.1190083333333334</v>
      </c>
      <c r="I1064" s="58">
        <f t="shared" si="1"/>
        <v>6.1247499999999988</v>
      </c>
      <c r="J1064" s="58">
        <f t="shared" si="1"/>
        <v>6.1190083333333334</v>
      </c>
      <c r="K1064" s="58">
        <f t="shared" si="1"/>
        <v>6.1247499999999988</v>
      </c>
      <c r="L1064" s="58">
        <f t="shared" si="1"/>
        <v>3.2090166666666664</v>
      </c>
      <c r="M1064" s="58">
        <f t="shared" si="1"/>
        <v>3.2147583333333327</v>
      </c>
      <c r="N1064" s="58">
        <f t="shared" si="1"/>
        <v>3.2090166666666664</v>
      </c>
      <c r="O1064" s="58">
        <f t="shared" si="1"/>
        <v>3.2147583333333327</v>
      </c>
    </row>
    <row r="1065" spans="1:15" ht="15">
      <c r="A1065" s="3">
        <v>2016</v>
      </c>
      <c r="B1065" s="58">
        <f t="shared" ref="B1065:O1065" si="2">AVERAGE(B42:B53)</f>
        <v>2.8711249999999997</v>
      </c>
      <c r="C1065" s="58">
        <f t="shared" si="2"/>
        <v>2.8711249999999997</v>
      </c>
      <c r="D1065" s="58">
        <f t="shared" si="2"/>
        <v>2.8757833333333331</v>
      </c>
      <c r="E1065" s="58">
        <f t="shared" si="2"/>
        <v>3.3873333333333338</v>
      </c>
      <c r="F1065" s="58">
        <f t="shared" si="2"/>
        <v>3.4460000000000002</v>
      </c>
      <c r="G1065" s="58">
        <f t="shared" si="2"/>
        <v>3.4517333333333329</v>
      </c>
      <c r="H1065" s="58">
        <f t="shared" si="2"/>
        <v>6.2737333333333325</v>
      </c>
      <c r="I1065" s="58">
        <f t="shared" si="2"/>
        <v>6.2794750000000006</v>
      </c>
      <c r="J1065" s="58">
        <f t="shared" si="2"/>
        <v>6.2737333333333325</v>
      </c>
      <c r="K1065" s="58">
        <f t="shared" si="2"/>
        <v>6.2794750000000006</v>
      </c>
      <c r="L1065" s="58">
        <f t="shared" si="2"/>
        <v>3.3873333333333338</v>
      </c>
      <c r="M1065" s="58">
        <f t="shared" si="2"/>
        <v>3.393066666666666</v>
      </c>
      <c r="N1065" s="58">
        <f t="shared" si="2"/>
        <v>3.3873333333333338</v>
      </c>
      <c r="O1065" s="58">
        <f t="shared" si="2"/>
        <v>3.393066666666666</v>
      </c>
    </row>
    <row r="1066" spans="1:15" ht="15">
      <c r="A1066" s="3">
        <v>2017</v>
      </c>
      <c r="B1066" s="58">
        <f t="shared" ref="B1066:O1066" si="3">AVERAGE(B54:B65)</f>
        <v>3.0028000000000001</v>
      </c>
      <c r="C1066" s="58">
        <f t="shared" si="3"/>
        <v>3.0028000000000001</v>
      </c>
      <c r="D1066" s="58">
        <f t="shared" si="3"/>
        <v>3.0074833333333331</v>
      </c>
      <c r="E1066" s="58">
        <f t="shared" si="3"/>
        <v>3.5879916666666669</v>
      </c>
      <c r="F1066" s="58">
        <f t="shared" si="3"/>
        <v>3.5879916666666669</v>
      </c>
      <c r="G1066" s="58">
        <f t="shared" si="3"/>
        <v>3.5937250000000005</v>
      </c>
      <c r="H1066" s="58">
        <f t="shared" si="3"/>
        <v>6.4323833333333331</v>
      </c>
      <c r="I1066" s="58">
        <f t="shared" si="3"/>
        <v>6.4381416666666667</v>
      </c>
      <c r="J1066" s="58">
        <f t="shared" si="3"/>
        <v>6.4323833333333331</v>
      </c>
      <c r="K1066" s="58">
        <f t="shared" si="3"/>
        <v>6.4381416666666667</v>
      </c>
      <c r="L1066" s="58">
        <f t="shared" si="3"/>
        <v>3.5879916666666669</v>
      </c>
      <c r="M1066" s="58">
        <f t="shared" si="3"/>
        <v>3.5937250000000005</v>
      </c>
      <c r="N1066" s="58">
        <f t="shared" si="3"/>
        <v>3.5879916666666669</v>
      </c>
      <c r="O1066" s="58">
        <f t="shared" si="3"/>
        <v>3.5937250000000005</v>
      </c>
    </row>
    <row r="1067" spans="1:15" ht="15">
      <c r="A1067" s="3">
        <v>2018</v>
      </c>
      <c r="B1067" s="58">
        <f t="shared" ref="B1067:O1067" si="4">AVERAGE(B66:B77)</f>
        <v>3.1109000000000004</v>
      </c>
      <c r="C1067" s="58">
        <f t="shared" si="4"/>
        <v>3.1109000000000004</v>
      </c>
      <c r="D1067" s="58">
        <f t="shared" si="4"/>
        <v>3.1155666666666662</v>
      </c>
      <c r="E1067" s="58">
        <f t="shared" si="4"/>
        <v>3.7429000000000006</v>
      </c>
      <c r="F1067" s="58">
        <f t="shared" si="4"/>
        <v>3.7429000000000006</v>
      </c>
      <c r="G1067" s="58">
        <f t="shared" si="4"/>
        <v>3.7486333333333337</v>
      </c>
      <c r="H1067" s="58">
        <f t="shared" si="4"/>
        <v>6.5950499999999996</v>
      </c>
      <c r="I1067" s="58">
        <f t="shared" si="4"/>
        <v>6.6007916666666686</v>
      </c>
      <c r="J1067" s="58">
        <f t="shared" si="4"/>
        <v>6.5950499999999996</v>
      </c>
      <c r="K1067" s="58">
        <f t="shared" si="4"/>
        <v>6.6007916666666686</v>
      </c>
      <c r="L1067" s="58">
        <f t="shared" si="4"/>
        <v>3.7429000000000006</v>
      </c>
      <c r="M1067" s="58">
        <f t="shared" si="4"/>
        <v>3.7486333333333337</v>
      </c>
      <c r="N1067" s="58">
        <f t="shared" si="4"/>
        <v>3.7429000000000006</v>
      </c>
      <c r="O1067" s="58">
        <f t="shared" si="4"/>
        <v>3.7486333333333337</v>
      </c>
    </row>
    <row r="1068" spans="1:15" ht="15">
      <c r="A1068" s="3">
        <v>2019</v>
      </c>
      <c r="B1068" s="58">
        <f t="shared" ref="B1068:O1068" si="5">AVERAGE(B78:B89)</f>
        <v>3.1375166666666665</v>
      </c>
      <c r="C1068" s="58">
        <f t="shared" si="5"/>
        <v>3.1375166666666665</v>
      </c>
      <c r="D1068" s="58">
        <f t="shared" si="5"/>
        <v>3.1421916666666658</v>
      </c>
      <c r="E1068" s="58">
        <f t="shared" si="5"/>
        <v>3.8573833333333334</v>
      </c>
      <c r="F1068" s="58">
        <f t="shared" si="5"/>
        <v>3.8573833333333334</v>
      </c>
      <c r="G1068" s="58">
        <f t="shared" si="5"/>
        <v>3.8631416666666674</v>
      </c>
      <c r="H1068" s="58">
        <f t="shared" si="5"/>
        <v>6.7618333333333345</v>
      </c>
      <c r="I1068" s="58">
        <f t="shared" si="5"/>
        <v>6.7675750000000008</v>
      </c>
      <c r="J1068" s="58">
        <f t="shared" si="5"/>
        <v>6.7618333333333345</v>
      </c>
      <c r="K1068" s="58">
        <f t="shared" si="5"/>
        <v>6.7675750000000008</v>
      </c>
      <c r="L1068" s="58">
        <f t="shared" si="5"/>
        <v>3.8573833333333334</v>
      </c>
      <c r="M1068" s="58">
        <f t="shared" si="5"/>
        <v>3.8631416666666674</v>
      </c>
      <c r="N1068" s="58">
        <f t="shared" si="5"/>
        <v>3.8573833333333334</v>
      </c>
      <c r="O1068" s="58">
        <f t="shared" si="5"/>
        <v>3.8631416666666674</v>
      </c>
    </row>
    <row r="1069" spans="1:15" ht="15">
      <c r="A1069" s="3">
        <v>2020</v>
      </c>
      <c r="B1069" s="58">
        <f t="shared" ref="B1069:O1069" si="6">AVERAGE(B90:B101)</f>
        <v>3.1985999999999994</v>
      </c>
      <c r="C1069" s="58">
        <f t="shared" si="6"/>
        <v>3.1985999999999994</v>
      </c>
      <c r="D1069" s="58">
        <f t="shared" si="6"/>
        <v>3.2032833333333333</v>
      </c>
      <c r="E1069" s="58">
        <f t="shared" si="6"/>
        <v>3.7282833333333336</v>
      </c>
      <c r="F1069" s="58">
        <f t="shared" si="6"/>
        <v>3.7282833333333336</v>
      </c>
      <c r="G1069" s="58">
        <f t="shared" si="6"/>
        <v>3.7340416666666676</v>
      </c>
      <c r="H1069" s="58">
        <f t="shared" si="6"/>
        <v>6.9328250000000002</v>
      </c>
      <c r="I1069" s="58">
        <f t="shared" si="6"/>
        <v>6.9385833333333311</v>
      </c>
      <c r="J1069" s="58">
        <f t="shared" si="6"/>
        <v>6.9328250000000002</v>
      </c>
      <c r="K1069" s="58">
        <f t="shared" si="6"/>
        <v>6.9385833333333311</v>
      </c>
      <c r="L1069" s="58">
        <f t="shared" si="6"/>
        <v>3.7282833333333336</v>
      </c>
      <c r="M1069" s="58">
        <f t="shared" si="6"/>
        <v>3.7340416666666676</v>
      </c>
      <c r="N1069" s="58">
        <f t="shared" si="6"/>
        <v>3.7282833333333336</v>
      </c>
      <c r="O1069" s="58">
        <f t="shared" si="6"/>
        <v>3.7340416666666676</v>
      </c>
    </row>
    <row r="1070" spans="1:15" ht="15">
      <c r="A1070" s="3">
        <v>2021</v>
      </c>
      <c r="B1070" s="58">
        <f t="shared" ref="B1070:O1070" si="7">AVERAGE(B102:B113)</f>
        <v>3.2682833333333332</v>
      </c>
      <c r="C1070" s="58">
        <f t="shared" si="7"/>
        <v>3.2682833333333332</v>
      </c>
      <c r="D1070" s="58">
        <f t="shared" si="7"/>
        <v>3.272958333333333</v>
      </c>
      <c r="E1070" s="58">
        <f t="shared" si="7"/>
        <v>3.7707666666666668</v>
      </c>
      <c r="F1070" s="58">
        <f t="shared" si="7"/>
        <v>3.7707666666666668</v>
      </c>
      <c r="G1070" s="58">
        <f t="shared" si="7"/>
        <v>3.7765083333333336</v>
      </c>
      <c r="H1070" s="58">
        <f t="shared" si="7"/>
        <v>7.1081583333333329</v>
      </c>
      <c r="I1070" s="58">
        <f t="shared" si="7"/>
        <v>7.1139000000000001</v>
      </c>
      <c r="J1070" s="58">
        <f t="shared" si="7"/>
        <v>7.1081583333333329</v>
      </c>
      <c r="K1070" s="58">
        <f t="shared" si="7"/>
        <v>7.1139000000000001</v>
      </c>
      <c r="L1070" s="58">
        <f t="shared" si="7"/>
        <v>3.7707666666666668</v>
      </c>
      <c r="M1070" s="58">
        <f t="shared" si="7"/>
        <v>3.7765083333333336</v>
      </c>
      <c r="N1070" s="58">
        <f t="shared" si="7"/>
        <v>3.7707666666666668</v>
      </c>
      <c r="O1070" s="58">
        <f t="shared" si="7"/>
        <v>3.7765083333333336</v>
      </c>
    </row>
    <row r="1071" spans="1:15" ht="15">
      <c r="A1071" s="3">
        <v>2022</v>
      </c>
      <c r="B1071" s="58">
        <f t="shared" ref="B1071:O1071" si="8">AVERAGE(B114:B125)</f>
        <v>3.3391416666666669</v>
      </c>
      <c r="C1071" s="58">
        <f t="shared" si="8"/>
        <v>3.3391416666666669</v>
      </c>
      <c r="D1071" s="58">
        <f t="shared" si="8"/>
        <v>3.3438166666666667</v>
      </c>
      <c r="E1071" s="58">
        <f t="shared" si="8"/>
        <v>3.944116666666666</v>
      </c>
      <c r="F1071" s="58">
        <f t="shared" si="8"/>
        <v>3.944116666666666</v>
      </c>
      <c r="G1071" s="58">
        <f t="shared" si="8"/>
        <v>3.9498583333333328</v>
      </c>
      <c r="H1071" s="58">
        <f t="shared" si="8"/>
        <v>7.2878999999999996</v>
      </c>
      <c r="I1071" s="58">
        <f t="shared" si="8"/>
        <v>7.2936416666666659</v>
      </c>
      <c r="J1071" s="58">
        <f t="shared" si="8"/>
        <v>7.2878999999999996</v>
      </c>
      <c r="K1071" s="58">
        <f t="shared" si="8"/>
        <v>7.2936416666666659</v>
      </c>
      <c r="L1071" s="58">
        <f t="shared" si="8"/>
        <v>3.944116666666666</v>
      </c>
      <c r="M1071" s="58">
        <f t="shared" si="8"/>
        <v>3.9498583333333328</v>
      </c>
      <c r="N1071" s="58">
        <f t="shared" si="8"/>
        <v>3.944116666666666</v>
      </c>
      <c r="O1071" s="58">
        <f t="shared" si="8"/>
        <v>3.9498583333333328</v>
      </c>
    </row>
    <row r="1072" spans="1:15" ht="15">
      <c r="A1072" s="3">
        <v>2023</v>
      </c>
      <c r="B1072" s="58">
        <f t="shared" ref="B1072:O1072" si="9">AVERAGE(B126:B137)</f>
        <v>3.4119833333333336</v>
      </c>
      <c r="C1072" s="58">
        <f t="shared" si="9"/>
        <v>3.4119833333333336</v>
      </c>
      <c r="D1072" s="58">
        <f t="shared" si="9"/>
        <v>3.4166666666666665</v>
      </c>
      <c r="E1072" s="58">
        <f t="shared" si="9"/>
        <v>4.0709833333333334</v>
      </c>
      <c r="F1072" s="58">
        <f t="shared" si="9"/>
        <v>4.0709833333333334</v>
      </c>
      <c r="G1072" s="58">
        <f t="shared" si="9"/>
        <v>4.076741666666666</v>
      </c>
      <c r="H1072" s="58">
        <f t="shared" si="9"/>
        <v>7.4721999999999982</v>
      </c>
      <c r="I1072" s="58">
        <f t="shared" si="9"/>
        <v>7.4779583333333335</v>
      </c>
      <c r="J1072" s="58">
        <f t="shared" si="9"/>
        <v>7.4721999999999982</v>
      </c>
      <c r="K1072" s="58">
        <f t="shared" si="9"/>
        <v>7.4779583333333335</v>
      </c>
      <c r="L1072" s="58">
        <f t="shared" si="9"/>
        <v>4.0709833333333334</v>
      </c>
      <c r="M1072" s="58">
        <f t="shared" si="9"/>
        <v>4.076741666666666</v>
      </c>
      <c r="N1072" s="58">
        <f t="shared" si="9"/>
        <v>4.0709833333333334</v>
      </c>
      <c r="O1072" s="58">
        <f t="shared" si="9"/>
        <v>4.076741666666666</v>
      </c>
    </row>
    <row r="1073" spans="1:15" ht="15">
      <c r="A1073" s="3">
        <v>2024</v>
      </c>
      <c r="B1073" s="58">
        <f t="shared" ref="B1073:O1073" si="10">AVERAGE(B138:B149)</f>
        <v>3.4898833333333328</v>
      </c>
      <c r="C1073" s="58">
        <f t="shared" si="10"/>
        <v>3.4898833333333328</v>
      </c>
      <c r="D1073" s="58">
        <f t="shared" si="10"/>
        <v>3.4945583333333334</v>
      </c>
      <c r="E1073" s="58">
        <f t="shared" si="10"/>
        <v>4.1558083333333329</v>
      </c>
      <c r="F1073" s="58">
        <f t="shared" si="10"/>
        <v>4.1558083333333329</v>
      </c>
      <c r="G1073" s="58">
        <f t="shared" si="10"/>
        <v>4.1615416666666674</v>
      </c>
      <c r="H1073" s="58">
        <f t="shared" si="10"/>
        <v>7.6611750000000001</v>
      </c>
      <c r="I1073" s="58">
        <f t="shared" si="10"/>
        <v>7.6669083333333345</v>
      </c>
      <c r="J1073" s="58">
        <f t="shared" si="10"/>
        <v>7.6611750000000001</v>
      </c>
      <c r="K1073" s="58">
        <f t="shared" si="10"/>
        <v>7.6669083333333345</v>
      </c>
      <c r="L1073" s="58">
        <f t="shared" si="10"/>
        <v>4.1558083333333329</v>
      </c>
      <c r="M1073" s="58">
        <f t="shared" si="10"/>
        <v>4.1615416666666674</v>
      </c>
      <c r="N1073" s="58">
        <f t="shared" si="10"/>
        <v>4.1558083333333329</v>
      </c>
      <c r="O1073" s="58">
        <f t="shared" si="10"/>
        <v>4.1615416666666674</v>
      </c>
    </row>
    <row r="1074" spans="1:15" ht="15">
      <c r="A1074" s="3">
        <v>2025</v>
      </c>
      <c r="B1074" s="58">
        <f t="shared" ref="B1074:O1074" si="11">AVERAGE(B150:B161)</f>
        <v>3.5713666666666675</v>
      </c>
      <c r="C1074" s="58">
        <f t="shared" si="11"/>
        <v>3.5713666666666675</v>
      </c>
      <c r="D1074" s="58">
        <f t="shared" si="11"/>
        <v>3.5760416666666663</v>
      </c>
      <c r="E1074" s="58">
        <f t="shared" si="11"/>
        <v>4.2415750000000001</v>
      </c>
      <c r="F1074" s="58">
        <f t="shared" si="11"/>
        <v>4.2415750000000001</v>
      </c>
      <c r="G1074" s="58">
        <f t="shared" si="11"/>
        <v>4.247325</v>
      </c>
      <c r="H1074" s="58">
        <f t="shared" si="11"/>
        <v>7.8548999999999998</v>
      </c>
      <c r="I1074" s="58">
        <f t="shared" si="11"/>
        <v>7.8606499999999997</v>
      </c>
      <c r="J1074" s="58">
        <f t="shared" si="11"/>
        <v>7.8548999999999998</v>
      </c>
      <c r="K1074" s="58">
        <f t="shared" si="11"/>
        <v>7.8606499999999997</v>
      </c>
      <c r="L1074" s="58">
        <f t="shared" si="11"/>
        <v>4.2415750000000001</v>
      </c>
      <c r="M1074" s="58">
        <f t="shared" si="11"/>
        <v>4.247325</v>
      </c>
      <c r="N1074" s="58">
        <f t="shared" si="11"/>
        <v>4.2415750000000001</v>
      </c>
      <c r="O1074" s="58">
        <f t="shared" si="11"/>
        <v>4.247325</v>
      </c>
    </row>
    <row r="1075" spans="1:15" ht="15">
      <c r="A1075" s="3">
        <v>2026</v>
      </c>
      <c r="B1075" s="58">
        <f t="shared" ref="B1075:O1075" si="12">AVERAGE(B162:B173)</f>
        <v>3.6529916666666669</v>
      </c>
      <c r="C1075" s="58">
        <f t="shared" si="12"/>
        <v>3.6529916666666669</v>
      </c>
      <c r="D1075" s="58">
        <f t="shared" si="12"/>
        <v>3.6576749999999993</v>
      </c>
      <c r="E1075" s="58">
        <f t="shared" si="12"/>
        <v>4.3426083333333336</v>
      </c>
      <c r="F1075" s="58">
        <f t="shared" si="12"/>
        <v>4.3426083333333336</v>
      </c>
      <c r="G1075" s="58">
        <f t="shared" si="12"/>
        <v>4.3483583333333335</v>
      </c>
      <c r="H1075" s="58">
        <f t="shared" si="12"/>
        <v>8.0535333333333323</v>
      </c>
      <c r="I1075" s="58">
        <f t="shared" si="12"/>
        <v>8.0592833333333331</v>
      </c>
      <c r="J1075" s="58">
        <f t="shared" si="12"/>
        <v>8.0535333333333323</v>
      </c>
      <c r="K1075" s="58">
        <f t="shared" si="12"/>
        <v>8.0592833333333331</v>
      </c>
      <c r="L1075" s="58">
        <f t="shared" si="12"/>
        <v>4.3426083333333336</v>
      </c>
      <c r="M1075" s="58">
        <f t="shared" si="12"/>
        <v>4.3483583333333335</v>
      </c>
      <c r="N1075" s="58">
        <f t="shared" si="12"/>
        <v>4.3426083333333336</v>
      </c>
      <c r="O1075" s="58">
        <f t="shared" si="12"/>
        <v>4.3483583333333335</v>
      </c>
    </row>
    <row r="1076" spans="1:15" ht="15">
      <c r="A1076" s="3">
        <v>2027</v>
      </c>
      <c r="B1076" s="58">
        <f t="shared" ref="B1076:O1076" si="13">AVERAGE(B174:B185)</f>
        <v>3.7325916666666674</v>
      </c>
      <c r="C1076" s="58">
        <f t="shared" si="13"/>
        <v>3.7325916666666674</v>
      </c>
      <c r="D1076" s="58">
        <f t="shared" si="13"/>
        <v>3.7372499999999991</v>
      </c>
      <c r="E1076" s="58">
        <f t="shared" si="13"/>
        <v>4.4449999999999994</v>
      </c>
      <c r="F1076" s="58">
        <f t="shared" si="13"/>
        <v>4.4449999999999994</v>
      </c>
      <c r="G1076" s="58">
        <f t="shared" si="13"/>
        <v>4.4507416666666666</v>
      </c>
      <c r="H1076" s="58">
        <f t="shared" si="13"/>
        <v>8.2572166666666664</v>
      </c>
      <c r="I1076" s="58">
        <f t="shared" si="13"/>
        <v>8.26295</v>
      </c>
      <c r="J1076" s="58">
        <f t="shared" si="13"/>
        <v>8.2572166666666664</v>
      </c>
      <c r="K1076" s="58">
        <f t="shared" si="13"/>
        <v>8.26295</v>
      </c>
      <c r="L1076" s="58">
        <f t="shared" si="13"/>
        <v>4.4449999999999994</v>
      </c>
      <c r="M1076" s="58">
        <f t="shared" si="13"/>
        <v>4.4507416666666666</v>
      </c>
      <c r="N1076" s="58">
        <f t="shared" si="13"/>
        <v>4.4449999999999994</v>
      </c>
      <c r="O1076" s="58">
        <f t="shared" si="13"/>
        <v>4.4507416666666666</v>
      </c>
    </row>
    <row r="1077" spans="1:15" ht="15">
      <c r="A1077" s="3">
        <v>2028</v>
      </c>
      <c r="B1077" s="58">
        <f t="shared" ref="B1077:O1077" si="14">AVERAGE(B186:B197)</f>
        <v>3.8206500000000001</v>
      </c>
      <c r="C1077" s="58">
        <f t="shared" si="14"/>
        <v>3.8206500000000001</v>
      </c>
      <c r="D1077" s="58">
        <f t="shared" si="14"/>
        <v>3.8253333333333335</v>
      </c>
      <c r="E1077" s="58">
        <f t="shared" si="14"/>
        <v>4.5496749999999997</v>
      </c>
      <c r="F1077" s="58">
        <f t="shared" si="14"/>
        <v>4.5496749999999997</v>
      </c>
      <c r="G1077" s="58">
        <f t="shared" si="14"/>
        <v>4.5554250000000005</v>
      </c>
      <c r="H1077" s="58">
        <f t="shared" si="14"/>
        <v>8.4660416666666674</v>
      </c>
      <c r="I1077" s="58">
        <f t="shared" si="14"/>
        <v>8.4717749999999992</v>
      </c>
      <c r="J1077" s="58">
        <f t="shared" si="14"/>
        <v>8.4660416666666674</v>
      </c>
      <c r="K1077" s="58">
        <f t="shared" si="14"/>
        <v>8.4717749999999992</v>
      </c>
      <c r="L1077" s="58">
        <f t="shared" si="14"/>
        <v>4.5496749999999997</v>
      </c>
      <c r="M1077" s="58">
        <f t="shared" si="14"/>
        <v>4.5554250000000005</v>
      </c>
      <c r="N1077" s="58">
        <f t="shared" si="14"/>
        <v>4.5496749999999997</v>
      </c>
      <c r="O1077" s="58">
        <f t="shared" si="14"/>
        <v>4.5554250000000005</v>
      </c>
    </row>
    <row r="1078" spans="1:15" ht="15">
      <c r="A1078" s="3">
        <v>2029</v>
      </c>
      <c r="B1078" s="58">
        <f t="shared" ref="B1078:O1078" si="15">AVERAGE(B198:B209)</f>
        <v>3.9070166666666659</v>
      </c>
      <c r="C1078" s="58">
        <f t="shared" si="15"/>
        <v>3.9070166666666659</v>
      </c>
      <c r="D1078" s="58">
        <f t="shared" si="15"/>
        <v>3.9117000000000002</v>
      </c>
      <c r="E1078" s="58">
        <f t="shared" si="15"/>
        <v>4.6572416666666667</v>
      </c>
      <c r="F1078" s="58">
        <f t="shared" si="15"/>
        <v>4.6572416666666667</v>
      </c>
      <c r="G1078" s="58">
        <f t="shared" si="15"/>
        <v>4.6629916666666666</v>
      </c>
      <c r="H1078" s="58">
        <f t="shared" si="15"/>
        <v>8.6801083333333331</v>
      </c>
      <c r="I1078" s="58">
        <f t="shared" si="15"/>
        <v>8.6858583333333339</v>
      </c>
      <c r="J1078" s="58">
        <f t="shared" si="15"/>
        <v>8.6801083333333331</v>
      </c>
      <c r="K1078" s="58">
        <f t="shared" si="15"/>
        <v>8.6858583333333339</v>
      </c>
      <c r="L1078" s="58">
        <f t="shared" si="15"/>
        <v>4.6572416666666667</v>
      </c>
      <c r="M1078" s="58">
        <f t="shared" si="15"/>
        <v>4.6629916666666666</v>
      </c>
      <c r="N1078" s="58">
        <f t="shared" si="15"/>
        <v>4.6572416666666667</v>
      </c>
      <c r="O1078" s="58">
        <f t="shared" si="15"/>
        <v>4.6629916666666666</v>
      </c>
    </row>
    <row r="1079" spans="1:15" ht="15">
      <c r="A1079" s="3">
        <v>2030</v>
      </c>
      <c r="B1079" s="58">
        <f t="shared" ref="B1079:O1079" si="16">AVERAGE(B210:B221)</f>
        <v>3.998324999999999</v>
      </c>
      <c r="C1079" s="58">
        <f t="shared" si="16"/>
        <v>3.998324999999999</v>
      </c>
      <c r="D1079" s="58">
        <f t="shared" si="16"/>
        <v>4.0030000000000001</v>
      </c>
      <c r="E1079" s="58">
        <f t="shared" si="16"/>
        <v>4.7692916666666667</v>
      </c>
      <c r="F1079" s="58">
        <f t="shared" si="16"/>
        <v>4.7692916666666667</v>
      </c>
      <c r="G1079" s="58">
        <f t="shared" si="16"/>
        <v>4.7750250000000003</v>
      </c>
      <c r="H1079" s="58">
        <f t="shared" si="16"/>
        <v>8.8996166666666667</v>
      </c>
      <c r="I1079" s="58">
        <f t="shared" si="16"/>
        <v>8.9053500000000003</v>
      </c>
      <c r="J1079" s="58">
        <f t="shared" si="16"/>
        <v>8.8996166666666667</v>
      </c>
      <c r="K1079" s="58">
        <f t="shared" si="16"/>
        <v>8.9053500000000003</v>
      </c>
      <c r="L1079" s="58">
        <f t="shared" si="16"/>
        <v>4.7692916666666667</v>
      </c>
      <c r="M1079" s="58">
        <f t="shared" si="16"/>
        <v>4.7750250000000003</v>
      </c>
      <c r="N1079" s="58">
        <f t="shared" si="16"/>
        <v>4.7692916666666667</v>
      </c>
      <c r="O1079" s="58">
        <f t="shared" si="16"/>
        <v>4.7750250000000003</v>
      </c>
    </row>
    <row r="1080" spans="1:15" ht="15">
      <c r="A1080" s="3">
        <v>2031</v>
      </c>
      <c r="B1080" s="58">
        <f t="shared" ref="B1080:O1080" si="17">AVERAGE(B222:B233)</f>
        <v>4.0933833333333327</v>
      </c>
      <c r="C1080" s="58">
        <f t="shared" si="17"/>
        <v>4.0933833333333327</v>
      </c>
      <c r="D1080" s="58">
        <f t="shared" si="17"/>
        <v>4.0980583333333334</v>
      </c>
      <c r="E1080" s="58">
        <f t="shared" si="17"/>
        <v>4.915375</v>
      </c>
      <c r="F1080" s="58">
        <f t="shared" si="17"/>
        <v>4.915375</v>
      </c>
      <c r="G1080" s="58">
        <f t="shared" si="17"/>
        <v>4.9211166666666664</v>
      </c>
      <c r="H1080" s="58">
        <f t="shared" si="17"/>
        <v>9.1246750000000016</v>
      </c>
      <c r="I1080" s="58">
        <f t="shared" si="17"/>
        <v>9.1304083333333335</v>
      </c>
      <c r="J1080" s="58">
        <f t="shared" si="17"/>
        <v>9.1246750000000016</v>
      </c>
      <c r="K1080" s="58">
        <f t="shared" si="17"/>
        <v>9.1304083333333335</v>
      </c>
      <c r="L1080" s="58">
        <f t="shared" si="17"/>
        <v>4.915375</v>
      </c>
      <c r="M1080" s="58">
        <f t="shared" si="17"/>
        <v>4.9211166666666664</v>
      </c>
      <c r="N1080" s="58">
        <f t="shared" si="17"/>
        <v>4.915375</v>
      </c>
      <c r="O1080" s="58">
        <f t="shared" si="17"/>
        <v>4.9211166666666664</v>
      </c>
    </row>
    <row r="1081" spans="1:15" ht="15">
      <c r="A1081" s="3">
        <v>2032</v>
      </c>
      <c r="B1081" s="58">
        <f t="shared" ref="B1081:O1081" si="18">AVERAGE(B234:B245)</f>
        <v>4.1982249999999999</v>
      </c>
      <c r="C1081" s="58">
        <f t="shared" si="18"/>
        <v>4.1982249999999999</v>
      </c>
      <c r="D1081" s="58">
        <f t="shared" si="18"/>
        <v>4.2029000000000005</v>
      </c>
      <c r="E1081" s="58">
        <f t="shared" si="18"/>
        <v>5.0666166666666665</v>
      </c>
      <c r="F1081" s="58">
        <f t="shared" si="18"/>
        <v>5.0666166666666665</v>
      </c>
      <c r="G1081" s="58">
        <f t="shared" si="18"/>
        <v>5.0723583333333337</v>
      </c>
      <c r="H1081" s="58">
        <f t="shared" si="18"/>
        <v>9.3554250000000021</v>
      </c>
      <c r="I1081" s="58">
        <f t="shared" si="18"/>
        <v>9.3611583333333321</v>
      </c>
      <c r="J1081" s="58">
        <f t="shared" si="18"/>
        <v>9.3554250000000021</v>
      </c>
      <c r="K1081" s="58">
        <f t="shared" si="18"/>
        <v>9.3611583333333321</v>
      </c>
      <c r="L1081" s="58">
        <f t="shared" si="18"/>
        <v>5.0666166666666665</v>
      </c>
      <c r="M1081" s="58">
        <f t="shared" si="18"/>
        <v>5.0723583333333337</v>
      </c>
      <c r="N1081" s="58">
        <f t="shared" si="18"/>
        <v>5.0666166666666665</v>
      </c>
      <c r="O1081" s="58">
        <f t="shared" si="18"/>
        <v>5.0723583333333337</v>
      </c>
    </row>
    <row r="1082" spans="1:15" ht="15">
      <c r="A1082" s="3">
        <v>2033</v>
      </c>
      <c r="B1082" s="58">
        <f t="shared" ref="B1082:O1082" si="19">AVERAGE(B246:B257)</f>
        <v>4.3121749999999999</v>
      </c>
      <c r="C1082" s="58">
        <f t="shared" si="19"/>
        <v>4.3121749999999999</v>
      </c>
      <c r="D1082" s="58">
        <f t="shared" si="19"/>
        <v>4.3168583333333332</v>
      </c>
      <c r="E1082" s="58">
        <f t="shared" si="19"/>
        <v>5.2221833333333327</v>
      </c>
      <c r="F1082" s="58">
        <f t="shared" si="19"/>
        <v>5.2221833333333327</v>
      </c>
      <c r="G1082" s="58">
        <f t="shared" si="19"/>
        <v>5.2279416666666672</v>
      </c>
      <c r="H1082" s="58">
        <f t="shared" si="19"/>
        <v>9.5920166666666677</v>
      </c>
      <c r="I1082" s="58">
        <f t="shared" si="19"/>
        <v>9.5977499999999996</v>
      </c>
      <c r="J1082" s="58">
        <f t="shared" si="19"/>
        <v>9.5920166666666677</v>
      </c>
      <c r="K1082" s="58">
        <f t="shared" si="19"/>
        <v>9.5977499999999996</v>
      </c>
      <c r="L1082" s="58">
        <f t="shared" si="19"/>
        <v>5.2221833333333327</v>
      </c>
      <c r="M1082" s="58">
        <f t="shared" si="19"/>
        <v>5.2279416666666672</v>
      </c>
      <c r="N1082" s="58">
        <f t="shared" si="19"/>
        <v>5.2221833333333327</v>
      </c>
      <c r="O1082" s="58">
        <f t="shared" si="19"/>
        <v>5.2279416666666672</v>
      </c>
    </row>
    <row r="1083" spans="1:15" ht="15">
      <c r="A1083" s="3">
        <v>2034</v>
      </c>
      <c r="B1083" s="58">
        <f t="shared" ref="B1083:O1083" si="20">AVERAGE(B258:B269)</f>
        <v>4.4314749999999998</v>
      </c>
      <c r="C1083" s="58">
        <f t="shared" si="20"/>
        <v>4.4314749999999998</v>
      </c>
      <c r="D1083" s="58">
        <f t="shared" si="20"/>
        <v>4.4361500000000005</v>
      </c>
      <c r="E1083" s="58">
        <f t="shared" si="20"/>
        <v>5.3829916666666664</v>
      </c>
      <c r="F1083" s="58">
        <f t="shared" si="20"/>
        <v>5.3829916666666664</v>
      </c>
      <c r="G1083" s="58">
        <f t="shared" si="20"/>
        <v>5.388725</v>
      </c>
      <c r="H1083" s="58">
        <f t="shared" si="20"/>
        <v>9.8345833333333328</v>
      </c>
      <c r="I1083" s="58">
        <f t="shared" si="20"/>
        <v>9.8403333333333318</v>
      </c>
      <c r="J1083" s="58">
        <f t="shared" si="20"/>
        <v>9.8345833333333328</v>
      </c>
      <c r="K1083" s="58">
        <f t="shared" si="20"/>
        <v>9.8403333333333318</v>
      </c>
      <c r="L1083" s="58">
        <f t="shared" si="20"/>
        <v>5.3829916666666664</v>
      </c>
      <c r="M1083" s="58">
        <f t="shared" si="20"/>
        <v>5.388725</v>
      </c>
      <c r="N1083" s="58">
        <f t="shared" si="20"/>
        <v>5.3829916666666664</v>
      </c>
      <c r="O1083" s="58">
        <f t="shared" si="20"/>
        <v>5.388725</v>
      </c>
    </row>
    <row r="1084" spans="1:15" ht="15">
      <c r="A1084" s="3">
        <v>2035</v>
      </c>
      <c r="B1084" s="58">
        <f t="shared" ref="B1084:O1084" si="21">AVERAGE(B270:B281)</f>
        <v>4.5522083333333327</v>
      </c>
      <c r="C1084" s="58">
        <f t="shared" si="21"/>
        <v>4.5522083333333327</v>
      </c>
      <c r="D1084" s="58">
        <f t="shared" si="21"/>
        <v>4.5568833333333325</v>
      </c>
      <c r="E1084" s="58">
        <f t="shared" si="21"/>
        <v>5.5499833333333326</v>
      </c>
      <c r="F1084" s="58">
        <f t="shared" si="21"/>
        <v>5.5499833333333326</v>
      </c>
      <c r="G1084" s="58">
        <f t="shared" si="21"/>
        <v>5.5557083333333326</v>
      </c>
      <c r="H1084" s="58">
        <f t="shared" si="21"/>
        <v>10.083266666666667</v>
      </c>
      <c r="I1084" s="58">
        <f t="shared" si="21"/>
        <v>10.089024999999999</v>
      </c>
      <c r="J1084" s="58">
        <f t="shared" si="21"/>
        <v>10.083266666666667</v>
      </c>
      <c r="K1084" s="58">
        <f t="shared" si="21"/>
        <v>10.089024999999999</v>
      </c>
      <c r="L1084" s="58">
        <f t="shared" si="21"/>
        <v>5.5499833333333326</v>
      </c>
      <c r="M1084" s="58">
        <f t="shared" si="21"/>
        <v>5.5557083333333326</v>
      </c>
      <c r="N1084" s="58">
        <f t="shared" si="21"/>
        <v>5.5499833333333326</v>
      </c>
      <c r="O1084" s="58">
        <f t="shared" si="21"/>
        <v>5.5557083333333326</v>
      </c>
    </row>
    <row r="1085" spans="1:15" ht="15">
      <c r="A1085" s="3">
        <v>2036</v>
      </c>
      <c r="B1085" s="58">
        <f t="shared" ref="B1085:O1085" si="22">AVERAGE(B282:B293)</f>
        <v>4.6735916666666668</v>
      </c>
      <c r="C1085" s="58">
        <f t="shared" si="22"/>
        <v>4.6735916666666668</v>
      </c>
      <c r="D1085" s="58">
        <f t="shared" si="22"/>
        <v>4.6782666666666666</v>
      </c>
      <c r="E1085" s="58">
        <f t="shared" si="22"/>
        <v>5.7116166666666652</v>
      </c>
      <c r="F1085" s="58">
        <f t="shared" si="22"/>
        <v>5.7116166666666652</v>
      </c>
      <c r="G1085" s="58">
        <f t="shared" si="22"/>
        <v>5.717366666666666</v>
      </c>
      <c r="H1085" s="58">
        <f t="shared" si="22"/>
        <v>10.338275000000001</v>
      </c>
      <c r="I1085" s="58">
        <f t="shared" si="22"/>
        <v>10.344016666666667</v>
      </c>
      <c r="J1085" s="58">
        <f t="shared" si="22"/>
        <v>10.338275000000001</v>
      </c>
      <c r="K1085" s="58">
        <f t="shared" si="22"/>
        <v>10.344016666666667</v>
      </c>
      <c r="L1085" s="58">
        <f t="shared" si="22"/>
        <v>5.7116166666666652</v>
      </c>
      <c r="M1085" s="58">
        <f t="shared" si="22"/>
        <v>5.717366666666666</v>
      </c>
      <c r="N1085" s="58">
        <f t="shared" si="22"/>
        <v>5.7116166666666652</v>
      </c>
      <c r="O1085" s="58">
        <f t="shared" si="22"/>
        <v>5.717366666666666</v>
      </c>
    </row>
    <row r="1086" spans="1:15" ht="15">
      <c r="A1086" s="3">
        <v>2037</v>
      </c>
      <c r="B1086" s="58">
        <f t="shared" ref="B1086:O1086" si="23">AVERAGE(B294:B305)</f>
        <v>4.7968249999999992</v>
      </c>
      <c r="C1086" s="58">
        <f t="shared" si="23"/>
        <v>4.7968249999999992</v>
      </c>
      <c r="D1086" s="58">
        <f t="shared" si="23"/>
        <v>4.8014916666666663</v>
      </c>
      <c r="E1086" s="58">
        <f t="shared" si="23"/>
        <v>5.8677333333333328</v>
      </c>
      <c r="F1086" s="58">
        <f t="shared" si="23"/>
        <v>5.8677333333333328</v>
      </c>
      <c r="G1086" s="58">
        <f t="shared" si="23"/>
        <v>5.8734833333333327</v>
      </c>
      <c r="H1086" s="58">
        <f t="shared" si="23"/>
        <v>10.599708333333334</v>
      </c>
      <c r="I1086" s="58">
        <f t="shared" si="23"/>
        <v>10.605458333333333</v>
      </c>
      <c r="J1086" s="58">
        <f t="shared" si="23"/>
        <v>10.599708333333334</v>
      </c>
      <c r="K1086" s="58">
        <f t="shared" si="23"/>
        <v>10.605458333333333</v>
      </c>
      <c r="L1086" s="58">
        <f t="shared" si="23"/>
        <v>5.8677333333333328</v>
      </c>
      <c r="M1086" s="58">
        <f t="shared" si="23"/>
        <v>5.8734833333333327</v>
      </c>
      <c r="N1086" s="58">
        <f t="shared" si="23"/>
        <v>5.8677333333333328</v>
      </c>
      <c r="O1086" s="58">
        <f t="shared" si="23"/>
        <v>5.8734833333333327</v>
      </c>
    </row>
    <row r="1087" spans="1:15" ht="15">
      <c r="A1087" s="3">
        <v>2038</v>
      </c>
      <c r="B1087" s="58">
        <f t="shared" ref="B1087:O1087" si="24">AVERAGE(B306:B317)</f>
        <v>4.9241666666666664</v>
      </c>
      <c r="C1087" s="58">
        <f t="shared" si="24"/>
        <v>4.9241666666666664</v>
      </c>
      <c r="D1087" s="58">
        <f t="shared" si="24"/>
        <v>4.9288583333333325</v>
      </c>
      <c r="E1087" s="58">
        <f t="shared" si="24"/>
        <v>6.0242416666666658</v>
      </c>
      <c r="F1087" s="58">
        <f t="shared" si="24"/>
        <v>6.0242416666666658</v>
      </c>
      <c r="G1087" s="58">
        <f t="shared" si="24"/>
        <v>6.0299916666666666</v>
      </c>
      <c r="H1087" s="58">
        <f t="shared" si="24"/>
        <v>10.867766666666668</v>
      </c>
      <c r="I1087" s="58">
        <f t="shared" si="24"/>
        <v>10.8735</v>
      </c>
      <c r="J1087" s="58">
        <f t="shared" si="24"/>
        <v>10.867766666666668</v>
      </c>
      <c r="K1087" s="58">
        <f t="shared" si="24"/>
        <v>10.8735</v>
      </c>
      <c r="L1087" s="58">
        <f t="shared" si="24"/>
        <v>6.0242416666666658</v>
      </c>
      <c r="M1087" s="58">
        <f t="shared" si="24"/>
        <v>6.0299916666666666</v>
      </c>
      <c r="N1087" s="58">
        <f t="shared" si="24"/>
        <v>6.0242416666666658</v>
      </c>
      <c r="O1087" s="58">
        <f t="shared" si="24"/>
        <v>6.0299916666666666</v>
      </c>
    </row>
    <row r="1088" spans="1:15" ht="15">
      <c r="A1088" s="3">
        <v>2039</v>
      </c>
      <c r="B1088" s="58">
        <f t="shared" ref="B1088:O1088" si="25">AVERAGE(B318:B329)</f>
        <v>5.0543916666666666</v>
      </c>
      <c r="C1088" s="58">
        <f t="shared" si="25"/>
        <v>5.0543916666666666</v>
      </c>
      <c r="D1088" s="58">
        <f t="shared" si="25"/>
        <v>5.059075</v>
      </c>
      <c r="E1088" s="58">
        <f t="shared" si="25"/>
        <v>6.1721166666666667</v>
      </c>
      <c r="F1088" s="58">
        <f t="shared" si="25"/>
        <v>6.1721166666666667</v>
      </c>
      <c r="G1088" s="58">
        <f t="shared" si="25"/>
        <v>6.1778666666666666</v>
      </c>
      <c r="H1088" s="58">
        <f t="shared" si="25"/>
        <v>11.142583333333333</v>
      </c>
      <c r="I1088" s="58">
        <f t="shared" si="25"/>
        <v>11.148341666666667</v>
      </c>
      <c r="J1088" s="58">
        <f t="shared" si="25"/>
        <v>11.142583333333333</v>
      </c>
      <c r="K1088" s="58">
        <f t="shared" si="25"/>
        <v>11.148341666666667</v>
      </c>
      <c r="L1088" s="58">
        <f t="shared" si="25"/>
        <v>6.1721166666666667</v>
      </c>
      <c r="M1088" s="58">
        <f t="shared" si="25"/>
        <v>6.1778666666666666</v>
      </c>
      <c r="N1088" s="58">
        <f t="shared" si="25"/>
        <v>6.1721166666666667</v>
      </c>
      <c r="O1088" s="58">
        <f t="shared" si="25"/>
        <v>6.1778666666666666</v>
      </c>
    </row>
    <row r="1089" spans="1:15" ht="15">
      <c r="A1089" s="3">
        <v>2040</v>
      </c>
      <c r="B1089" s="58">
        <f t="shared" ref="B1089:O1089" si="26">AVERAGE(B330:B341)</f>
        <v>5.1875999999999998</v>
      </c>
      <c r="C1089" s="58">
        <f t="shared" si="26"/>
        <v>5.1875999999999998</v>
      </c>
      <c r="D1089" s="58">
        <f t="shared" si="26"/>
        <v>5.1922666666666659</v>
      </c>
      <c r="E1089" s="58">
        <f t="shared" si="26"/>
        <v>6.3228333333333326</v>
      </c>
      <c r="F1089" s="58">
        <f t="shared" si="26"/>
        <v>6.3228333333333326</v>
      </c>
      <c r="G1089" s="58">
        <f t="shared" si="26"/>
        <v>6.3285750000000007</v>
      </c>
      <c r="H1089" s="58">
        <f t="shared" si="26"/>
        <v>11.424391666666667</v>
      </c>
      <c r="I1089" s="58">
        <f t="shared" si="26"/>
        <v>11.430125000000002</v>
      </c>
      <c r="J1089" s="58">
        <f t="shared" si="26"/>
        <v>11.424391666666667</v>
      </c>
      <c r="K1089" s="58">
        <f t="shared" si="26"/>
        <v>11.430125000000002</v>
      </c>
      <c r="L1089" s="58">
        <f t="shared" si="26"/>
        <v>6.3228333333333326</v>
      </c>
      <c r="M1089" s="58">
        <f t="shared" si="26"/>
        <v>6.3285750000000007</v>
      </c>
      <c r="N1089" s="58">
        <f t="shared" si="26"/>
        <v>6.3228333333333326</v>
      </c>
      <c r="O1089" s="58">
        <f t="shared" si="26"/>
        <v>6.3285750000000007</v>
      </c>
    </row>
    <row r="1090" spans="1:15" ht="15">
      <c r="A1090" s="3">
        <v>2041</v>
      </c>
      <c r="B1090" s="58">
        <f t="shared" ref="B1090:O1090" si="27">AVERAGE(B342:B353)</f>
        <v>5.324349999999999</v>
      </c>
      <c r="C1090" s="58">
        <f t="shared" si="27"/>
        <v>5.324349999999999</v>
      </c>
      <c r="D1090" s="58">
        <f t="shared" si="27"/>
        <v>5.329016666666667</v>
      </c>
      <c r="E1090" s="58">
        <f t="shared" si="27"/>
        <v>6.4772500000000006</v>
      </c>
      <c r="F1090" s="58">
        <f t="shared" si="27"/>
        <v>6.4772500000000006</v>
      </c>
      <c r="G1090" s="58">
        <f t="shared" si="27"/>
        <v>6.4830083333333341</v>
      </c>
      <c r="H1090" s="58">
        <f t="shared" si="27"/>
        <v>11.713291666666668</v>
      </c>
      <c r="I1090" s="58">
        <f t="shared" si="27"/>
        <v>11.719025</v>
      </c>
      <c r="J1090" s="58">
        <f t="shared" si="27"/>
        <v>11.713291666666668</v>
      </c>
      <c r="K1090" s="58">
        <f t="shared" si="27"/>
        <v>11.719025</v>
      </c>
      <c r="L1090" s="58">
        <f t="shared" si="27"/>
        <v>6.4772500000000006</v>
      </c>
      <c r="M1090" s="58">
        <f t="shared" si="27"/>
        <v>6.4830083333333341</v>
      </c>
      <c r="N1090" s="58">
        <f t="shared" si="27"/>
        <v>6.4772500000000006</v>
      </c>
      <c r="O1090" s="58">
        <f t="shared" si="27"/>
        <v>6.4830083333333341</v>
      </c>
    </row>
    <row r="1091" spans="1:15" ht="15">
      <c r="A1091" s="3">
        <v>2042</v>
      </c>
      <c r="B1091" s="58">
        <f t="shared" ref="B1091:O1091" si="28">AVERAGE(B354:B365)</f>
        <v>5.4647166666666651</v>
      </c>
      <c r="C1091" s="58">
        <f t="shared" si="28"/>
        <v>5.4647166666666651</v>
      </c>
      <c r="D1091" s="58">
        <f t="shared" si="28"/>
        <v>5.4693916666666667</v>
      </c>
      <c r="E1091" s="58">
        <f t="shared" si="28"/>
        <v>6.6354583333333323</v>
      </c>
      <c r="F1091" s="58">
        <f t="shared" si="28"/>
        <v>6.6354583333333323</v>
      </c>
      <c r="G1091" s="58">
        <f t="shared" si="28"/>
        <v>6.6411999999999987</v>
      </c>
      <c r="H1091" s="58">
        <f t="shared" si="28"/>
        <v>12.009483333333334</v>
      </c>
      <c r="I1091" s="58">
        <f t="shared" si="28"/>
        <v>12.015216666666667</v>
      </c>
      <c r="J1091" s="58">
        <f t="shared" si="28"/>
        <v>12.009483333333334</v>
      </c>
      <c r="K1091" s="58">
        <f t="shared" si="28"/>
        <v>12.015216666666667</v>
      </c>
      <c r="L1091" s="58">
        <f t="shared" si="28"/>
        <v>6.6354583333333323</v>
      </c>
      <c r="M1091" s="58">
        <f t="shared" si="28"/>
        <v>6.6411999999999987</v>
      </c>
      <c r="N1091" s="58">
        <f t="shared" si="28"/>
        <v>6.6354583333333323</v>
      </c>
      <c r="O1091" s="58">
        <f t="shared" si="28"/>
        <v>6.6411999999999987</v>
      </c>
    </row>
    <row r="1092" spans="1:15" ht="15">
      <c r="A1092" s="3">
        <v>2043</v>
      </c>
      <c r="B1092" s="58">
        <f t="shared" ref="B1092:O1092" si="29">AVERAGE(B366:B377)</f>
        <v>5.6088500000000003</v>
      </c>
      <c r="C1092" s="58">
        <f t="shared" si="29"/>
        <v>5.6088500000000003</v>
      </c>
      <c r="D1092" s="58">
        <f t="shared" si="29"/>
        <v>5.6135166666666665</v>
      </c>
      <c r="E1092" s="58">
        <f t="shared" si="29"/>
        <v>6.7975583333333347</v>
      </c>
      <c r="F1092" s="58">
        <f t="shared" si="29"/>
        <v>6.7975583333333347</v>
      </c>
      <c r="G1092" s="58">
        <f t="shared" si="29"/>
        <v>6.8033000000000001</v>
      </c>
      <c r="H1092" s="58">
        <f t="shared" si="29"/>
        <v>12.313191666666667</v>
      </c>
      <c r="I1092" s="58">
        <f t="shared" si="29"/>
        <v>12.318925</v>
      </c>
      <c r="J1092" s="58">
        <f t="shared" si="29"/>
        <v>12.313191666666667</v>
      </c>
      <c r="K1092" s="58">
        <f t="shared" si="29"/>
        <v>12.318925</v>
      </c>
      <c r="L1092" s="58">
        <f t="shared" si="29"/>
        <v>6.7975583333333347</v>
      </c>
      <c r="M1092" s="58">
        <f t="shared" si="29"/>
        <v>6.8033000000000001</v>
      </c>
      <c r="N1092" s="58">
        <f t="shared" si="29"/>
        <v>6.7975583333333347</v>
      </c>
      <c r="O1092" s="58">
        <f t="shared" si="29"/>
        <v>6.8033000000000001</v>
      </c>
    </row>
    <row r="1093" spans="1:15" ht="15">
      <c r="A1093" s="3">
        <v>2044</v>
      </c>
      <c r="B1093" s="58">
        <f t="shared" ref="B1093:O1093" si="30">AVERAGE(B378:B389)</f>
        <v>5.7567750000000011</v>
      </c>
      <c r="C1093" s="58">
        <f t="shared" si="30"/>
        <v>5.7567750000000011</v>
      </c>
      <c r="D1093" s="58">
        <f t="shared" si="30"/>
        <v>5.7614666666666672</v>
      </c>
      <c r="E1093" s="58">
        <f t="shared" si="30"/>
        <v>6.9636083333333332</v>
      </c>
      <c r="F1093" s="58">
        <f t="shared" si="30"/>
        <v>6.9636083333333332</v>
      </c>
      <c r="G1093" s="58">
        <f t="shared" si="30"/>
        <v>6.9693583333333331</v>
      </c>
      <c r="H1093" s="58">
        <f t="shared" si="30"/>
        <v>12.624566666666666</v>
      </c>
      <c r="I1093" s="58">
        <f t="shared" si="30"/>
        <v>12.630308333333334</v>
      </c>
      <c r="J1093" s="58">
        <f t="shared" si="30"/>
        <v>12.624566666666666</v>
      </c>
      <c r="K1093" s="58">
        <f t="shared" si="30"/>
        <v>12.630308333333334</v>
      </c>
      <c r="L1093" s="58">
        <f t="shared" si="30"/>
        <v>6.9636083333333332</v>
      </c>
      <c r="M1093" s="58">
        <f t="shared" si="30"/>
        <v>6.9693583333333331</v>
      </c>
      <c r="N1093" s="58">
        <f t="shared" si="30"/>
        <v>6.9636083333333332</v>
      </c>
      <c r="O1093" s="58">
        <f t="shared" si="30"/>
        <v>6.9693583333333331</v>
      </c>
    </row>
    <row r="1094" spans="1:15" ht="15">
      <c r="A1094" s="3">
        <v>2045</v>
      </c>
      <c r="B1094" s="58">
        <f t="shared" ref="B1094:O1094" si="31">AVERAGE(B390:B401)</f>
        <v>5.9086583333333325</v>
      </c>
      <c r="C1094" s="58">
        <f t="shared" si="31"/>
        <v>5.9086583333333325</v>
      </c>
      <c r="D1094" s="58">
        <f t="shared" si="31"/>
        <v>5.913333333333334</v>
      </c>
      <c r="E1094" s="58">
        <f t="shared" si="31"/>
        <v>7.13375</v>
      </c>
      <c r="F1094" s="58">
        <f t="shared" si="31"/>
        <v>7.13375</v>
      </c>
      <c r="G1094" s="58">
        <f t="shared" si="31"/>
        <v>7.1394833333333336</v>
      </c>
      <c r="H1094" s="58">
        <f t="shared" si="31"/>
        <v>12.943816666666665</v>
      </c>
      <c r="I1094" s="58">
        <f t="shared" si="31"/>
        <v>12.949558333333334</v>
      </c>
      <c r="J1094" s="58">
        <f t="shared" si="31"/>
        <v>12.943816666666665</v>
      </c>
      <c r="K1094" s="58">
        <f t="shared" si="31"/>
        <v>12.949558333333334</v>
      </c>
      <c r="L1094" s="58">
        <f t="shared" si="31"/>
        <v>7.13375</v>
      </c>
      <c r="M1094" s="58">
        <f t="shared" si="31"/>
        <v>7.1394833333333336</v>
      </c>
      <c r="N1094" s="58">
        <f t="shared" si="31"/>
        <v>7.13375</v>
      </c>
      <c r="O1094" s="58">
        <f t="shared" si="31"/>
        <v>7.1394833333333336</v>
      </c>
    </row>
    <row r="1095" spans="1:15" ht="15">
      <c r="A1095" s="3">
        <v>2046</v>
      </c>
      <c r="B1095" s="58">
        <f t="shared" ref="B1095:O1095" si="32">AVERAGE(B402:B413)</f>
        <v>6.0645833333333341</v>
      </c>
      <c r="C1095" s="58">
        <f t="shared" si="32"/>
        <v>6.0645833333333341</v>
      </c>
      <c r="D1095" s="58">
        <f t="shared" si="32"/>
        <v>6.0692666666666675</v>
      </c>
      <c r="E1095" s="58">
        <f t="shared" si="32"/>
        <v>7.308083333333335</v>
      </c>
      <c r="F1095" s="58">
        <f t="shared" si="32"/>
        <v>7.308083333333335</v>
      </c>
      <c r="G1095" s="58">
        <f t="shared" si="32"/>
        <v>7.3138083333333341</v>
      </c>
      <c r="H1095" s="58">
        <f t="shared" si="32"/>
        <v>13.271141666666667</v>
      </c>
      <c r="I1095" s="58">
        <f t="shared" si="32"/>
        <v>13.27688333333333</v>
      </c>
      <c r="J1095" s="58">
        <f t="shared" si="32"/>
        <v>13.271141666666667</v>
      </c>
      <c r="K1095" s="58">
        <f t="shared" si="32"/>
        <v>13.27688333333333</v>
      </c>
      <c r="L1095" s="58">
        <f t="shared" si="32"/>
        <v>7.308083333333335</v>
      </c>
      <c r="M1095" s="58">
        <f t="shared" si="32"/>
        <v>7.3138083333333341</v>
      </c>
      <c r="N1095" s="58">
        <f t="shared" si="32"/>
        <v>7.308083333333335</v>
      </c>
      <c r="O1095" s="58">
        <f t="shared" si="32"/>
        <v>7.3138083333333341</v>
      </c>
    </row>
    <row r="1096" spans="1:15" ht="15">
      <c r="A1096" s="3">
        <v>2047</v>
      </c>
      <c r="B1096" s="58">
        <f t="shared" ref="B1096:O1096" si="33">AVERAGE(B414:B425)</f>
        <v>6.2246583333333332</v>
      </c>
      <c r="C1096" s="58">
        <f t="shared" si="33"/>
        <v>6.2246583333333332</v>
      </c>
      <c r="D1096" s="58">
        <f t="shared" si="33"/>
        <v>6.2293500000000002</v>
      </c>
      <c r="E1096" s="58">
        <f t="shared" si="33"/>
        <v>7.4866750000000009</v>
      </c>
      <c r="F1096" s="58">
        <f t="shared" si="33"/>
        <v>7.4866750000000009</v>
      </c>
      <c r="G1096" s="58">
        <f t="shared" si="33"/>
        <v>7.4924166666666672</v>
      </c>
      <c r="H1096" s="58">
        <f t="shared" si="33"/>
        <v>13.606758333333334</v>
      </c>
      <c r="I1096" s="58">
        <f t="shared" si="33"/>
        <v>13.612508333333333</v>
      </c>
      <c r="J1096" s="58">
        <f t="shared" si="33"/>
        <v>13.606758333333334</v>
      </c>
      <c r="K1096" s="58">
        <f t="shared" si="33"/>
        <v>13.612508333333333</v>
      </c>
      <c r="L1096" s="58">
        <f t="shared" si="33"/>
        <v>7.4866750000000009</v>
      </c>
      <c r="M1096" s="58">
        <f t="shared" si="33"/>
        <v>7.4924166666666672</v>
      </c>
      <c r="N1096" s="58">
        <f t="shared" si="33"/>
        <v>7.4866750000000009</v>
      </c>
      <c r="O1096" s="58">
        <f t="shared" si="33"/>
        <v>7.4924166666666672</v>
      </c>
    </row>
    <row r="1097" spans="1:15" ht="15">
      <c r="A1097" s="3">
        <v>2048</v>
      </c>
      <c r="B1097" s="58">
        <f t="shared" ref="B1097:O1097" si="34">AVERAGE(B426:B437)</f>
        <v>6.3890083333333338</v>
      </c>
      <c r="C1097" s="58">
        <f t="shared" si="34"/>
        <v>6.3890083333333338</v>
      </c>
      <c r="D1097" s="58">
        <f t="shared" si="34"/>
        <v>6.3936999999999991</v>
      </c>
      <c r="E1097" s="58">
        <f t="shared" si="34"/>
        <v>7.6696083333333327</v>
      </c>
      <c r="F1097" s="58">
        <f t="shared" si="34"/>
        <v>7.6696083333333327</v>
      </c>
      <c r="G1097" s="58">
        <f t="shared" si="34"/>
        <v>7.6753750000000016</v>
      </c>
      <c r="H1097" s="58">
        <f t="shared" si="34"/>
        <v>13.950850000000001</v>
      </c>
      <c r="I1097" s="58">
        <f t="shared" si="34"/>
        <v>13.9566</v>
      </c>
      <c r="J1097" s="58">
        <f t="shared" si="34"/>
        <v>13.950850000000001</v>
      </c>
      <c r="K1097" s="58">
        <f t="shared" si="34"/>
        <v>13.9566</v>
      </c>
      <c r="L1097" s="58">
        <f t="shared" si="34"/>
        <v>7.6696083333333327</v>
      </c>
      <c r="M1097" s="58">
        <f t="shared" si="34"/>
        <v>7.6753750000000016</v>
      </c>
      <c r="N1097" s="58">
        <f t="shared" si="34"/>
        <v>7.6696083333333327</v>
      </c>
      <c r="O1097" s="58">
        <f t="shared" si="34"/>
        <v>7.6753750000000016</v>
      </c>
    </row>
    <row r="1098" spans="1:15" ht="15">
      <c r="A1098" s="3">
        <v>2049</v>
      </c>
      <c r="B1098" s="58">
        <f t="shared" ref="B1098:O1098" si="35">AVERAGE(B438:B449)</f>
        <v>6.5577333333333323</v>
      </c>
      <c r="C1098" s="58">
        <f t="shared" si="35"/>
        <v>6.5577333333333323</v>
      </c>
      <c r="D1098" s="58">
        <f t="shared" si="35"/>
        <v>6.5624166666666675</v>
      </c>
      <c r="E1098" s="58">
        <f t="shared" si="35"/>
        <v>7.8570916666666655</v>
      </c>
      <c r="F1098" s="58">
        <f t="shared" si="35"/>
        <v>7.8570916666666655</v>
      </c>
      <c r="G1098" s="58">
        <f t="shared" si="35"/>
        <v>7.8628333333333336</v>
      </c>
      <c r="H1098" s="58">
        <f t="shared" si="35"/>
        <v>14.303650000000005</v>
      </c>
      <c r="I1098" s="58">
        <f t="shared" si="35"/>
        <v>14.309408333333336</v>
      </c>
      <c r="J1098" s="58">
        <f t="shared" si="35"/>
        <v>14.303650000000005</v>
      </c>
      <c r="K1098" s="58">
        <f t="shared" si="35"/>
        <v>14.309408333333336</v>
      </c>
      <c r="L1098" s="58">
        <f t="shared" si="35"/>
        <v>7.8570916666666655</v>
      </c>
      <c r="M1098" s="58">
        <f t="shared" si="35"/>
        <v>7.8628333333333336</v>
      </c>
      <c r="N1098" s="58">
        <f t="shared" si="35"/>
        <v>7.8570916666666655</v>
      </c>
      <c r="O1098" s="58">
        <f t="shared" si="35"/>
        <v>7.8628333333333336</v>
      </c>
    </row>
    <row r="1099" spans="1:15" ht="15">
      <c r="A1099" s="3">
        <v>2050</v>
      </c>
      <c r="B1099" s="58">
        <f t="shared" ref="B1099:O1099" si="36">AVERAGE(B450:B461)</f>
        <v>6.7309499999999991</v>
      </c>
      <c r="C1099" s="58">
        <f t="shared" si="36"/>
        <v>6.7309499999999991</v>
      </c>
      <c r="D1099" s="58">
        <f t="shared" si="36"/>
        <v>6.735641666666667</v>
      </c>
      <c r="E1099" s="58">
        <f t="shared" si="36"/>
        <v>8.0491666666666681</v>
      </c>
      <c r="F1099" s="58">
        <f t="shared" si="36"/>
        <v>8.0491666666666681</v>
      </c>
      <c r="G1099" s="58">
        <f t="shared" si="36"/>
        <v>8.0548916666666681</v>
      </c>
      <c r="H1099" s="58">
        <f t="shared" si="36"/>
        <v>14.665374999999999</v>
      </c>
      <c r="I1099" s="58">
        <f t="shared" si="36"/>
        <v>14.671099999999997</v>
      </c>
      <c r="J1099" s="58">
        <f t="shared" si="36"/>
        <v>14.665374999999999</v>
      </c>
      <c r="K1099" s="58">
        <f t="shared" si="36"/>
        <v>14.671099999999997</v>
      </c>
      <c r="L1099" s="58">
        <f t="shared" si="36"/>
        <v>8.0491666666666681</v>
      </c>
      <c r="M1099" s="58">
        <f t="shared" si="36"/>
        <v>8.0548916666666681</v>
      </c>
      <c r="N1099" s="58">
        <f t="shared" si="36"/>
        <v>8.0491666666666681</v>
      </c>
      <c r="O1099" s="58">
        <f t="shared" si="36"/>
        <v>8.0548916666666681</v>
      </c>
    </row>
    <row r="1100" spans="1:15" ht="15">
      <c r="A1100" s="3">
        <v>2051</v>
      </c>
      <c r="B1100" s="58">
        <f t="shared" ref="B1100:O1100" si="37">AVERAGE(B462:B473)</f>
        <v>6.9087916666666667</v>
      </c>
      <c r="C1100" s="58">
        <f t="shared" si="37"/>
        <v>6.9087916666666667</v>
      </c>
      <c r="D1100" s="58">
        <f t="shared" si="37"/>
        <v>6.9134583333333337</v>
      </c>
      <c r="E1100" s="58">
        <f t="shared" si="37"/>
        <v>8.2459583333333324</v>
      </c>
      <c r="F1100" s="58">
        <f t="shared" si="37"/>
        <v>8.2459583333333324</v>
      </c>
      <c r="G1100" s="58">
        <f t="shared" si="37"/>
        <v>8.2516750000000041</v>
      </c>
      <c r="H1100" s="58">
        <f t="shared" si="37"/>
        <v>15.036225000000002</v>
      </c>
      <c r="I1100" s="58">
        <f t="shared" si="37"/>
        <v>15.041966666666667</v>
      </c>
      <c r="J1100" s="58">
        <f t="shared" si="37"/>
        <v>15.036225000000002</v>
      </c>
      <c r="K1100" s="58">
        <f t="shared" si="37"/>
        <v>15.041966666666667</v>
      </c>
      <c r="L1100" s="58">
        <f t="shared" si="37"/>
        <v>8.2459583333333324</v>
      </c>
      <c r="M1100" s="58">
        <f t="shared" si="37"/>
        <v>8.2516750000000041</v>
      </c>
      <c r="N1100" s="58">
        <f t="shared" si="37"/>
        <v>8.2459583333333324</v>
      </c>
      <c r="O1100" s="58">
        <f t="shared" si="37"/>
        <v>8.2516750000000041</v>
      </c>
    </row>
    <row r="1101" spans="1:15" ht="15">
      <c r="A1101" s="3">
        <v>2052</v>
      </c>
      <c r="B1101" s="58">
        <f t="shared" ref="B1101:O1101" si="38">AVERAGE(B474:B485)</f>
        <v>7.0913833333333329</v>
      </c>
      <c r="C1101" s="58">
        <f t="shared" si="38"/>
        <v>7.0913833333333329</v>
      </c>
      <c r="D1101" s="58">
        <f t="shared" si="38"/>
        <v>7.0960583333333345</v>
      </c>
      <c r="E1101" s="58">
        <f t="shared" si="38"/>
        <v>8.4475583333333333</v>
      </c>
      <c r="F1101" s="58">
        <f t="shared" si="38"/>
        <v>8.4475583333333333</v>
      </c>
      <c r="G1101" s="58">
        <f t="shared" si="38"/>
        <v>8.4532916666666669</v>
      </c>
      <c r="H1101" s="58">
        <f t="shared" si="38"/>
        <v>15.416466666666667</v>
      </c>
      <c r="I1101" s="58">
        <f t="shared" si="38"/>
        <v>15.422208333333332</v>
      </c>
      <c r="J1101" s="58">
        <f t="shared" si="38"/>
        <v>15.416466666666667</v>
      </c>
      <c r="K1101" s="58">
        <f t="shared" si="38"/>
        <v>15.422208333333332</v>
      </c>
      <c r="L1101" s="58">
        <f t="shared" si="38"/>
        <v>8.4475583333333333</v>
      </c>
      <c r="M1101" s="58">
        <f t="shared" si="38"/>
        <v>8.4532916666666669</v>
      </c>
      <c r="N1101" s="58">
        <f t="shared" si="38"/>
        <v>8.4475583333333333</v>
      </c>
      <c r="O1101" s="58">
        <f t="shared" si="38"/>
        <v>8.4532916666666669</v>
      </c>
    </row>
    <row r="1102" spans="1:15" ht="15">
      <c r="A1102" s="3">
        <v>2053</v>
      </c>
      <c r="B1102" s="58">
        <f t="shared" ref="B1102:O1102" si="39">AVERAGE(B486:B497)</f>
        <v>7.2788166666666667</v>
      </c>
      <c r="C1102" s="58">
        <f t="shared" si="39"/>
        <v>7.2788166666666667</v>
      </c>
      <c r="D1102" s="58">
        <f t="shared" si="39"/>
        <v>7.2834999999999992</v>
      </c>
      <c r="E1102" s="58">
        <f t="shared" si="39"/>
        <v>8.6541250000000005</v>
      </c>
      <c r="F1102" s="58">
        <f t="shared" si="39"/>
        <v>8.6541250000000005</v>
      </c>
      <c r="G1102" s="58">
        <f t="shared" si="39"/>
        <v>8.6598583333333341</v>
      </c>
      <c r="H1102" s="58">
        <f t="shared" si="39"/>
        <v>15.806333333333335</v>
      </c>
      <c r="I1102" s="58">
        <f t="shared" si="39"/>
        <v>15.812075</v>
      </c>
      <c r="J1102" s="58">
        <f t="shared" si="39"/>
        <v>15.806333333333335</v>
      </c>
      <c r="K1102" s="58">
        <f t="shared" si="39"/>
        <v>15.812075</v>
      </c>
      <c r="L1102" s="58">
        <f t="shared" si="39"/>
        <v>8.6541250000000005</v>
      </c>
      <c r="M1102" s="58">
        <f t="shared" si="39"/>
        <v>8.6598583333333341</v>
      </c>
      <c r="N1102" s="58">
        <f t="shared" si="39"/>
        <v>8.6541250000000005</v>
      </c>
      <c r="O1102" s="58">
        <f t="shared" si="39"/>
        <v>8.6598583333333341</v>
      </c>
    </row>
    <row r="1103" spans="1:15" ht="15">
      <c r="A1103" s="3">
        <v>2054</v>
      </c>
      <c r="B1103" s="58">
        <f t="shared" ref="B1103:O1103" si="40">AVERAGE(B498:B509)</f>
        <v>7.4712500000000004</v>
      </c>
      <c r="C1103" s="58">
        <f t="shared" si="40"/>
        <v>7.4712500000000004</v>
      </c>
      <c r="D1103" s="58">
        <f t="shared" si="40"/>
        <v>7.4759416666666683</v>
      </c>
      <c r="E1103" s="58">
        <f t="shared" si="40"/>
        <v>8.8657833333333329</v>
      </c>
      <c r="F1103" s="58">
        <f t="shared" si="40"/>
        <v>8.8657833333333329</v>
      </c>
      <c r="G1103" s="58">
        <f t="shared" si="40"/>
        <v>8.8715083333333329</v>
      </c>
      <c r="H1103" s="58">
        <f t="shared" si="40"/>
        <v>16.206050000000001</v>
      </c>
      <c r="I1103" s="58">
        <f t="shared" si="40"/>
        <v>16.211791666666667</v>
      </c>
      <c r="J1103" s="58">
        <f t="shared" si="40"/>
        <v>16.206050000000001</v>
      </c>
      <c r="K1103" s="58">
        <f t="shared" si="40"/>
        <v>16.211791666666667</v>
      </c>
      <c r="L1103" s="58">
        <f t="shared" si="40"/>
        <v>8.8657833333333329</v>
      </c>
      <c r="M1103" s="58">
        <f t="shared" si="40"/>
        <v>8.8715083333333329</v>
      </c>
      <c r="N1103" s="58">
        <f t="shared" si="40"/>
        <v>8.8657833333333329</v>
      </c>
      <c r="O1103" s="58">
        <f t="shared" si="40"/>
        <v>8.8715083333333329</v>
      </c>
    </row>
    <row r="1104" spans="1:15" ht="15">
      <c r="A1104" s="3">
        <v>2055</v>
      </c>
      <c r="B1104" s="58">
        <f t="shared" ref="B1104:O1104" si="41">AVERAGE(B18:B521)</f>
        <v>4.7406188492063492</v>
      </c>
      <c r="C1104" s="58">
        <f t="shared" si="41"/>
        <v>4.7409805555555558</v>
      </c>
      <c r="D1104" s="58">
        <f t="shared" si="41"/>
        <v>4.74565753968254</v>
      </c>
      <c r="E1104" s="58">
        <f t="shared" si="41"/>
        <v>5.7063898809523801</v>
      </c>
      <c r="F1104" s="58">
        <f t="shared" si="41"/>
        <v>5.7124347222222216</v>
      </c>
      <c r="G1104" s="58">
        <f t="shared" si="41"/>
        <v>5.7183430555555592</v>
      </c>
      <c r="H1104" s="58">
        <f t="shared" si="41"/>
        <v>10.420703174603181</v>
      </c>
      <c r="I1104" s="58">
        <f t="shared" si="41"/>
        <v>10.426612301587305</v>
      </c>
      <c r="J1104" s="58">
        <f t="shared" si="41"/>
        <v>10.420703174603181</v>
      </c>
      <c r="K1104" s="58">
        <f t="shared" si="41"/>
        <v>10.426612301587305</v>
      </c>
      <c r="L1104" s="58">
        <f t="shared" si="41"/>
        <v>5.7063898809523801</v>
      </c>
      <c r="M1104" s="58">
        <f t="shared" si="41"/>
        <v>5.712298809523813</v>
      </c>
      <c r="N1104" s="58">
        <f t="shared" si="41"/>
        <v>5.7063898809523801</v>
      </c>
      <c r="O1104" s="58">
        <f t="shared" si="41"/>
        <v>5.712298809523813</v>
      </c>
    </row>
    <row r="1105" spans="1:15" ht="15">
      <c r="A1105" s="3">
        <v>2056</v>
      </c>
      <c r="B1105" s="58">
        <f t="shared" ref="B1105:O1105" si="42">AVERAGE(B522:B533)</f>
        <v>7.8716833333333343</v>
      </c>
      <c r="C1105" s="58">
        <f t="shared" si="42"/>
        <v>7.8716833333333343</v>
      </c>
      <c r="D1105" s="58">
        <f t="shared" si="42"/>
        <v>7.8763666666666659</v>
      </c>
      <c r="E1105" s="58">
        <f t="shared" si="42"/>
        <v>9.3047749999999994</v>
      </c>
      <c r="F1105" s="58">
        <f t="shared" si="42"/>
        <v>9.3047749999999994</v>
      </c>
      <c r="G1105" s="58">
        <f t="shared" si="42"/>
        <v>9.3105166666666683</v>
      </c>
      <c r="H1105" s="58">
        <f t="shared" si="42"/>
        <v>17.036058333333333</v>
      </c>
      <c r="I1105" s="58">
        <f t="shared" si="42"/>
        <v>17.041799999999999</v>
      </c>
      <c r="J1105" s="58">
        <f t="shared" si="42"/>
        <v>17.036058333333333</v>
      </c>
      <c r="K1105" s="58">
        <f t="shared" si="42"/>
        <v>17.041799999999999</v>
      </c>
      <c r="L1105" s="58">
        <f t="shared" si="42"/>
        <v>9.3047749999999994</v>
      </c>
      <c r="M1105" s="58">
        <f t="shared" si="42"/>
        <v>9.3105166666666683</v>
      </c>
      <c r="N1105" s="58">
        <f t="shared" si="42"/>
        <v>9.3047749999999994</v>
      </c>
      <c r="O1105" s="58">
        <f t="shared" si="42"/>
        <v>9.3105166666666683</v>
      </c>
    </row>
    <row r="1106" spans="1:15" ht="15">
      <c r="A1106" s="3">
        <v>2057</v>
      </c>
      <c r="B1106" s="58">
        <f t="shared" ref="B1106:O1106" si="43">AVERAGE(B534:B545)</f>
        <v>8.079958333333332</v>
      </c>
      <c r="C1106" s="58">
        <f t="shared" si="43"/>
        <v>8.079958333333332</v>
      </c>
      <c r="D1106" s="58">
        <f t="shared" si="43"/>
        <v>8.0846166666666672</v>
      </c>
      <c r="E1106" s="58">
        <f t="shared" si="43"/>
        <v>9.5323916666666673</v>
      </c>
      <c r="F1106" s="58">
        <f t="shared" si="43"/>
        <v>9.5323916666666673</v>
      </c>
      <c r="G1106" s="58">
        <f t="shared" si="43"/>
        <v>9.5381499999999999</v>
      </c>
      <c r="H1106" s="58">
        <f t="shared" si="43"/>
        <v>17.466874999999998</v>
      </c>
      <c r="I1106" s="58">
        <f t="shared" si="43"/>
        <v>17.472616666666671</v>
      </c>
      <c r="J1106" s="58">
        <f t="shared" si="43"/>
        <v>17.466874999999998</v>
      </c>
      <c r="K1106" s="58">
        <f t="shared" si="43"/>
        <v>17.472616666666671</v>
      </c>
      <c r="L1106" s="58">
        <f t="shared" si="43"/>
        <v>9.5323916666666673</v>
      </c>
      <c r="M1106" s="58">
        <f t="shared" si="43"/>
        <v>9.5381499999999999</v>
      </c>
      <c r="N1106" s="58">
        <f t="shared" si="43"/>
        <v>9.5323916666666673</v>
      </c>
      <c r="O1106" s="58">
        <f t="shared" si="43"/>
        <v>9.5381499999999999</v>
      </c>
    </row>
    <row r="1107" spans="1:15" ht="15">
      <c r="A1107" s="3">
        <v>2058</v>
      </c>
      <c r="B1107" s="58">
        <f t="shared" ref="B1107:O1107" si="44">AVERAGE(B546:B557)</f>
        <v>8.2937916666666691</v>
      </c>
      <c r="C1107" s="58">
        <f t="shared" si="44"/>
        <v>8.2937916666666691</v>
      </c>
      <c r="D1107" s="58">
        <f t="shared" si="44"/>
        <v>8.2984666666666662</v>
      </c>
      <c r="E1107" s="58">
        <f t="shared" si="44"/>
        <v>9.7656249999999982</v>
      </c>
      <c r="F1107" s="58">
        <f t="shared" si="44"/>
        <v>9.7656249999999982</v>
      </c>
      <c r="G1107" s="58">
        <f t="shared" si="44"/>
        <v>9.7713583333333336</v>
      </c>
      <c r="H1107" s="58">
        <f t="shared" si="44"/>
        <v>17.908583333333329</v>
      </c>
      <c r="I1107" s="58">
        <f t="shared" si="44"/>
        <v>17.914325000000002</v>
      </c>
      <c r="J1107" s="58">
        <f t="shared" si="44"/>
        <v>17.908583333333329</v>
      </c>
      <c r="K1107" s="58">
        <f t="shared" si="44"/>
        <v>17.914325000000002</v>
      </c>
      <c r="L1107" s="58">
        <f t="shared" si="44"/>
        <v>9.7656249999999982</v>
      </c>
      <c r="M1107" s="58">
        <f t="shared" si="44"/>
        <v>9.7713583333333336</v>
      </c>
      <c r="N1107" s="58">
        <f t="shared" si="44"/>
        <v>9.7656249999999982</v>
      </c>
      <c r="O1107" s="58">
        <f t="shared" si="44"/>
        <v>9.7713583333333336</v>
      </c>
    </row>
    <row r="1108" spans="1:15" ht="15">
      <c r="A1108" s="3">
        <v>2059</v>
      </c>
      <c r="B1108" s="58">
        <f t="shared" ref="B1108:O1108" si="45">AVERAGE(B558:B569)</f>
        <v>8.513325</v>
      </c>
      <c r="C1108" s="58">
        <f t="shared" si="45"/>
        <v>8.513325</v>
      </c>
      <c r="D1108" s="58">
        <f t="shared" si="45"/>
        <v>8.5180166666666661</v>
      </c>
      <c r="E1108" s="58">
        <f t="shared" si="45"/>
        <v>10.004574999999999</v>
      </c>
      <c r="F1108" s="58">
        <f t="shared" si="45"/>
        <v>10.004574999999999</v>
      </c>
      <c r="G1108" s="58">
        <f t="shared" si="45"/>
        <v>10.010299999999999</v>
      </c>
      <c r="H1108" s="58">
        <f t="shared" si="45"/>
        <v>18.361466666666665</v>
      </c>
      <c r="I1108" s="58">
        <f t="shared" si="45"/>
        <v>18.367216666666668</v>
      </c>
      <c r="J1108" s="58">
        <f t="shared" si="45"/>
        <v>18.361466666666665</v>
      </c>
      <c r="K1108" s="58">
        <f t="shared" si="45"/>
        <v>18.367216666666668</v>
      </c>
      <c r="L1108" s="58">
        <f t="shared" si="45"/>
        <v>10.004574999999999</v>
      </c>
      <c r="M1108" s="58">
        <f t="shared" si="45"/>
        <v>10.010299999999999</v>
      </c>
      <c r="N1108" s="58">
        <f t="shared" si="45"/>
        <v>10.004574999999999</v>
      </c>
      <c r="O1108" s="58">
        <f t="shared" si="45"/>
        <v>10.010299999999999</v>
      </c>
    </row>
    <row r="1109" spans="1:15" ht="15">
      <c r="A1109" s="3">
        <v>2060</v>
      </c>
      <c r="B1109" s="58">
        <f t="shared" ref="B1109:O1109" si="46">AVERAGE(B570:B581)</f>
        <v>8.738741666666666</v>
      </c>
      <c r="C1109" s="58">
        <f t="shared" si="46"/>
        <v>8.738741666666666</v>
      </c>
      <c r="D1109" s="58">
        <f t="shared" si="46"/>
        <v>8.7434166666666666</v>
      </c>
      <c r="E1109" s="58">
        <f t="shared" si="46"/>
        <v>10.249391666666666</v>
      </c>
      <c r="F1109" s="58">
        <f t="shared" si="46"/>
        <v>10.249391666666666</v>
      </c>
      <c r="G1109" s="58">
        <f t="shared" si="46"/>
        <v>10.255133333333335</v>
      </c>
      <c r="H1109" s="58">
        <f t="shared" si="46"/>
        <v>18.82578333333333</v>
      </c>
      <c r="I1109" s="58">
        <f t="shared" si="46"/>
        <v>18.831549999999996</v>
      </c>
      <c r="J1109" s="58">
        <f t="shared" si="46"/>
        <v>18.82578333333333</v>
      </c>
      <c r="K1109" s="58">
        <f t="shared" si="46"/>
        <v>18.831549999999996</v>
      </c>
      <c r="L1109" s="58">
        <f t="shared" si="46"/>
        <v>10.249391666666666</v>
      </c>
      <c r="M1109" s="58">
        <f t="shared" si="46"/>
        <v>10.255133333333335</v>
      </c>
      <c r="N1109" s="58">
        <f t="shared" si="46"/>
        <v>10.249391666666666</v>
      </c>
      <c r="O1109" s="58">
        <f t="shared" si="46"/>
        <v>10.255133333333335</v>
      </c>
    </row>
    <row r="1110" spans="1:15" ht="15">
      <c r="A1110" s="3">
        <v>2061</v>
      </c>
      <c r="B1110" s="58">
        <f t="shared" ref="B1110:O1110" si="47">AVERAGE(B582:B593)</f>
        <v>8.9701666666666657</v>
      </c>
      <c r="C1110" s="58">
        <f t="shared" si="47"/>
        <v>8.9701666666666657</v>
      </c>
      <c r="D1110" s="58">
        <f t="shared" si="47"/>
        <v>8.9748416666666664</v>
      </c>
      <c r="E1110" s="58">
        <f t="shared" si="47"/>
        <v>10.500225000000002</v>
      </c>
      <c r="F1110" s="58">
        <f t="shared" si="47"/>
        <v>10.500225000000002</v>
      </c>
      <c r="G1110" s="58">
        <f t="shared" si="47"/>
        <v>10.505983333333335</v>
      </c>
      <c r="H1110" s="58">
        <f t="shared" si="47"/>
        <v>19.301883333333333</v>
      </c>
      <c r="I1110" s="58">
        <f t="shared" si="47"/>
        <v>19.307616666666664</v>
      </c>
      <c r="J1110" s="58">
        <f t="shared" si="47"/>
        <v>19.301883333333333</v>
      </c>
      <c r="K1110" s="58">
        <f t="shared" si="47"/>
        <v>19.307616666666664</v>
      </c>
      <c r="L1110" s="58">
        <f t="shared" si="47"/>
        <v>10.500225000000002</v>
      </c>
      <c r="M1110" s="58">
        <f t="shared" si="47"/>
        <v>10.505983333333335</v>
      </c>
      <c r="N1110" s="58">
        <f t="shared" si="47"/>
        <v>10.500225000000002</v>
      </c>
      <c r="O1110" s="58">
        <f t="shared" si="47"/>
        <v>10.505983333333335</v>
      </c>
    </row>
    <row r="1111" spans="1:15" ht="15">
      <c r="A1111" s="3">
        <v>2062</v>
      </c>
      <c r="B1111" s="58">
        <f t="shared" ref="B1111:O1120" ca="1" si="48">AVERAGE(OFFSET(B$594,($A1111-$A$1111)*12,0,12,1))</f>
        <v>9.2077833333333352</v>
      </c>
      <c r="C1111" s="58">
        <f t="shared" ca="1" si="48"/>
        <v>9.2077833333333352</v>
      </c>
      <c r="D1111" s="58">
        <f t="shared" ca="1" si="48"/>
        <v>9.2124583333333323</v>
      </c>
      <c r="E1111" s="58">
        <f t="shared" ca="1" si="48"/>
        <v>10.757233333333332</v>
      </c>
      <c r="F1111" s="58">
        <f t="shared" ca="1" si="48"/>
        <v>10.757233333333332</v>
      </c>
      <c r="G1111" s="58">
        <f t="shared" ca="1" si="48"/>
        <v>10.762991666666666</v>
      </c>
      <c r="H1111" s="58">
        <f t="shared" ca="1" si="48"/>
        <v>19.790008333333336</v>
      </c>
      <c r="I1111" s="58">
        <f t="shared" ca="1" si="48"/>
        <v>19.795733333333335</v>
      </c>
      <c r="J1111" s="58">
        <f t="shared" ca="1" si="48"/>
        <v>19.790008333333336</v>
      </c>
      <c r="K1111" s="58">
        <f t="shared" ca="1" si="48"/>
        <v>19.795733333333335</v>
      </c>
      <c r="L1111" s="58">
        <f t="shared" ca="1" si="48"/>
        <v>10.757233333333332</v>
      </c>
      <c r="M1111" s="58">
        <f t="shared" ca="1" si="48"/>
        <v>10.762991666666666</v>
      </c>
      <c r="N1111" s="58">
        <f t="shared" ca="1" si="48"/>
        <v>10.757233333333332</v>
      </c>
      <c r="O1111" s="58">
        <f t="shared" ca="1" si="48"/>
        <v>10.762991666666666</v>
      </c>
    </row>
    <row r="1112" spans="1:15" ht="15">
      <c r="A1112" s="3">
        <v>2063</v>
      </c>
      <c r="B1112" s="58">
        <f t="shared" ca="1" si="48"/>
        <v>9.4453666666666667</v>
      </c>
      <c r="C1112" s="58">
        <f t="shared" ca="1" si="48"/>
        <v>9.4453666666666667</v>
      </c>
      <c r="D1112" s="58">
        <f t="shared" ca="1" si="48"/>
        <v>9.4500583333333346</v>
      </c>
      <c r="E1112" s="58">
        <f t="shared" ca="1" si="48"/>
        <v>11.014258333333332</v>
      </c>
      <c r="F1112" s="58">
        <f t="shared" ca="1" si="48"/>
        <v>11.014258333333332</v>
      </c>
      <c r="G1112" s="58">
        <f t="shared" ca="1" si="48"/>
        <v>11.020000000000001</v>
      </c>
      <c r="H1112" s="58">
        <f t="shared" ca="1" si="48"/>
        <v>20.278116666666669</v>
      </c>
      <c r="I1112" s="58">
        <f t="shared" ca="1" si="48"/>
        <v>20.283850000000001</v>
      </c>
      <c r="J1112" s="58">
        <f t="shared" ca="1" si="48"/>
        <v>20.278116666666669</v>
      </c>
      <c r="K1112" s="58">
        <f t="shared" ca="1" si="48"/>
        <v>20.283850000000001</v>
      </c>
      <c r="L1112" s="58">
        <f t="shared" ca="1" si="48"/>
        <v>11.014258333333332</v>
      </c>
      <c r="M1112" s="58">
        <f t="shared" ca="1" si="48"/>
        <v>11.020000000000001</v>
      </c>
      <c r="N1112" s="58">
        <f t="shared" ca="1" si="48"/>
        <v>11.014258333333332</v>
      </c>
      <c r="O1112" s="58">
        <f t="shared" ca="1" si="48"/>
        <v>11.020000000000001</v>
      </c>
    </row>
    <row r="1113" spans="1:15" ht="15">
      <c r="A1113" s="3">
        <v>2064</v>
      </c>
      <c r="B1113" s="58">
        <f t="shared" ca="1" si="48"/>
        <v>9.6830083333333334</v>
      </c>
      <c r="C1113" s="58">
        <f t="shared" ca="1" si="48"/>
        <v>9.6830083333333334</v>
      </c>
      <c r="D1113" s="58">
        <f t="shared" ca="1" si="48"/>
        <v>9.6876750000000005</v>
      </c>
      <c r="E1113" s="58">
        <f t="shared" ca="1" si="48"/>
        <v>11.271266666666667</v>
      </c>
      <c r="F1113" s="58">
        <f t="shared" ca="1" si="48"/>
        <v>11.271266666666667</v>
      </c>
      <c r="G1113" s="58">
        <f t="shared" ca="1" si="48"/>
        <v>11.277008333333333</v>
      </c>
      <c r="H1113" s="58">
        <f t="shared" ca="1" si="48"/>
        <v>20.766216666666665</v>
      </c>
      <c r="I1113" s="58">
        <f t="shared" ca="1" si="48"/>
        <v>20.771966666666668</v>
      </c>
      <c r="J1113" s="58">
        <f t="shared" ca="1" si="48"/>
        <v>20.766216666666665</v>
      </c>
      <c r="K1113" s="58">
        <f t="shared" ca="1" si="48"/>
        <v>20.771966666666668</v>
      </c>
      <c r="L1113" s="58">
        <f t="shared" ca="1" si="48"/>
        <v>11.271266666666667</v>
      </c>
      <c r="M1113" s="58">
        <f t="shared" ca="1" si="48"/>
        <v>11.277008333333333</v>
      </c>
      <c r="N1113" s="58">
        <f t="shared" ca="1" si="48"/>
        <v>11.271266666666667</v>
      </c>
      <c r="O1113" s="58">
        <f t="shared" ca="1" si="48"/>
        <v>11.277008333333333</v>
      </c>
    </row>
    <row r="1114" spans="1:15" ht="15">
      <c r="A1114" s="3">
        <v>2065</v>
      </c>
      <c r="B1114" s="58">
        <f t="shared" ca="1" si="48"/>
        <v>9.9206166666666658</v>
      </c>
      <c r="C1114" s="58">
        <f t="shared" ca="1" si="48"/>
        <v>9.9206166666666658</v>
      </c>
      <c r="D1114" s="58">
        <f t="shared" ca="1" si="48"/>
        <v>9.9252999999999982</v>
      </c>
      <c r="E1114" s="58">
        <f t="shared" ca="1" si="48"/>
        <v>11.528291666666666</v>
      </c>
      <c r="F1114" s="58">
        <f t="shared" ca="1" si="48"/>
        <v>11.528291666666666</v>
      </c>
      <c r="G1114" s="58">
        <f t="shared" ca="1" si="48"/>
        <v>11.534008333333334</v>
      </c>
      <c r="H1114" s="58">
        <f t="shared" ca="1" si="48"/>
        <v>21.254341666666665</v>
      </c>
      <c r="I1114" s="58">
        <f t="shared" ca="1" si="48"/>
        <v>21.260074999999997</v>
      </c>
      <c r="J1114" s="58">
        <f t="shared" ca="1" si="48"/>
        <v>21.254341666666665</v>
      </c>
      <c r="K1114" s="58">
        <f t="shared" ca="1" si="48"/>
        <v>21.260074999999997</v>
      </c>
      <c r="L1114" s="58">
        <f t="shared" ca="1" si="48"/>
        <v>11.528291666666666</v>
      </c>
      <c r="M1114" s="58">
        <f t="shared" ca="1" si="48"/>
        <v>11.534008333333334</v>
      </c>
      <c r="N1114" s="58">
        <f t="shared" ca="1" si="48"/>
        <v>11.528291666666666</v>
      </c>
      <c r="O1114" s="58">
        <f t="shared" ca="1" si="48"/>
        <v>11.534008333333334</v>
      </c>
    </row>
    <row r="1115" spans="1:15" ht="15">
      <c r="A1115" s="3">
        <v>2066</v>
      </c>
      <c r="B1115" s="58">
        <f t="shared" ca="1" si="48"/>
        <v>10.158233333333335</v>
      </c>
      <c r="C1115" s="58">
        <f t="shared" ca="1" si="48"/>
        <v>10.158233333333335</v>
      </c>
      <c r="D1115" s="58">
        <f t="shared" ca="1" si="48"/>
        <v>10.162916666666666</v>
      </c>
      <c r="E1115" s="58">
        <f t="shared" ca="1" si="48"/>
        <v>11.785283333333332</v>
      </c>
      <c r="F1115" s="58">
        <f t="shared" ca="1" si="48"/>
        <v>11.785283333333332</v>
      </c>
      <c r="G1115" s="58">
        <f t="shared" ca="1" si="48"/>
        <v>11.791041666666667</v>
      </c>
      <c r="H1115" s="58">
        <f t="shared" ca="1" si="48"/>
        <v>21.742450000000002</v>
      </c>
      <c r="I1115" s="58">
        <f t="shared" ca="1" si="48"/>
        <v>21.748200000000001</v>
      </c>
      <c r="J1115" s="58">
        <f t="shared" ca="1" si="48"/>
        <v>21.742450000000002</v>
      </c>
      <c r="K1115" s="58">
        <f t="shared" ca="1" si="48"/>
        <v>21.748200000000001</v>
      </c>
      <c r="L1115" s="58">
        <f t="shared" ca="1" si="48"/>
        <v>11.785283333333332</v>
      </c>
      <c r="M1115" s="58">
        <f t="shared" ca="1" si="48"/>
        <v>11.791041666666667</v>
      </c>
      <c r="N1115" s="58">
        <f t="shared" ca="1" si="48"/>
        <v>11.785283333333332</v>
      </c>
      <c r="O1115" s="58">
        <f t="shared" ca="1" si="48"/>
        <v>11.791041666666667</v>
      </c>
    </row>
    <row r="1116" spans="1:15" ht="15">
      <c r="A1116" s="3">
        <v>2067</v>
      </c>
      <c r="B1116" s="58">
        <f t="shared" ca="1" si="48"/>
        <v>10.395849999999998</v>
      </c>
      <c r="C1116" s="58">
        <f t="shared" ca="1" si="48"/>
        <v>10.395849999999998</v>
      </c>
      <c r="D1116" s="58">
        <f t="shared" ca="1" si="48"/>
        <v>10.400525</v>
      </c>
      <c r="E1116" s="58">
        <f t="shared" ca="1" si="48"/>
        <v>12.042299999999999</v>
      </c>
      <c r="F1116" s="58">
        <f t="shared" ca="1" si="48"/>
        <v>12.042299999999999</v>
      </c>
      <c r="G1116" s="58">
        <f t="shared" ca="1" si="48"/>
        <v>12.048049999999998</v>
      </c>
      <c r="H1116" s="58">
        <f t="shared" ca="1" si="48"/>
        <v>22.230574999999998</v>
      </c>
      <c r="I1116" s="58">
        <f t="shared" ca="1" si="48"/>
        <v>22.23630833333333</v>
      </c>
      <c r="J1116" s="58">
        <f t="shared" ca="1" si="48"/>
        <v>22.230574999999998</v>
      </c>
      <c r="K1116" s="58">
        <f t="shared" ca="1" si="48"/>
        <v>22.23630833333333</v>
      </c>
      <c r="L1116" s="58">
        <f t="shared" ca="1" si="48"/>
        <v>12.042299999999999</v>
      </c>
      <c r="M1116" s="58">
        <f t="shared" ca="1" si="48"/>
        <v>12.048049999999998</v>
      </c>
      <c r="N1116" s="58">
        <f t="shared" ca="1" si="48"/>
        <v>12.042299999999999</v>
      </c>
      <c r="O1116" s="58">
        <f t="shared" ca="1" si="48"/>
        <v>12.048049999999998</v>
      </c>
    </row>
    <row r="1117" spans="1:15" ht="15">
      <c r="A1117" s="3">
        <v>2068</v>
      </c>
      <c r="B1117" s="58">
        <f t="shared" ca="1" si="48"/>
        <v>10.633449999999998</v>
      </c>
      <c r="C1117" s="58">
        <f t="shared" ca="1" si="48"/>
        <v>10.633449999999998</v>
      </c>
      <c r="D1117" s="58">
        <f t="shared" ca="1" si="48"/>
        <v>10.638141666666669</v>
      </c>
      <c r="E1117" s="58">
        <f t="shared" ca="1" si="48"/>
        <v>12.299291666666669</v>
      </c>
      <c r="F1117" s="58">
        <f t="shared" ca="1" si="48"/>
        <v>12.299291666666669</v>
      </c>
      <c r="G1117" s="58">
        <f t="shared" ca="1" si="48"/>
        <v>12.305041666666668</v>
      </c>
      <c r="H1117" s="58">
        <f t="shared" ca="1" si="48"/>
        <v>22.718675000000001</v>
      </c>
      <c r="I1117" s="58">
        <f t="shared" ca="1" si="48"/>
        <v>22.72441666666667</v>
      </c>
      <c r="J1117" s="58">
        <f t="shared" ca="1" si="48"/>
        <v>22.718675000000001</v>
      </c>
      <c r="K1117" s="58">
        <f t="shared" ca="1" si="48"/>
        <v>22.72441666666667</v>
      </c>
      <c r="L1117" s="58">
        <f t="shared" ca="1" si="48"/>
        <v>12.299291666666669</v>
      </c>
      <c r="M1117" s="58">
        <f t="shared" ca="1" si="48"/>
        <v>12.305041666666668</v>
      </c>
      <c r="N1117" s="58">
        <f t="shared" ca="1" si="48"/>
        <v>12.299291666666669</v>
      </c>
      <c r="O1117" s="58">
        <f t="shared" ca="1" si="48"/>
        <v>12.305041666666668</v>
      </c>
    </row>
    <row r="1118" spans="1:15" ht="15">
      <c r="A1118" s="3">
        <v>2069</v>
      </c>
      <c r="B1118" s="58">
        <f t="shared" ca="1" si="48"/>
        <v>10.871066666666664</v>
      </c>
      <c r="C1118" s="58">
        <f t="shared" ca="1" si="48"/>
        <v>10.871066666666664</v>
      </c>
      <c r="D1118" s="58">
        <f t="shared" ca="1" si="48"/>
        <v>10.875741666666665</v>
      </c>
      <c r="E1118" s="58">
        <f t="shared" ca="1" si="48"/>
        <v>12.556333333333333</v>
      </c>
      <c r="F1118" s="58">
        <f t="shared" ca="1" si="48"/>
        <v>12.556333333333333</v>
      </c>
      <c r="G1118" s="58">
        <f t="shared" ca="1" si="48"/>
        <v>12.562075000000002</v>
      </c>
      <c r="H1118" s="58">
        <f t="shared" ca="1" si="48"/>
        <v>23.206800000000001</v>
      </c>
      <c r="I1118" s="58">
        <f t="shared" ca="1" si="48"/>
        <v>23.212541666666667</v>
      </c>
      <c r="J1118" s="58">
        <f t="shared" ca="1" si="48"/>
        <v>23.206800000000001</v>
      </c>
      <c r="K1118" s="58">
        <f t="shared" ca="1" si="48"/>
        <v>23.212541666666667</v>
      </c>
      <c r="L1118" s="58">
        <f t="shared" ca="1" si="48"/>
        <v>12.556333333333333</v>
      </c>
      <c r="M1118" s="58">
        <f t="shared" ca="1" si="48"/>
        <v>12.562075000000002</v>
      </c>
      <c r="N1118" s="58">
        <f t="shared" ca="1" si="48"/>
        <v>12.556333333333333</v>
      </c>
      <c r="O1118" s="58">
        <f t="shared" ca="1" si="48"/>
        <v>12.562075000000002</v>
      </c>
    </row>
    <row r="1119" spans="1:15" ht="15">
      <c r="A1119" s="3">
        <v>2070</v>
      </c>
      <c r="B1119" s="58">
        <f t="shared" ca="1" si="48"/>
        <v>11.108683333333333</v>
      </c>
      <c r="C1119" s="58">
        <f t="shared" ca="1" si="48"/>
        <v>11.108683333333333</v>
      </c>
      <c r="D1119" s="58">
        <f t="shared" ca="1" si="48"/>
        <v>11.113358333333331</v>
      </c>
      <c r="E1119" s="58">
        <f t="shared" ca="1" si="48"/>
        <v>12.813333333333333</v>
      </c>
      <c r="F1119" s="58">
        <f t="shared" ca="1" si="48"/>
        <v>12.813333333333333</v>
      </c>
      <c r="G1119" s="58">
        <f t="shared" ca="1" si="48"/>
        <v>12.819066666666664</v>
      </c>
      <c r="H1119" s="58">
        <f t="shared" ca="1" si="48"/>
        <v>23.694900000000001</v>
      </c>
      <c r="I1119" s="58">
        <f t="shared" ca="1" si="48"/>
        <v>23.700666666666663</v>
      </c>
      <c r="J1119" s="58">
        <f t="shared" ca="1" si="48"/>
        <v>23.694900000000001</v>
      </c>
      <c r="K1119" s="58">
        <f t="shared" ca="1" si="48"/>
        <v>23.700666666666663</v>
      </c>
      <c r="L1119" s="58">
        <f t="shared" ca="1" si="48"/>
        <v>12.813333333333333</v>
      </c>
      <c r="M1119" s="58">
        <f t="shared" ca="1" si="48"/>
        <v>12.819066666666664</v>
      </c>
      <c r="N1119" s="58">
        <f t="shared" ca="1" si="48"/>
        <v>12.813333333333333</v>
      </c>
      <c r="O1119" s="58">
        <f t="shared" ca="1" si="48"/>
        <v>12.819066666666664</v>
      </c>
    </row>
    <row r="1120" spans="1:15" ht="15">
      <c r="A1120" s="3">
        <v>2071</v>
      </c>
      <c r="B1120" s="58">
        <f t="shared" ca="1" si="48"/>
        <v>11.346308333333333</v>
      </c>
      <c r="C1120" s="58">
        <f t="shared" ca="1" si="48"/>
        <v>11.346308333333333</v>
      </c>
      <c r="D1120" s="58">
        <f t="shared" ca="1" si="48"/>
        <v>11.350991666666665</v>
      </c>
      <c r="E1120" s="58">
        <f t="shared" ca="1" si="48"/>
        <v>13.070333333333332</v>
      </c>
      <c r="F1120" s="58">
        <f t="shared" ca="1" si="48"/>
        <v>13.070333333333332</v>
      </c>
      <c r="G1120" s="58">
        <f t="shared" ca="1" si="48"/>
        <v>13.076083333333335</v>
      </c>
      <c r="H1120" s="58">
        <f t="shared" ca="1" si="48"/>
        <v>24.183016666666663</v>
      </c>
      <c r="I1120" s="58">
        <f t="shared" ca="1" si="48"/>
        <v>24.188758333333329</v>
      </c>
      <c r="J1120" s="58">
        <f t="shared" ca="1" si="48"/>
        <v>24.183016666666663</v>
      </c>
      <c r="K1120" s="58">
        <f t="shared" ca="1" si="48"/>
        <v>24.188758333333329</v>
      </c>
      <c r="L1120" s="58">
        <f t="shared" ca="1" si="48"/>
        <v>13.070333333333332</v>
      </c>
      <c r="M1120" s="58">
        <f t="shared" ca="1" si="48"/>
        <v>13.076083333333335</v>
      </c>
      <c r="N1120" s="58">
        <f t="shared" ca="1" si="48"/>
        <v>13.070333333333332</v>
      </c>
      <c r="O1120" s="58">
        <f t="shared" ca="1" si="48"/>
        <v>13.076083333333335</v>
      </c>
    </row>
    <row r="1121" spans="1:15" ht="15">
      <c r="A1121" s="3">
        <v>2072</v>
      </c>
      <c r="B1121" s="58">
        <f t="shared" ref="B1121:O1130" ca="1" si="49">AVERAGE(OFFSET(B$594,($A1121-$A$1111)*12,0,12,1))</f>
        <v>11.583908333333333</v>
      </c>
      <c r="C1121" s="58">
        <f t="shared" ca="1" si="49"/>
        <v>11.583908333333333</v>
      </c>
      <c r="D1121" s="58">
        <f t="shared" ca="1" si="49"/>
        <v>11.588600000000001</v>
      </c>
      <c r="E1121" s="58">
        <f t="shared" ca="1" si="49"/>
        <v>13.327350000000001</v>
      </c>
      <c r="F1121" s="58">
        <f t="shared" ca="1" si="49"/>
        <v>13.327350000000001</v>
      </c>
      <c r="G1121" s="58">
        <f t="shared" ca="1" si="49"/>
        <v>13.333091666666668</v>
      </c>
      <c r="H1121" s="58">
        <f t="shared" ca="1" si="49"/>
        <v>24.67113333333333</v>
      </c>
      <c r="I1121" s="58">
        <f t="shared" ca="1" si="49"/>
        <v>24.676883333333336</v>
      </c>
      <c r="J1121" s="58">
        <f t="shared" ca="1" si="49"/>
        <v>24.67113333333333</v>
      </c>
      <c r="K1121" s="58">
        <f t="shared" ca="1" si="49"/>
        <v>24.676883333333336</v>
      </c>
      <c r="L1121" s="58">
        <f t="shared" ca="1" si="49"/>
        <v>13.327350000000001</v>
      </c>
      <c r="M1121" s="58">
        <f t="shared" ca="1" si="49"/>
        <v>13.333091666666668</v>
      </c>
      <c r="N1121" s="58">
        <f t="shared" ca="1" si="49"/>
        <v>13.327350000000001</v>
      </c>
      <c r="O1121" s="58">
        <f t="shared" ca="1" si="49"/>
        <v>13.333091666666668</v>
      </c>
    </row>
    <row r="1122" spans="1:15" ht="15">
      <c r="A1122" s="3">
        <v>2073</v>
      </c>
      <c r="B1122" s="58">
        <f t="shared" ca="1" si="49"/>
        <v>11.821525000000001</v>
      </c>
      <c r="C1122" s="58">
        <f t="shared" ca="1" si="49"/>
        <v>11.821525000000001</v>
      </c>
      <c r="D1122" s="58">
        <f t="shared" ca="1" si="49"/>
        <v>11.826191666666668</v>
      </c>
      <c r="E1122" s="58">
        <f t="shared" ca="1" si="49"/>
        <v>13.584366666666666</v>
      </c>
      <c r="F1122" s="58">
        <f t="shared" ca="1" si="49"/>
        <v>13.584366666666666</v>
      </c>
      <c r="G1122" s="58">
        <f t="shared" ca="1" si="49"/>
        <v>13.590091666666666</v>
      </c>
      <c r="H1122" s="58">
        <f t="shared" ca="1" si="49"/>
        <v>25.159241666666663</v>
      </c>
      <c r="I1122" s="58">
        <f t="shared" ca="1" si="49"/>
        <v>25.164999999999996</v>
      </c>
      <c r="J1122" s="58">
        <f t="shared" ca="1" si="49"/>
        <v>25.159241666666663</v>
      </c>
      <c r="K1122" s="58">
        <f t="shared" ca="1" si="49"/>
        <v>25.164999999999996</v>
      </c>
      <c r="L1122" s="58">
        <f t="shared" ca="1" si="49"/>
        <v>13.584366666666666</v>
      </c>
      <c r="M1122" s="58">
        <f t="shared" ca="1" si="49"/>
        <v>13.590091666666666</v>
      </c>
      <c r="N1122" s="58">
        <f t="shared" ca="1" si="49"/>
        <v>13.584366666666666</v>
      </c>
      <c r="O1122" s="58">
        <f t="shared" ca="1" si="49"/>
        <v>13.590091666666666</v>
      </c>
    </row>
    <row r="1123" spans="1:15" ht="15">
      <c r="A1123" s="3">
        <v>2074</v>
      </c>
      <c r="B1123" s="58">
        <f t="shared" ca="1" si="49"/>
        <v>12.059150000000001</v>
      </c>
      <c r="C1123" s="58">
        <f t="shared" ca="1" si="49"/>
        <v>12.059150000000001</v>
      </c>
      <c r="D1123" s="58">
        <f t="shared" ca="1" si="49"/>
        <v>12.063825000000001</v>
      </c>
      <c r="E1123" s="58">
        <f t="shared" ca="1" si="49"/>
        <v>13.841366666666666</v>
      </c>
      <c r="F1123" s="58">
        <f t="shared" ca="1" si="49"/>
        <v>13.841366666666666</v>
      </c>
      <c r="G1123" s="58">
        <f t="shared" ca="1" si="49"/>
        <v>13.847116666666665</v>
      </c>
      <c r="H1123" s="58">
        <f t="shared" ca="1" si="49"/>
        <v>25.647366666666667</v>
      </c>
      <c r="I1123" s="58">
        <f t="shared" ca="1" si="49"/>
        <v>25.653108333333336</v>
      </c>
      <c r="J1123" s="58">
        <f t="shared" ca="1" si="49"/>
        <v>25.647366666666667</v>
      </c>
      <c r="K1123" s="58">
        <f t="shared" ca="1" si="49"/>
        <v>25.653108333333336</v>
      </c>
      <c r="L1123" s="58">
        <f t="shared" ca="1" si="49"/>
        <v>13.841366666666666</v>
      </c>
      <c r="M1123" s="58">
        <f t="shared" ca="1" si="49"/>
        <v>13.847116666666665</v>
      </c>
      <c r="N1123" s="58">
        <f t="shared" ca="1" si="49"/>
        <v>13.841366666666666</v>
      </c>
      <c r="O1123" s="58">
        <f t="shared" ca="1" si="49"/>
        <v>13.847116666666665</v>
      </c>
    </row>
    <row r="1124" spans="1:15" ht="15">
      <c r="A1124" s="3">
        <v>2075</v>
      </c>
      <c r="B1124" s="58">
        <f t="shared" ca="1" si="49"/>
        <v>12.296750000000001</v>
      </c>
      <c r="C1124" s="58">
        <f t="shared" ca="1" si="49"/>
        <v>12.296750000000001</v>
      </c>
      <c r="D1124" s="58">
        <f t="shared" ca="1" si="49"/>
        <v>12.301433333333334</v>
      </c>
      <c r="E1124" s="58">
        <f t="shared" ca="1" si="49"/>
        <v>14.098391666666664</v>
      </c>
      <c r="F1124" s="58">
        <f t="shared" ca="1" si="49"/>
        <v>14.098391666666664</v>
      </c>
      <c r="G1124" s="58">
        <f t="shared" ca="1" si="49"/>
        <v>14.104116666666668</v>
      </c>
      <c r="H1124" s="58">
        <f t="shared" ca="1" si="49"/>
        <v>26.135475</v>
      </c>
      <c r="I1124" s="58">
        <f t="shared" ca="1" si="49"/>
        <v>26.141216666666669</v>
      </c>
      <c r="J1124" s="58">
        <f t="shared" ca="1" si="49"/>
        <v>26.135475</v>
      </c>
      <c r="K1124" s="58">
        <f t="shared" ca="1" si="49"/>
        <v>26.141216666666669</v>
      </c>
      <c r="L1124" s="58">
        <f t="shared" ca="1" si="49"/>
        <v>14.098391666666664</v>
      </c>
      <c r="M1124" s="58">
        <f t="shared" ca="1" si="49"/>
        <v>14.104116666666668</v>
      </c>
      <c r="N1124" s="58">
        <f t="shared" ca="1" si="49"/>
        <v>14.098391666666664</v>
      </c>
      <c r="O1124" s="58">
        <f t="shared" ca="1" si="49"/>
        <v>14.104116666666668</v>
      </c>
    </row>
    <row r="1125" spans="1:15" ht="15">
      <c r="A1125" s="3">
        <v>2076</v>
      </c>
      <c r="B1125" s="58">
        <f t="shared" ca="1" si="49"/>
        <v>12.534383333333331</v>
      </c>
      <c r="C1125" s="58">
        <f t="shared" ca="1" si="49"/>
        <v>12.534383333333331</v>
      </c>
      <c r="D1125" s="58">
        <f t="shared" ca="1" si="49"/>
        <v>12.539050000000001</v>
      </c>
      <c r="E1125" s="58">
        <f t="shared" ca="1" si="49"/>
        <v>14.355391666666668</v>
      </c>
      <c r="F1125" s="58">
        <f t="shared" ca="1" si="49"/>
        <v>14.355391666666668</v>
      </c>
      <c r="G1125" s="58">
        <f t="shared" ca="1" si="49"/>
        <v>14.36115</v>
      </c>
      <c r="H1125" s="58">
        <f t="shared" ca="1" si="49"/>
        <v>26.623583333333332</v>
      </c>
      <c r="I1125" s="58">
        <f t="shared" ca="1" si="49"/>
        <v>26.629333333333335</v>
      </c>
      <c r="J1125" s="58">
        <f t="shared" ca="1" si="49"/>
        <v>26.623583333333332</v>
      </c>
      <c r="K1125" s="58">
        <f t="shared" ca="1" si="49"/>
        <v>26.629333333333335</v>
      </c>
      <c r="L1125" s="58">
        <f t="shared" ca="1" si="49"/>
        <v>14.355391666666668</v>
      </c>
      <c r="M1125" s="58">
        <f t="shared" ca="1" si="49"/>
        <v>14.36115</v>
      </c>
      <c r="N1125" s="58">
        <f t="shared" ca="1" si="49"/>
        <v>14.355391666666668</v>
      </c>
      <c r="O1125" s="58">
        <f t="shared" ca="1" si="49"/>
        <v>14.36115</v>
      </c>
    </row>
    <row r="1126" spans="1:15" ht="15">
      <c r="A1126" s="3">
        <v>2077</v>
      </c>
      <c r="B1126" s="58">
        <f t="shared" ca="1" si="49"/>
        <v>12.771983333333333</v>
      </c>
      <c r="C1126" s="58">
        <f t="shared" ca="1" si="49"/>
        <v>12.771983333333333</v>
      </c>
      <c r="D1126" s="58">
        <f t="shared" ca="1" si="49"/>
        <v>12.776675000000003</v>
      </c>
      <c r="E1126" s="58">
        <f t="shared" ca="1" si="49"/>
        <v>14.612399999999999</v>
      </c>
      <c r="F1126" s="58">
        <f t="shared" ca="1" si="49"/>
        <v>14.612399999999999</v>
      </c>
      <c r="G1126" s="58">
        <f t="shared" ca="1" si="49"/>
        <v>14.618141666666668</v>
      </c>
      <c r="H1126" s="58">
        <f t="shared" ca="1" si="49"/>
        <v>27.111708333333329</v>
      </c>
      <c r="I1126" s="58">
        <f t="shared" ca="1" si="49"/>
        <v>27.117441666666664</v>
      </c>
      <c r="J1126" s="58">
        <f t="shared" ca="1" si="49"/>
        <v>27.111708333333329</v>
      </c>
      <c r="K1126" s="58">
        <f t="shared" ca="1" si="49"/>
        <v>27.117441666666664</v>
      </c>
      <c r="L1126" s="58">
        <f t="shared" ca="1" si="49"/>
        <v>14.612399999999999</v>
      </c>
      <c r="M1126" s="58">
        <f t="shared" ca="1" si="49"/>
        <v>14.618141666666668</v>
      </c>
      <c r="N1126" s="58">
        <f t="shared" ca="1" si="49"/>
        <v>14.612399999999999</v>
      </c>
      <c r="O1126" s="58">
        <f t="shared" ca="1" si="49"/>
        <v>14.618141666666668</v>
      </c>
    </row>
    <row r="1127" spans="1:15" ht="15">
      <c r="A1127" s="3">
        <v>2078</v>
      </c>
      <c r="B1127" s="58">
        <f t="shared" ca="1" si="49"/>
        <v>13.009583333333333</v>
      </c>
      <c r="C1127" s="58">
        <f t="shared" ca="1" si="49"/>
        <v>13.009583333333333</v>
      </c>
      <c r="D1127" s="58">
        <f t="shared" ca="1" si="49"/>
        <v>13.014266666666666</v>
      </c>
      <c r="E1127" s="58">
        <f t="shared" ca="1" si="49"/>
        <v>14.869391666666665</v>
      </c>
      <c r="F1127" s="58">
        <f t="shared" ca="1" si="49"/>
        <v>14.869391666666665</v>
      </c>
      <c r="G1127" s="58">
        <f t="shared" ca="1" si="49"/>
        <v>14.87514166666667</v>
      </c>
      <c r="H1127" s="58">
        <f t="shared" ca="1" si="49"/>
        <v>27.599816666666666</v>
      </c>
      <c r="I1127" s="58">
        <f t="shared" ca="1" si="49"/>
        <v>27.605566666666672</v>
      </c>
      <c r="J1127" s="58">
        <f t="shared" ca="1" si="49"/>
        <v>27.599816666666666</v>
      </c>
      <c r="K1127" s="58">
        <f t="shared" ca="1" si="49"/>
        <v>27.605566666666672</v>
      </c>
      <c r="L1127" s="58">
        <f t="shared" ca="1" si="49"/>
        <v>14.869391666666665</v>
      </c>
      <c r="M1127" s="58">
        <f t="shared" ca="1" si="49"/>
        <v>14.87514166666667</v>
      </c>
      <c r="N1127" s="58">
        <f t="shared" ca="1" si="49"/>
        <v>14.869391666666665</v>
      </c>
      <c r="O1127" s="58">
        <f t="shared" ca="1" si="49"/>
        <v>14.87514166666667</v>
      </c>
    </row>
    <row r="1128" spans="1:15" ht="15">
      <c r="A1128" s="3">
        <v>2079</v>
      </c>
      <c r="B1128" s="58">
        <f t="shared" ca="1" si="49"/>
        <v>13.247225000000002</v>
      </c>
      <c r="C1128" s="58">
        <f t="shared" ca="1" si="49"/>
        <v>13.247225000000002</v>
      </c>
      <c r="D1128" s="58">
        <f t="shared" ca="1" si="49"/>
        <v>13.251891666666667</v>
      </c>
      <c r="E1128" s="58">
        <f t="shared" ca="1" si="49"/>
        <v>15.126424999999999</v>
      </c>
      <c r="F1128" s="58">
        <f t="shared" ca="1" si="49"/>
        <v>15.126424999999999</v>
      </c>
      <c r="G1128" s="58">
        <f t="shared" ca="1" si="49"/>
        <v>15.132158333333329</v>
      </c>
      <c r="H1128" s="58">
        <f t="shared" ca="1" si="49"/>
        <v>28.087958333333333</v>
      </c>
      <c r="I1128" s="58">
        <f t="shared" ca="1" si="49"/>
        <v>28.093683333333331</v>
      </c>
      <c r="J1128" s="58">
        <f t="shared" ca="1" si="49"/>
        <v>28.087958333333333</v>
      </c>
      <c r="K1128" s="58">
        <f t="shared" ca="1" si="49"/>
        <v>28.093683333333331</v>
      </c>
      <c r="L1128" s="58">
        <f t="shared" ca="1" si="49"/>
        <v>15.126424999999999</v>
      </c>
      <c r="M1128" s="58">
        <f t="shared" ca="1" si="49"/>
        <v>15.132158333333329</v>
      </c>
      <c r="N1128" s="58">
        <f t="shared" ca="1" si="49"/>
        <v>15.126424999999999</v>
      </c>
      <c r="O1128" s="58">
        <f t="shared" ca="1" si="49"/>
        <v>15.132158333333329</v>
      </c>
    </row>
    <row r="1129" spans="1:15" ht="15">
      <c r="A1129" s="3">
        <v>2080</v>
      </c>
      <c r="B1129" s="58">
        <f t="shared" ca="1" si="49"/>
        <v>13.484824999999995</v>
      </c>
      <c r="C1129" s="58">
        <f t="shared" ca="1" si="49"/>
        <v>13.484824999999995</v>
      </c>
      <c r="D1129" s="58">
        <f t="shared" ca="1" si="49"/>
        <v>13.4895</v>
      </c>
      <c r="E1129" s="58">
        <f t="shared" ca="1" si="49"/>
        <v>15.383441666666668</v>
      </c>
      <c r="F1129" s="58">
        <f t="shared" ca="1" si="49"/>
        <v>15.383441666666668</v>
      </c>
      <c r="G1129" s="58">
        <f t="shared" ca="1" si="49"/>
        <v>15.389175</v>
      </c>
      <c r="H1129" s="58">
        <f t="shared" ca="1" si="49"/>
        <v>28.576066666666662</v>
      </c>
      <c r="I1129" s="58">
        <f t="shared" ca="1" si="49"/>
        <v>28.581808333333338</v>
      </c>
      <c r="J1129" s="58">
        <f t="shared" ca="1" si="49"/>
        <v>28.576066666666662</v>
      </c>
      <c r="K1129" s="58">
        <f t="shared" ca="1" si="49"/>
        <v>28.581808333333338</v>
      </c>
      <c r="L1129" s="58">
        <f t="shared" ca="1" si="49"/>
        <v>15.383441666666668</v>
      </c>
      <c r="M1129" s="58">
        <f t="shared" ca="1" si="49"/>
        <v>15.389175</v>
      </c>
      <c r="N1129" s="58">
        <f t="shared" ca="1" si="49"/>
        <v>15.383441666666668</v>
      </c>
      <c r="O1129" s="58">
        <f t="shared" ca="1" si="49"/>
        <v>15.389175</v>
      </c>
    </row>
    <row r="1130" spans="1:15" ht="15">
      <c r="A1130" s="3">
        <v>2081</v>
      </c>
      <c r="B1130" s="58">
        <f t="shared" ca="1" si="49"/>
        <v>13.72245</v>
      </c>
      <c r="C1130" s="58">
        <f t="shared" ca="1" si="49"/>
        <v>13.72245</v>
      </c>
      <c r="D1130" s="58">
        <f t="shared" ca="1" si="49"/>
        <v>13.727124999999999</v>
      </c>
      <c r="E1130" s="58">
        <f t="shared" ca="1" si="49"/>
        <v>15.640424999999999</v>
      </c>
      <c r="F1130" s="58">
        <f t="shared" ca="1" si="49"/>
        <v>15.640424999999999</v>
      </c>
      <c r="G1130" s="58">
        <f t="shared" ca="1" si="49"/>
        <v>15.646158333333332</v>
      </c>
      <c r="H1130" s="58">
        <f t="shared" ca="1" si="49"/>
        <v>29.064166666666669</v>
      </c>
      <c r="I1130" s="58">
        <f t="shared" ca="1" si="49"/>
        <v>29.069908333333331</v>
      </c>
      <c r="J1130" s="58">
        <f t="shared" ca="1" si="49"/>
        <v>29.064166666666669</v>
      </c>
      <c r="K1130" s="58">
        <f t="shared" ca="1" si="49"/>
        <v>29.069908333333331</v>
      </c>
      <c r="L1130" s="58">
        <f t="shared" ca="1" si="49"/>
        <v>15.640424999999999</v>
      </c>
      <c r="M1130" s="58">
        <f t="shared" ca="1" si="49"/>
        <v>15.646158333333332</v>
      </c>
      <c r="N1130" s="58">
        <f t="shared" ca="1" si="49"/>
        <v>15.640424999999999</v>
      </c>
      <c r="O1130" s="58">
        <f t="shared" ca="1" si="49"/>
        <v>15.646158333333332</v>
      </c>
    </row>
    <row r="1131" spans="1:15" ht="15">
      <c r="A1131" s="3">
        <v>2082</v>
      </c>
      <c r="B1131" s="58">
        <f t="shared" ref="B1131:O1140" ca="1" si="50">AVERAGE(OFFSET(B$594,($A1131-$A$1111)*12,0,12,1))</f>
        <v>13.960058333333334</v>
      </c>
      <c r="C1131" s="58">
        <f t="shared" ca="1" si="50"/>
        <v>13.960058333333334</v>
      </c>
      <c r="D1131" s="58">
        <f t="shared" ca="1" si="50"/>
        <v>13.964741666666663</v>
      </c>
      <c r="E1131" s="58">
        <f t="shared" ca="1" si="50"/>
        <v>15.897450000000001</v>
      </c>
      <c r="F1131" s="58">
        <f t="shared" ca="1" si="50"/>
        <v>15.897450000000001</v>
      </c>
      <c r="G1131" s="58">
        <f t="shared" ca="1" si="50"/>
        <v>15.903199999999998</v>
      </c>
      <c r="H1131" s="58">
        <f t="shared" ca="1" si="50"/>
        <v>29.552291666666672</v>
      </c>
      <c r="I1131" s="58">
        <f t="shared" ca="1" si="50"/>
        <v>29.558033333333327</v>
      </c>
      <c r="J1131" s="58">
        <f t="shared" ca="1" si="50"/>
        <v>29.552291666666672</v>
      </c>
      <c r="K1131" s="58">
        <f t="shared" ca="1" si="50"/>
        <v>29.558033333333327</v>
      </c>
      <c r="L1131" s="58">
        <f t="shared" ca="1" si="50"/>
        <v>15.897450000000001</v>
      </c>
      <c r="M1131" s="58">
        <f t="shared" ca="1" si="50"/>
        <v>15.903199999999998</v>
      </c>
      <c r="N1131" s="58">
        <f t="shared" ca="1" si="50"/>
        <v>15.897450000000001</v>
      </c>
      <c r="O1131" s="58">
        <f t="shared" ca="1" si="50"/>
        <v>15.903199999999998</v>
      </c>
    </row>
    <row r="1132" spans="1:15" ht="15">
      <c r="A1132" s="3">
        <v>2083</v>
      </c>
      <c r="B1132" s="58">
        <f t="shared" ca="1" si="50"/>
        <v>14.197650000000001</v>
      </c>
      <c r="C1132" s="58">
        <f t="shared" ca="1" si="50"/>
        <v>14.197650000000001</v>
      </c>
      <c r="D1132" s="58">
        <f t="shared" ca="1" si="50"/>
        <v>14.202341666666667</v>
      </c>
      <c r="E1132" s="58">
        <f t="shared" ca="1" si="50"/>
        <v>16.154466666666668</v>
      </c>
      <c r="F1132" s="58">
        <f t="shared" ca="1" si="50"/>
        <v>16.154466666666668</v>
      </c>
      <c r="G1132" s="58">
        <f t="shared" ca="1" si="50"/>
        <v>16.1602</v>
      </c>
      <c r="H1132" s="58">
        <f t="shared" ca="1" si="50"/>
        <v>30.040383333333335</v>
      </c>
      <c r="I1132" s="58">
        <f t="shared" ca="1" si="50"/>
        <v>30.046150000000001</v>
      </c>
      <c r="J1132" s="58">
        <f t="shared" ca="1" si="50"/>
        <v>30.040383333333335</v>
      </c>
      <c r="K1132" s="58">
        <f t="shared" ca="1" si="50"/>
        <v>30.046150000000001</v>
      </c>
      <c r="L1132" s="58">
        <f t="shared" ca="1" si="50"/>
        <v>16.154466666666668</v>
      </c>
      <c r="M1132" s="58">
        <f t="shared" ca="1" si="50"/>
        <v>16.1602</v>
      </c>
      <c r="N1132" s="58">
        <f t="shared" ca="1" si="50"/>
        <v>16.154466666666668</v>
      </c>
      <c r="O1132" s="58">
        <f t="shared" ca="1" si="50"/>
        <v>16.1602</v>
      </c>
    </row>
    <row r="1133" spans="1:15" ht="15">
      <c r="A1133" s="3">
        <v>2084</v>
      </c>
      <c r="B1133" s="58">
        <f t="shared" ca="1" si="50"/>
        <v>14.435274999999997</v>
      </c>
      <c r="C1133" s="58">
        <f t="shared" ca="1" si="50"/>
        <v>14.435274999999997</v>
      </c>
      <c r="D1133" s="58">
        <f t="shared" ca="1" si="50"/>
        <v>14.439950000000001</v>
      </c>
      <c r="E1133" s="58">
        <f t="shared" ca="1" si="50"/>
        <v>16.411466666666669</v>
      </c>
      <c r="F1133" s="58">
        <f t="shared" ca="1" si="50"/>
        <v>16.411466666666669</v>
      </c>
      <c r="G1133" s="58">
        <f t="shared" ca="1" si="50"/>
        <v>16.417233333333332</v>
      </c>
      <c r="H1133" s="58">
        <f t="shared" ca="1" si="50"/>
        <v>30.528533333333339</v>
      </c>
      <c r="I1133" s="58">
        <f t="shared" ca="1" si="50"/>
        <v>30.534266666666671</v>
      </c>
      <c r="J1133" s="58">
        <f t="shared" ca="1" si="50"/>
        <v>30.528533333333339</v>
      </c>
      <c r="K1133" s="58">
        <f t="shared" ca="1" si="50"/>
        <v>30.534266666666671</v>
      </c>
      <c r="L1133" s="58">
        <f t="shared" ca="1" si="50"/>
        <v>16.411466666666669</v>
      </c>
      <c r="M1133" s="58">
        <f t="shared" ca="1" si="50"/>
        <v>16.417233333333332</v>
      </c>
      <c r="N1133" s="58">
        <f t="shared" ca="1" si="50"/>
        <v>16.411466666666669</v>
      </c>
      <c r="O1133" s="58">
        <f t="shared" ca="1" si="50"/>
        <v>16.417233333333332</v>
      </c>
    </row>
    <row r="1134" spans="1:15" ht="15">
      <c r="A1134" s="3">
        <v>2085</v>
      </c>
      <c r="B1134" s="58">
        <f t="shared" ca="1" si="50"/>
        <v>14.672899999999998</v>
      </c>
      <c r="C1134" s="58">
        <f t="shared" ca="1" si="50"/>
        <v>14.672899999999998</v>
      </c>
      <c r="D1134" s="58">
        <f t="shared" ca="1" si="50"/>
        <v>14.677574999999999</v>
      </c>
      <c r="E1134" s="58">
        <f t="shared" ca="1" si="50"/>
        <v>16.668466666666667</v>
      </c>
      <c r="F1134" s="58">
        <f t="shared" ca="1" si="50"/>
        <v>16.668466666666667</v>
      </c>
      <c r="G1134" s="58">
        <f t="shared" ca="1" si="50"/>
        <v>16.674200000000003</v>
      </c>
      <c r="H1134" s="58">
        <f t="shared" ca="1" si="50"/>
        <v>31.016633333333331</v>
      </c>
      <c r="I1134" s="58">
        <f t="shared" ca="1" si="50"/>
        <v>31.02236666666666</v>
      </c>
      <c r="J1134" s="58">
        <f t="shared" ca="1" si="50"/>
        <v>31.016633333333331</v>
      </c>
      <c r="K1134" s="58">
        <f t="shared" ca="1" si="50"/>
        <v>31.02236666666666</v>
      </c>
      <c r="L1134" s="58">
        <f t="shared" ca="1" si="50"/>
        <v>16.668466666666667</v>
      </c>
      <c r="M1134" s="58">
        <f t="shared" ca="1" si="50"/>
        <v>16.674200000000003</v>
      </c>
      <c r="N1134" s="58">
        <f t="shared" ca="1" si="50"/>
        <v>16.668466666666667</v>
      </c>
      <c r="O1134" s="58">
        <f t="shared" ca="1" si="50"/>
        <v>16.674200000000003</v>
      </c>
    </row>
    <row r="1135" spans="1:15" ht="15">
      <c r="A1135" s="3">
        <v>2086</v>
      </c>
      <c r="B1135" s="58">
        <f t="shared" ca="1" si="50"/>
        <v>14.910500000000004</v>
      </c>
      <c r="C1135" s="58">
        <f t="shared" ca="1" si="50"/>
        <v>14.910500000000004</v>
      </c>
      <c r="D1135" s="58">
        <f t="shared" ca="1" si="50"/>
        <v>14.915191666666667</v>
      </c>
      <c r="E1135" s="58">
        <f t="shared" ca="1" si="50"/>
        <v>16.925483333333336</v>
      </c>
      <c r="F1135" s="58">
        <f t="shared" ca="1" si="50"/>
        <v>16.925483333333336</v>
      </c>
      <c r="G1135" s="58">
        <f t="shared" ca="1" si="50"/>
        <v>16.931224999999998</v>
      </c>
      <c r="H1135" s="58">
        <f t="shared" ca="1" si="50"/>
        <v>31.504741666666671</v>
      </c>
      <c r="I1135" s="58">
        <f t="shared" ca="1" si="50"/>
        <v>31.510491666666667</v>
      </c>
      <c r="J1135" s="58">
        <f t="shared" ca="1" si="50"/>
        <v>31.504741666666671</v>
      </c>
      <c r="K1135" s="58">
        <f t="shared" ca="1" si="50"/>
        <v>31.510491666666667</v>
      </c>
      <c r="L1135" s="58">
        <f t="shared" ca="1" si="50"/>
        <v>16.925483333333336</v>
      </c>
      <c r="M1135" s="58">
        <f t="shared" ca="1" si="50"/>
        <v>16.931224999999998</v>
      </c>
      <c r="N1135" s="58">
        <f t="shared" ca="1" si="50"/>
        <v>16.925483333333336</v>
      </c>
      <c r="O1135" s="58">
        <f t="shared" ca="1" si="50"/>
        <v>16.931224999999998</v>
      </c>
    </row>
    <row r="1136" spans="1:15" ht="15">
      <c r="A1136" s="3">
        <v>2087</v>
      </c>
      <c r="B1136" s="58">
        <f t="shared" ca="1" si="50"/>
        <v>15.148116666666667</v>
      </c>
      <c r="C1136" s="58">
        <f t="shared" ca="1" si="50"/>
        <v>15.148116666666667</v>
      </c>
      <c r="D1136" s="58">
        <f t="shared" ca="1" si="50"/>
        <v>15.152799999999999</v>
      </c>
      <c r="E1136" s="58">
        <f t="shared" ca="1" si="50"/>
        <v>17.182508333333335</v>
      </c>
      <c r="F1136" s="58">
        <f t="shared" ca="1" si="50"/>
        <v>17.182508333333335</v>
      </c>
      <c r="G1136" s="58">
        <f t="shared" ca="1" si="50"/>
        <v>17.188258333333334</v>
      </c>
      <c r="H1136" s="58">
        <f t="shared" ca="1" si="50"/>
        <v>31.992850000000004</v>
      </c>
      <c r="I1136" s="58">
        <f t="shared" ca="1" si="50"/>
        <v>31.998599999999996</v>
      </c>
      <c r="J1136" s="58">
        <f t="shared" ca="1" si="50"/>
        <v>31.992850000000004</v>
      </c>
      <c r="K1136" s="58">
        <f t="shared" ca="1" si="50"/>
        <v>31.998599999999996</v>
      </c>
      <c r="L1136" s="58">
        <f t="shared" ca="1" si="50"/>
        <v>17.182508333333335</v>
      </c>
      <c r="M1136" s="58">
        <f t="shared" ca="1" si="50"/>
        <v>17.188258333333334</v>
      </c>
      <c r="N1136" s="58">
        <f t="shared" ca="1" si="50"/>
        <v>17.182508333333335</v>
      </c>
      <c r="O1136" s="58">
        <f t="shared" ca="1" si="50"/>
        <v>17.188258333333334</v>
      </c>
    </row>
    <row r="1137" spans="1:15" ht="15">
      <c r="A1137" s="3">
        <v>2088</v>
      </c>
      <c r="B1137" s="58">
        <f t="shared" ca="1" si="50"/>
        <v>15.385741666666663</v>
      </c>
      <c r="C1137" s="58">
        <f t="shared" ca="1" si="50"/>
        <v>15.385741666666663</v>
      </c>
      <c r="D1137" s="58">
        <f t="shared" ca="1" si="50"/>
        <v>15.390408333333333</v>
      </c>
      <c r="E1137" s="58">
        <f t="shared" ca="1" si="50"/>
        <v>17.439516666666666</v>
      </c>
      <c r="F1137" s="58">
        <f t="shared" ca="1" si="50"/>
        <v>17.439516666666666</v>
      </c>
      <c r="G1137" s="58">
        <f t="shared" ca="1" si="50"/>
        <v>17.445241666666671</v>
      </c>
      <c r="H1137" s="58">
        <f t="shared" ca="1" si="50"/>
        <v>32.480991666666675</v>
      </c>
      <c r="I1137" s="58">
        <f t="shared" ca="1" si="50"/>
        <v>32.486716666666673</v>
      </c>
      <c r="J1137" s="58">
        <f t="shared" ca="1" si="50"/>
        <v>32.480991666666675</v>
      </c>
      <c r="K1137" s="58">
        <f t="shared" ca="1" si="50"/>
        <v>32.486716666666673</v>
      </c>
      <c r="L1137" s="58">
        <f t="shared" ca="1" si="50"/>
        <v>17.439516666666666</v>
      </c>
      <c r="M1137" s="58">
        <f t="shared" ca="1" si="50"/>
        <v>17.445241666666671</v>
      </c>
      <c r="N1137" s="58">
        <f t="shared" ca="1" si="50"/>
        <v>17.439516666666666</v>
      </c>
      <c r="O1137" s="58">
        <f t="shared" ca="1" si="50"/>
        <v>17.445241666666671</v>
      </c>
    </row>
    <row r="1138" spans="1:15" ht="15">
      <c r="A1138" s="3">
        <v>2089</v>
      </c>
      <c r="B1138" s="58">
        <f t="shared" ca="1" si="50"/>
        <v>15.623341666666667</v>
      </c>
      <c r="C1138" s="58">
        <f t="shared" ca="1" si="50"/>
        <v>15.623341666666667</v>
      </c>
      <c r="D1138" s="58">
        <f t="shared" ca="1" si="50"/>
        <v>15.628033333333329</v>
      </c>
      <c r="E1138" s="58">
        <f t="shared" ca="1" si="50"/>
        <v>17.696524999999998</v>
      </c>
      <c r="F1138" s="58">
        <f t="shared" ca="1" si="50"/>
        <v>17.696524999999998</v>
      </c>
      <c r="G1138" s="58">
        <f t="shared" ca="1" si="50"/>
        <v>17.702258333333337</v>
      </c>
      <c r="H1138" s="58">
        <f t="shared" ca="1" si="50"/>
        <v>32.969091666666664</v>
      </c>
      <c r="I1138" s="58">
        <f t="shared" ca="1" si="50"/>
        <v>32.974833333333343</v>
      </c>
      <c r="J1138" s="58">
        <f t="shared" ca="1" si="50"/>
        <v>32.969091666666664</v>
      </c>
      <c r="K1138" s="58">
        <f t="shared" ca="1" si="50"/>
        <v>32.974833333333343</v>
      </c>
      <c r="L1138" s="58">
        <f t="shared" ca="1" si="50"/>
        <v>17.696524999999998</v>
      </c>
      <c r="M1138" s="58">
        <f t="shared" ca="1" si="50"/>
        <v>17.702258333333337</v>
      </c>
      <c r="N1138" s="58">
        <f t="shared" ca="1" si="50"/>
        <v>17.696524999999998</v>
      </c>
      <c r="O1138" s="58">
        <f t="shared" ca="1" si="50"/>
        <v>17.702258333333337</v>
      </c>
    </row>
    <row r="1139" spans="1:15" ht="15">
      <c r="A1139" s="3">
        <v>2090</v>
      </c>
      <c r="B1139" s="58">
        <f t="shared" ca="1" si="50"/>
        <v>15.860966666666668</v>
      </c>
      <c r="C1139" s="58">
        <f t="shared" ca="1" si="50"/>
        <v>15.860966666666668</v>
      </c>
      <c r="D1139" s="58">
        <f t="shared" ca="1" si="50"/>
        <v>15.865633333333333</v>
      </c>
      <c r="E1139" s="58">
        <f t="shared" ca="1" si="50"/>
        <v>17.953533333333333</v>
      </c>
      <c r="F1139" s="58">
        <f t="shared" ca="1" si="50"/>
        <v>17.953533333333333</v>
      </c>
      <c r="G1139" s="58">
        <f t="shared" ca="1" si="50"/>
        <v>17.959291666666662</v>
      </c>
      <c r="H1139" s="58">
        <f t="shared" ca="1" si="50"/>
        <v>33.4572</v>
      </c>
      <c r="I1139" s="58">
        <f t="shared" ca="1" si="50"/>
        <v>33.462941666666666</v>
      </c>
      <c r="J1139" s="58">
        <f t="shared" ca="1" si="50"/>
        <v>33.4572</v>
      </c>
      <c r="K1139" s="58">
        <f t="shared" ca="1" si="50"/>
        <v>33.462941666666666</v>
      </c>
      <c r="L1139" s="58">
        <f t="shared" ca="1" si="50"/>
        <v>17.953533333333333</v>
      </c>
      <c r="M1139" s="58">
        <f t="shared" ca="1" si="50"/>
        <v>17.959291666666662</v>
      </c>
      <c r="N1139" s="58">
        <f t="shared" ca="1" si="50"/>
        <v>17.953533333333333</v>
      </c>
      <c r="O1139" s="58">
        <f t="shared" ca="1" si="50"/>
        <v>17.959291666666662</v>
      </c>
    </row>
    <row r="1140" spans="1:15" ht="15">
      <c r="A1140" s="3">
        <v>2091</v>
      </c>
      <c r="B1140" s="58">
        <f t="shared" ca="1" si="50"/>
        <v>16.098591666666668</v>
      </c>
      <c r="C1140" s="58">
        <f t="shared" ca="1" si="50"/>
        <v>16.098591666666668</v>
      </c>
      <c r="D1140" s="58">
        <f t="shared" ca="1" si="50"/>
        <v>16.10326666666667</v>
      </c>
      <c r="E1140" s="58">
        <f t="shared" ca="1" si="50"/>
        <v>18.210533333333338</v>
      </c>
      <c r="F1140" s="58">
        <f t="shared" ca="1" si="50"/>
        <v>18.210533333333338</v>
      </c>
      <c r="G1140" s="58">
        <f t="shared" ca="1" si="50"/>
        <v>18.216275</v>
      </c>
      <c r="H1140" s="58">
        <f t="shared" ca="1" si="50"/>
        <v>33.94530833333333</v>
      </c>
      <c r="I1140" s="58">
        <f t="shared" ca="1" si="50"/>
        <v>33.951050000000002</v>
      </c>
      <c r="J1140" s="58">
        <f t="shared" ca="1" si="50"/>
        <v>33.94530833333333</v>
      </c>
      <c r="K1140" s="58">
        <f t="shared" ca="1" si="50"/>
        <v>33.951050000000002</v>
      </c>
      <c r="L1140" s="58">
        <f t="shared" ca="1" si="50"/>
        <v>18.210533333333338</v>
      </c>
      <c r="M1140" s="58">
        <f t="shared" ca="1" si="50"/>
        <v>18.216275</v>
      </c>
      <c r="N1140" s="58">
        <f t="shared" ca="1" si="50"/>
        <v>18.210533333333338</v>
      </c>
      <c r="O1140" s="58">
        <f t="shared" ca="1" si="50"/>
        <v>18.216275</v>
      </c>
    </row>
    <row r="1141" spans="1:15" ht="15">
      <c r="A1141" s="3">
        <v>2092</v>
      </c>
      <c r="B1141" s="58">
        <f t="shared" ref="B1141:O1149" ca="1" si="51">AVERAGE(OFFSET(B$594,($A1141-$A$1111)*12,0,12,1))</f>
        <v>16.336183333333331</v>
      </c>
      <c r="C1141" s="58">
        <f t="shared" ca="1" si="51"/>
        <v>16.336183333333331</v>
      </c>
      <c r="D1141" s="58">
        <f t="shared" ca="1" si="51"/>
        <v>16.340883333333334</v>
      </c>
      <c r="E1141" s="58">
        <f t="shared" ca="1" si="51"/>
        <v>18.467549999999999</v>
      </c>
      <c r="F1141" s="58">
        <f t="shared" ca="1" si="51"/>
        <v>18.467549999999999</v>
      </c>
      <c r="G1141" s="58">
        <f t="shared" ca="1" si="51"/>
        <v>18.473291666666665</v>
      </c>
      <c r="H1141" s="58">
        <f t="shared" ca="1" si="51"/>
        <v>34.433433333333333</v>
      </c>
      <c r="I1141" s="58">
        <f t="shared" ca="1" si="51"/>
        <v>34.439183333333325</v>
      </c>
      <c r="J1141" s="58">
        <f t="shared" ca="1" si="51"/>
        <v>34.433433333333333</v>
      </c>
      <c r="K1141" s="58">
        <f t="shared" ca="1" si="51"/>
        <v>34.439183333333325</v>
      </c>
      <c r="L1141" s="58">
        <f t="shared" ca="1" si="51"/>
        <v>18.467549999999999</v>
      </c>
      <c r="M1141" s="58">
        <f t="shared" ca="1" si="51"/>
        <v>18.473291666666665</v>
      </c>
      <c r="N1141" s="58">
        <f t="shared" ca="1" si="51"/>
        <v>18.467549999999999</v>
      </c>
      <c r="O1141" s="58">
        <f t="shared" ca="1" si="51"/>
        <v>18.473291666666665</v>
      </c>
    </row>
    <row r="1142" spans="1:15" ht="15">
      <c r="A1142" s="3">
        <v>2093</v>
      </c>
      <c r="B1142" s="58">
        <f t="shared" ca="1" si="51"/>
        <v>16.573799999999999</v>
      </c>
      <c r="C1142" s="58">
        <f t="shared" ca="1" si="51"/>
        <v>16.573799999999999</v>
      </c>
      <c r="D1142" s="58">
        <f t="shared" ca="1" si="51"/>
        <v>16.578466666666667</v>
      </c>
      <c r="E1142" s="58">
        <f t="shared" ca="1" si="51"/>
        <v>18.724558333333331</v>
      </c>
      <c r="F1142" s="58">
        <f t="shared" ca="1" si="51"/>
        <v>18.724558333333331</v>
      </c>
      <c r="G1142" s="58">
        <f t="shared" ca="1" si="51"/>
        <v>18.730291666666663</v>
      </c>
      <c r="H1142" s="58">
        <f t="shared" ca="1" si="51"/>
        <v>34.921533333333336</v>
      </c>
      <c r="I1142" s="58">
        <f t="shared" ca="1" si="51"/>
        <v>34.927283333333335</v>
      </c>
      <c r="J1142" s="58">
        <f t="shared" ca="1" si="51"/>
        <v>34.921533333333336</v>
      </c>
      <c r="K1142" s="58">
        <f t="shared" ca="1" si="51"/>
        <v>34.927283333333335</v>
      </c>
      <c r="L1142" s="58">
        <f t="shared" ca="1" si="51"/>
        <v>18.724558333333331</v>
      </c>
      <c r="M1142" s="58">
        <f t="shared" ca="1" si="51"/>
        <v>18.730291666666663</v>
      </c>
      <c r="N1142" s="58">
        <f t="shared" ca="1" si="51"/>
        <v>18.724558333333331</v>
      </c>
      <c r="O1142" s="58">
        <f t="shared" ca="1" si="51"/>
        <v>18.730291666666663</v>
      </c>
    </row>
    <row r="1143" spans="1:15" ht="15">
      <c r="A1143" s="3">
        <v>2094</v>
      </c>
      <c r="B1143" s="58">
        <f t="shared" ca="1" si="51"/>
        <v>16.81141666666667</v>
      </c>
      <c r="C1143" s="58">
        <f t="shared" ca="1" si="51"/>
        <v>16.81141666666667</v>
      </c>
      <c r="D1143" s="58">
        <f t="shared" ca="1" si="51"/>
        <v>16.816100000000002</v>
      </c>
      <c r="E1143" s="58">
        <f t="shared" ca="1" si="51"/>
        <v>18.981583333333333</v>
      </c>
      <c r="F1143" s="58">
        <f t="shared" ca="1" si="51"/>
        <v>18.981583333333333</v>
      </c>
      <c r="G1143" s="58">
        <f t="shared" ca="1" si="51"/>
        <v>18.987325000000002</v>
      </c>
      <c r="H1143" s="58">
        <f t="shared" ca="1" si="51"/>
        <v>35.409675</v>
      </c>
      <c r="I1143" s="58">
        <f t="shared" ca="1" si="51"/>
        <v>35.415391666666672</v>
      </c>
      <c r="J1143" s="58">
        <f t="shared" ca="1" si="51"/>
        <v>35.409675</v>
      </c>
      <c r="K1143" s="58">
        <f t="shared" ca="1" si="51"/>
        <v>35.415391666666672</v>
      </c>
      <c r="L1143" s="58">
        <f t="shared" ca="1" si="51"/>
        <v>18.981583333333333</v>
      </c>
      <c r="M1143" s="58">
        <f t="shared" ca="1" si="51"/>
        <v>18.987325000000002</v>
      </c>
      <c r="N1143" s="58">
        <f t="shared" ca="1" si="51"/>
        <v>18.981583333333333</v>
      </c>
      <c r="O1143" s="58">
        <f t="shared" ca="1" si="51"/>
        <v>18.987325000000002</v>
      </c>
    </row>
    <row r="1144" spans="1:15" ht="15">
      <c r="A1144" s="3">
        <v>2095</v>
      </c>
      <c r="B1144" s="58">
        <f t="shared" ca="1" si="51"/>
        <v>17.049025</v>
      </c>
      <c r="C1144" s="58">
        <f t="shared" ca="1" si="51"/>
        <v>17.049025</v>
      </c>
      <c r="D1144" s="58">
        <f t="shared" ca="1" si="51"/>
        <v>17.053708333333333</v>
      </c>
      <c r="E1144" s="58">
        <f t="shared" ca="1" si="51"/>
        <v>19.238591666666668</v>
      </c>
      <c r="F1144" s="58">
        <f t="shared" ca="1" si="51"/>
        <v>19.238591666666668</v>
      </c>
      <c r="G1144" s="58">
        <f t="shared" ca="1" si="51"/>
        <v>19.244333333333334</v>
      </c>
      <c r="H1144" s="58">
        <f t="shared" ca="1" si="51"/>
        <v>35.897775000000003</v>
      </c>
      <c r="I1144" s="58">
        <f t="shared" ca="1" si="51"/>
        <v>35.903516666666668</v>
      </c>
      <c r="J1144" s="58">
        <f t="shared" ca="1" si="51"/>
        <v>35.897775000000003</v>
      </c>
      <c r="K1144" s="58">
        <f t="shared" ca="1" si="51"/>
        <v>35.903516666666668</v>
      </c>
      <c r="L1144" s="58">
        <f t="shared" ca="1" si="51"/>
        <v>19.238591666666668</v>
      </c>
      <c r="M1144" s="58">
        <f t="shared" ca="1" si="51"/>
        <v>19.244333333333334</v>
      </c>
      <c r="N1144" s="58">
        <f t="shared" ca="1" si="51"/>
        <v>19.238591666666668</v>
      </c>
      <c r="O1144" s="58">
        <f t="shared" ca="1" si="51"/>
        <v>19.244333333333334</v>
      </c>
    </row>
    <row r="1145" spans="1:15" ht="15">
      <c r="A1145" s="3">
        <v>2096</v>
      </c>
      <c r="B1145" s="58">
        <f t="shared" ca="1" si="51"/>
        <v>17.286658333333332</v>
      </c>
      <c r="C1145" s="58">
        <f t="shared" ca="1" si="51"/>
        <v>17.286658333333332</v>
      </c>
      <c r="D1145" s="58">
        <f t="shared" ca="1" si="51"/>
        <v>17.291333333333334</v>
      </c>
      <c r="E1145" s="58">
        <f t="shared" ca="1" si="51"/>
        <v>19.49559166666667</v>
      </c>
      <c r="F1145" s="58">
        <f t="shared" ca="1" si="51"/>
        <v>19.49559166666667</v>
      </c>
      <c r="G1145" s="58">
        <f t="shared" ca="1" si="51"/>
        <v>19.501324999999998</v>
      </c>
      <c r="H1145" s="58">
        <f t="shared" ca="1" si="51"/>
        <v>36.385874999999999</v>
      </c>
      <c r="I1145" s="58">
        <f t="shared" ca="1" si="51"/>
        <v>36.391624999999998</v>
      </c>
      <c r="J1145" s="58">
        <f t="shared" ca="1" si="51"/>
        <v>36.385874999999999</v>
      </c>
      <c r="K1145" s="58">
        <f t="shared" ca="1" si="51"/>
        <v>36.391624999999998</v>
      </c>
      <c r="L1145" s="58">
        <f t="shared" ca="1" si="51"/>
        <v>19.49559166666667</v>
      </c>
      <c r="M1145" s="58">
        <f t="shared" ca="1" si="51"/>
        <v>19.501324999999998</v>
      </c>
      <c r="N1145" s="58">
        <f t="shared" ca="1" si="51"/>
        <v>19.49559166666667</v>
      </c>
      <c r="O1145" s="58">
        <f t="shared" ca="1" si="51"/>
        <v>19.501324999999998</v>
      </c>
    </row>
    <row r="1146" spans="1:15" ht="15">
      <c r="A1146" s="3">
        <v>2097</v>
      </c>
      <c r="B1146" s="58">
        <f t="shared" ca="1" si="51"/>
        <v>17.524258333333332</v>
      </c>
      <c r="C1146" s="58">
        <f t="shared" ca="1" si="51"/>
        <v>17.524258333333332</v>
      </c>
      <c r="D1146" s="58">
        <f t="shared" ca="1" si="51"/>
        <v>17.528949999999998</v>
      </c>
      <c r="E1146" s="58">
        <f t="shared" ca="1" si="51"/>
        <v>19.752591666666664</v>
      </c>
      <c r="F1146" s="58">
        <f t="shared" ca="1" si="51"/>
        <v>19.752591666666664</v>
      </c>
      <c r="G1146" s="58">
        <f t="shared" ca="1" si="51"/>
        <v>19.758350000000004</v>
      </c>
      <c r="H1146" s="58">
        <f t="shared" ca="1" si="51"/>
        <v>36.873983333333335</v>
      </c>
      <c r="I1146" s="58">
        <f t="shared" ca="1" si="51"/>
        <v>36.879741666666668</v>
      </c>
      <c r="J1146" s="58">
        <f t="shared" ca="1" si="51"/>
        <v>36.873983333333335</v>
      </c>
      <c r="K1146" s="58">
        <f t="shared" ca="1" si="51"/>
        <v>36.879741666666668</v>
      </c>
      <c r="L1146" s="58">
        <f t="shared" ca="1" si="51"/>
        <v>19.752591666666664</v>
      </c>
      <c r="M1146" s="58">
        <f t="shared" ca="1" si="51"/>
        <v>19.758350000000004</v>
      </c>
      <c r="N1146" s="58">
        <f t="shared" ca="1" si="51"/>
        <v>19.752591666666664</v>
      </c>
      <c r="O1146" s="58">
        <f t="shared" ca="1" si="51"/>
        <v>19.758350000000004</v>
      </c>
    </row>
    <row r="1147" spans="1:15" ht="15">
      <c r="A1147" s="3">
        <v>2098</v>
      </c>
      <c r="B1147" s="58">
        <f t="shared" ca="1" si="51"/>
        <v>17.761866666666666</v>
      </c>
      <c r="C1147" s="58">
        <f t="shared" ca="1" si="51"/>
        <v>17.761866666666666</v>
      </c>
      <c r="D1147" s="58">
        <f t="shared" ca="1" si="51"/>
        <v>17.766541666666665</v>
      </c>
      <c r="E1147" s="58">
        <f t="shared" ca="1" si="51"/>
        <v>20.009608333333329</v>
      </c>
      <c r="F1147" s="58">
        <f t="shared" ca="1" si="51"/>
        <v>20.009608333333329</v>
      </c>
      <c r="G1147" s="58">
        <f t="shared" ca="1" si="51"/>
        <v>20.015341666666668</v>
      </c>
      <c r="H1147" s="58">
        <f t="shared" ca="1" si="51"/>
        <v>37.362124999999999</v>
      </c>
      <c r="I1147" s="58">
        <f t="shared" ca="1" si="51"/>
        <v>37.367858333333338</v>
      </c>
      <c r="J1147" s="58">
        <f t="shared" ca="1" si="51"/>
        <v>37.362124999999999</v>
      </c>
      <c r="K1147" s="58">
        <f t="shared" ca="1" si="51"/>
        <v>37.367858333333338</v>
      </c>
      <c r="L1147" s="58">
        <f t="shared" ca="1" si="51"/>
        <v>20.009608333333329</v>
      </c>
      <c r="M1147" s="58">
        <f t="shared" ca="1" si="51"/>
        <v>20.015341666666668</v>
      </c>
      <c r="N1147" s="58">
        <f t="shared" ca="1" si="51"/>
        <v>20.009608333333329</v>
      </c>
      <c r="O1147" s="58">
        <f t="shared" ca="1" si="51"/>
        <v>20.015341666666668</v>
      </c>
    </row>
    <row r="1148" spans="1:15" ht="15">
      <c r="A1148" s="3">
        <v>2099</v>
      </c>
      <c r="B1148" s="58">
        <f t="shared" ca="1" si="51"/>
        <v>17.999491666666668</v>
      </c>
      <c r="C1148" s="58">
        <f t="shared" ca="1" si="51"/>
        <v>17.999491666666668</v>
      </c>
      <c r="D1148" s="58">
        <f t="shared" ca="1" si="51"/>
        <v>18.004166666666666</v>
      </c>
      <c r="E1148" s="58">
        <f t="shared" ca="1" si="51"/>
        <v>20.266633333333331</v>
      </c>
      <c r="F1148" s="58">
        <f t="shared" ca="1" si="51"/>
        <v>20.266633333333331</v>
      </c>
      <c r="G1148" s="58">
        <f t="shared" ca="1" si="51"/>
        <v>20.272366666666667</v>
      </c>
      <c r="H1148" s="58">
        <f t="shared" ca="1" si="51"/>
        <v>37.850241666666655</v>
      </c>
      <c r="I1148" s="58">
        <f t="shared" ca="1" si="51"/>
        <v>37.855991666666668</v>
      </c>
      <c r="J1148" s="58">
        <f t="shared" ca="1" si="51"/>
        <v>37.850241666666655</v>
      </c>
      <c r="K1148" s="58">
        <f t="shared" ca="1" si="51"/>
        <v>37.855991666666668</v>
      </c>
      <c r="L1148" s="58">
        <f t="shared" ca="1" si="51"/>
        <v>20.266633333333331</v>
      </c>
      <c r="M1148" s="58">
        <f t="shared" ca="1" si="51"/>
        <v>20.272366666666667</v>
      </c>
      <c r="N1148" s="58">
        <f t="shared" ca="1" si="51"/>
        <v>20.266633333333331</v>
      </c>
      <c r="O1148" s="58">
        <f t="shared" ca="1" si="51"/>
        <v>20.272366666666667</v>
      </c>
    </row>
    <row r="1149" spans="1:15" ht="15">
      <c r="A1149" s="3">
        <v>2100</v>
      </c>
      <c r="B1149" s="58">
        <f t="shared" ca="1" si="51"/>
        <v>18.237108333333328</v>
      </c>
      <c r="C1149" s="58">
        <f t="shared" ca="1" si="51"/>
        <v>18.237108333333328</v>
      </c>
      <c r="D1149" s="58">
        <f t="shared" ca="1" si="51"/>
        <v>18.241791666666668</v>
      </c>
      <c r="E1149" s="58">
        <f t="shared" ca="1" si="51"/>
        <v>20.523624999999999</v>
      </c>
      <c r="F1149" s="58">
        <f t="shared" ca="1" si="51"/>
        <v>20.523624999999999</v>
      </c>
      <c r="G1149" s="58">
        <f t="shared" ca="1" si="51"/>
        <v>20.529375000000002</v>
      </c>
      <c r="H1149" s="58">
        <f t="shared" ca="1" si="51"/>
        <v>38.338341666666672</v>
      </c>
      <c r="I1149" s="58">
        <f t="shared" ca="1" si="51"/>
        <v>38.344091666666664</v>
      </c>
      <c r="J1149" s="58">
        <f t="shared" ca="1" si="51"/>
        <v>38.338341666666672</v>
      </c>
      <c r="K1149" s="58">
        <f t="shared" ca="1" si="51"/>
        <v>38.344091666666664</v>
      </c>
      <c r="L1149" s="58">
        <f t="shared" ca="1" si="51"/>
        <v>20.523624999999999</v>
      </c>
      <c r="M1149" s="58">
        <f t="shared" ca="1" si="51"/>
        <v>20.529375000000002</v>
      </c>
      <c r="N1149" s="58">
        <f t="shared" ca="1" si="51"/>
        <v>20.523624999999999</v>
      </c>
      <c r="O1149" s="58">
        <f t="shared" ca="1" si="51"/>
        <v>20.529375000000002</v>
      </c>
    </row>
  </sheetData>
  <mergeCells count="7">
    <mergeCell ref="B15:D15"/>
    <mergeCell ref="P15:Q15"/>
    <mergeCell ref="R15:S15"/>
    <mergeCell ref="P14:S14"/>
    <mergeCell ref="E15:G15"/>
    <mergeCell ref="H15:K15"/>
    <mergeCell ref="L15:O15"/>
  </mergeCells>
  <pageMargins left="0.25" right="0.25" top="0.5" bottom="0.5" header="0.25" footer="0.25"/>
  <pageSetup paperSize="119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12</xdr:row>
                    <xdr:rowOff>38100</xdr:rowOff>
                  </from>
                  <to>
                    <xdr:col>6</xdr:col>
                    <xdr:colOff>381000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42"/>
  <sheetViews>
    <sheetView showGridLines="0" zoomScale="70" zoomScaleNormal="70" workbookViewId="0">
      <selection activeCell="A6" sqref="A6"/>
    </sheetView>
  </sheetViews>
  <sheetFormatPr defaultColWidth="8.88671875" defaultRowHeight="15.75"/>
  <cols>
    <col min="1" max="1" width="8.88671875" style="71"/>
    <col min="2" max="2" width="15.5546875" style="71" bestFit="1" customWidth="1"/>
    <col min="3" max="3" width="9.5546875" style="71" bestFit="1" customWidth="1"/>
    <col min="4" max="16384" width="8.88671875" style="71"/>
  </cols>
  <sheetData>
    <row r="1" spans="1:3">
      <c r="A1" s="79" t="s">
        <v>64</v>
      </c>
    </row>
    <row r="2" spans="1:3">
      <c r="A2" s="79" t="s">
        <v>65</v>
      </c>
    </row>
    <row r="3" spans="1:3">
      <c r="A3" s="79" t="s">
        <v>66</v>
      </c>
    </row>
    <row r="4" spans="1:3">
      <c r="A4" s="79" t="s">
        <v>67</v>
      </c>
    </row>
    <row r="5" spans="1:3">
      <c r="A5" s="79" t="s">
        <v>73</v>
      </c>
    </row>
    <row r="6" spans="1:3">
      <c r="A6" s="79" t="s">
        <v>69</v>
      </c>
    </row>
    <row r="13" spans="1:3">
      <c r="B13" s="76" t="s">
        <v>63</v>
      </c>
      <c r="C13" s="76" t="s">
        <v>54</v>
      </c>
    </row>
    <row r="14" spans="1:3">
      <c r="B14" s="78" t="s">
        <v>61</v>
      </c>
      <c r="C14" s="88">
        <v>2</v>
      </c>
    </row>
    <row r="15" spans="1:3">
      <c r="B15" s="78" t="s">
        <v>60</v>
      </c>
      <c r="C15" s="90"/>
    </row>
    <row r="16" spans="1:3">
      <c r="B16" s="77" t="s">
        <v>59</v>
      </c>
      <c r="C16" s="89"/>
    </row>
    <row r="19" spans="2:3">
      <c r="B19" s="76" t="s">
        <v>55</v>
      </c>
      <c r="C19" s="76" t="s">
        <v>54</v>
      </c>
    </row>
    <row r="20" spans="2:3">
      <c r="B20" s="78" t="s">
        <v>61</v>
      </c>
      <c r="C20" s="88">
        <v>2</v>
      </c>
    </row>
    <row r="21" spans="2:3">
      <c r="B21" s="78" t="s">
        <v>60</v>
      </c>
      <c r="C21" s="90"/>
    </row>
    <row r="22" spans="2:3">
      <c r="B22" s="77" t="s">
        <v>59</v>
      </c>
      <c r="C22" s="89"/>
    </row>
    <row r="26" spans="2:3">
      <c r="B26" s="76" t="s">
        <v>62</v>
      </c>
      <c r="C26" s="76" t="s">
        <v>54</v>
      </c>
    </row>
    <row r="27" spans="2:3">
      <c r="B27" s="78" t="s">
        <v>61</v>
      </c>
      <c r="C27" s="88">
        <v>2</v>
      </c>
    </row>
    <row r="28" spans="2:3">
      <c r="B28" s="78" t="s">
        <v>60</v>
      </c>
      <c r="C28" s="90"/>
    </row>
    <row r="29" spans="2:3">
      <c r="B29" s="77" t="s">
        <v>59</v>
      </c>
      <c r="C29" s="89"/>
    </row>
    <row r="32" spans="2:3">
      <c r="B32" s="76" t="s">
        <v>58</v>
      </c>
      <c r="C32" s="76" t="s">
        <v>54</v>
      </c>
    </row>
    <row r="33" spans="2:5">
      <c r="B33" s="75" t="s">
        <v>57</v>
      </c>
      <c r="C33" s="88">
        <v>1</v>
      </c>
    </row>
    <row r="34" spans="2:5">
      <c r="B34" s="74" t="s">
        <v>56</v>
      </c>
      <c r="C34" s="89"/>
    </row>
    <row r="36" spans="2:5">
      <c r="B36" s="76" t="s">
        <v>55</v>
      </c>
      <c r="C36" s="76" t="s">
        <v>54</v>
      </c>
    </row>
    <row r="37" spans="2:5">
      <c r="B37" s="75" t="s">
        <v>53</v>
      </c>
      <c r="C37" s="88">
        <v>1</v>
      </c>
    </row>
    <row r="38" spans="2:5">
      <c r="B38" s="74" t="s">
        <v>52</v>
      </c>
      <c r="C38" s="89"/>
    </row>
    <row r="42" spans="2:5">
      <c r="C42" s="73"/>
      <c r="E42" s="72"/>
    </row>
  </sheetData>
  <mergeCells count="5">
    <mergeCell ref="C37:C38"/>
    <mergeCell ref="C27:C29"/>
    <mergeCell ref="C33:C34"/>
    <mergeCell ref="C14:C16"/>
    <mergeCell ref="C20:C22"/>
  </mergeCells>
  <pageMargins left="0.25" right="0.25" top="0.5" bottom="0.5" header="0.25" footer="0.25"/>
  <pageSetup scale="95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2016-07-29T16:33:36Z</dcterms:created>
  <dcterms:modified xsi:type="dcterms:W3CDTF">2016-07-29T16:33:39Z</dcterms:modified>
</cp:coreProperties>
</file>